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vakhania\Desktop\"/>
    </mc:Choice>
  </mc:AlternateContent>
  <bookViews>
    <workbookView xWindow="0" yWindow="0" windowWidth="28575" windowHeight="11100" tabRatio="717"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Entry'!$B$25:$J$64</definedName>
    <definedName name="PrintDataM">'Data Entry'!$B$66:$H$110</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5" i="29" l="1"/>
  <c r="H126" i="29" l="1"/>
  <c r="H120" i="29"/>
  <c r="H131" i="29" l="1"/>
  <c r="H129" i="29"/>
  <c r="H127" i="29"/>
  <c r="H125" i="29"/>
  <c r="H123" i="29"/>
  <c r="H119" i="29"/>
  <c r="H117" i="29"/>
  <c r="D51" i="29" l="1"/>
  <c r="C33" i="29" l="1"/>
  <c r="D33" i="29" s="1"/>
  <c r="E33" i="29" s="1"/>
  <c r="F33" i="29" s="1"/>
  <c r="G33" i="29" s="1"/>
  <c r="H33" i="29" s="1"/>
  <c r="I33" i="29" s="1"/>
  <c r="J33" i="29" s="1"/>
  <c r="K33" i="29" s="1"/>
  <c r="L33" i="29" s="1"/>
  <c r="M33" i="29" s="1"/>
  <c r="N33" i="29" s="1"/>
  <c r="C34" i="29"/>
  <c r="D34" i="29"/>
  <c r="E34" i="29" s="1"/>
  <c r="F34" i="29" s="1"/>
  <c r="G34" i="29" s="1"/>
  <c r="H34" i="29" s="1"/>
  <c r="I34" i="29" s="1"/>
  <c r="J34" i="29" s="1"/>
  <c r="K34" i="29" s="1"/>
  <c r="L34" i="29" s="1"/>
  <c r="M34" i="29" s="1"/>
  <c r="N34" i="29" s="1"/>
  <c r="E52" i="29" l="1"/>
  <c r="O143" i="29"/>
  <c r="E24" i="37"/>
  <c r="G28" i="37"/>
  <c r="E108" i="29"/>
  <c r="G108" i="29" s="1"/>
  <c r="I108" i="29" s="1"/>
  <c r="K31" i="35"/>
  <c r="E109" i="29"/>
  <c r="G109" i="29" s="1"/>
  <c r="I109" i="29" s="1"/>
  <c r="K109" i="29" s="1"/>
  <c r="K32" i="35"/>
  <c r="E110" i="29"/>
  <c r="G110" i="29" s="1"/>
  <c r="I110" i="29" s="1"/>
  <c r="K33" i="35"/>
  <c r="E107" i="29"/>
  <c r="G107" i="29" s="1"/>
  <c r="I107" i="29" s="1"/>
  <c r="K107" i="29" s="1"/>
  <c r="K30" i="35"/>
  <c r="C46" i="29"/>
  <c r="H142" i="29"/>
  <c r="E27" i="37"/>
  <c r="C97" i="29"/>
  <c r="D97" i="29" s="1"/>
  <c r="E97" i="29" s="1"/>
  <c r="F97" i="29" s="1"/>
  <c r="G97" i="29" s="1"/>
  <c r="H97" i="29" s="1"/>
  <c r="I97" i="29" s="1"/>
  <c r="J97" i="29" s="1"/>
  <c r="K97" i="29" s="1"/>
  <c r="L97" i="29" s="1"/>
  <c r="M97" i="29" s="1"/>
  <c r="N97" i="29" s="1"/>
  <c r="D46" i="29"/>
  <c r="F20" i="37"/>
  <c r="K144" i="29"/>
  <c r="B22" i="45"/>
  <c r="F27" i="37"/>
  <c r="F26" i="37"/>
  <c r="F25" i="37"/>
  <c r="E26" i="37"/>
  <c r="E25" i="37"/>
  <c r="F24" i="37"/>
  <c r="F23" i="37"/>
  <c r="E23" i="37"/>
  <c r="F22" i="37"/>
  <c r="E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89" i="29"/>
  <c r="E88" i="29"/>
  <c r="D11" i="42"/>
  <c r="J3" i="35"/>
  <c r="H15" i="35" s="1"/>
  <c r="L3" i="35"/>
  <c r="I3" i="30"/>
  <c r="K3" i="30"/>
  <c r="B8" i="30" s="1"/>
  <c r="D33" i="42"/>
  <c r="D34" i="42"/>
  <c r="D35" i="42"/>
  <c r="D36" i="42"/>
  <c r="D37" i="42"/>
  <c r="D38" i="42"/>
  <c r="D39" i="42"/>
  <c r="D40" i="42"/>
  <c r="D41" i="42"/>
  <c r="D32" i="42"/>
  <c r="L143" i="29"/>
  <c r="M143" i="29"/>
  <c r="N143" i="29"/>
  <c r="P143" i="29"/>
  <c r="Q143" i="29"/>
  <c r="R143" i="29"/>
  <c r="S143" i="29"/>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M142" i="29"/>
  <c r="N142" i="29"/>
  <c r="O142" i="29"/>
  <c r="P142" i="29"/>
  <c r="Q142" i="29"/>
  <c r="R142" i="29"/>
  <c r="S142" i="29"/>
  <c r="F144" i="29"/>
  <c r="F146" i="29"/>
  <c r="F142" i="29"/>
  <c r="E144" i="29"/>
  <c r="E146" i="29"/>
  <c r="E142" i="29"/>
  <c r="B144" i="29"/>
  <c r="B146" i="29"/>
  <c r="B142" i="29"/>
  <c r="B32" i="29"/>
  <c r="D38" i="29"/>
  <c r="C38" i="29"/>
  <c r="B31" i="29"/>
  <c r="E50"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7" i="29"/>
  <c r="K146" i="29"/>
  <c r="K145" i="29"/>
  <c r="K143" i="29"/>
  <c r="K142" i="29"/>
  <c r="G71"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99" i="29"/>
  <c r="D99" i="29" s="1"/>
  <c r="E99" i="29" s="1"/>
  <c r="F99" i="29" s="1"/>
  <c r="G99" i="29" s="1"/>
  <c r="H99" i="29" s="1"/>
  <c r="I99" i="29" s="1"/>
  <c r="J99" i="29" s="1"/>
  <c r="K99" i="29" s="1"/>
  <c r="L99" i="29" s="1"/>
  <c r="M99" i="29" s="1"/>
  <c r="N99" i="29" s="1"/>
  <c r="C98" i="29"/>
  <c r="D98" i="29" s="1"/>
  <c r="E98" i="29" s="1"/>
  <c r="F98" i="29" s="1"/>
  <c r="G98" i="29" s="1"/>
  <c r="H98" i="29" s="1"/>
  <c r="I98" i="29" s="1"/>
  <c r="J98" i="29" s="1"/>
  <c r="K98" i="29" s="1"/>
  <c r="L98" i="29" s="1"/>
  <c r="M98" i="29" s="1"/>
  <c r="N98" i="29" s="1"/>
  <c r="E78" i="29"/>
  <c r="D5" i="35"/>
  <c r="E4" i="35"/>
  <c r="K5" i="35"/>
  <c r="J4" i="35"/>
  <c r="D5" i="37"/>
  <c r="P5" i="37"/>
  <c r="P4" i="37"/>
  <c r="O3" i="37"/>
  <c r="J5" i="30"/>
  <c r="D5" i="30"/>
  <c r="I4" i="30"/>
  <c r="E4" i="30"/>
  <c r="L8" i="37"/>
  <c r="F8" i="37"/>
  <c r="B8" i="37"/>
  <c r="L142" i="29"/>
  <c r="J147" i="29"/>
  <c r="J146" i="29"/>
  <c r="J145" i="29"/>
  <c r="J144" i="29"/>
  <c r="J143" i="29"/>
  <c r="J142" i="29"/>
  <c r="I147" i="29"/>
  <c r="I146" i="29"/>
  <c r="I145" i="29"/>
  <c r="I144" i="29"/>
  <c r="I143" i="29"/>
  <c r="I142" i="29"/>
  <c r="H147" i="29"/>
  <c r="H146" i="29"/>
  <c r="H145" i="29"/>
  <c r="H144" i="29"/>
  <c r="H143" i="29"/>
  <c r="B26" i="37"/>
  <c r="B25" i="37"/>
  <c r="B24" i="37"/>
  <c r="B23" i="37"/>
  <c r="S141" i="29"/>
  <c r="R141" i="29"/>
  <c r="Q141" i="29"/>
  <c r="P141" i="29"/>
  <c r="O141" i="29"/>
  <c r="B22" i="37"/>
  <c r="B21" i="37"/>
  <c r="B20" i="37"/>
  <c r="E54" i="29"/>
  <c r="B27" i="37"/>
  <c r="N141" i="29"/>
  <c r="M141" i="29"/>
  <c r="L141" i="29"/>
  <c r="K141" i="29"/>
  <c r="J141" i="29"/>
  <c r="I141" i="29"/>
  <c r="H141" i="29"/>
  <c r="B36" i="39"/>
  <c r="B34" i="39"/>
  <c r="E53"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7" i="35"/>
  <c r="F20" i="42"/>
  <c r="AE23" i="37"/>
  <c r="AF23" i="37"/>
  <c r="AF22" i="37"/>
  <c r="AD22" i="37"/>
  <c r="AE22" i="37"/>
  <c r="AD24" i="37"/>
  <c r="AF24" i="37"/>
  <c r="AE24" i="37"/>
  <c r="B15" i="35"/>
  <c r="H26" i="35"/>
  <c r="R29" i="29"/>
  <c r="H7" i="35"/>
  <c r="C35" i="29"/>
  <c r="R30" i="29"/>
  <c r="E20" i="37"/>
  <c r="D30" i="42"/>
  <c r="D31" i="42"/>
  <c r="D29" i="42"/>
  <c r="H22" i="30" l="1"/>
  <c r="B3" i="32"/>
  <c r="H8" i="30"/>
  <c r="B22" i="30"/>
  <c r="E51" i="29"/>
  <c r="G20" i="37"/>
  <c r="G22" i="37"/>
  <c r="G24" i="37"/>
  <c r="G27" i="37"/>
  <c r="G26" i="37"/>
  <c r="J33" i="35"/>
  <c r="L33" i="35" s="1"/>
  <c r="K110" i="29"/>
  <c r="K108" i="29"/>
  <c r="J31" i="35"/>
  <c r="L31" i="35" s="1"/>
  <c r="G21" i="37"/>
  <c r="G23" i="37"/>
  <c r="G25" i="37"/>
  <c r="E35" i="29"/>
  <c r="R31" i="29"/>
  <c r="J32" i="35"/>
  <c r="L32" i="35" s="1"/>
  <c r="J30" i="35"/>
  <c r="L30" i="35" s="1"/>
  <c r="D35" i="29"/>
  <c r="F35" i="29" l="1"/>
  <c r="R32" i="29"/>
  <c r="G35" i="29" l="1"/>
  <c r="R33" i="29"/>
  <c r="R34" i="29" l="1"/>
  <c r="H35" i="29"/>
  <c r="I35" i="29" l="1"/>
  <c r="R35" i="29"/>
  <c r="R48" i="29" l="1"/>
  <c r="J35" i="29"/>
  <c r="R49" i="29" l="1"/>
  <c r="K35" i="29"/>
  <c r="F46" i="29"/>
  <c r="L35" i="29" l="1"/>
  <c r="M35" i="29" l="1"/>
  <c r="Q50" i="29"/>
  <c r="N35" i="29"/>
  <c r="O31" i="29" l="1"/>
</calcChain>
</file>

<file path=xl/comments1.xml><?xml version="1.0" encoding="utf-8"?>
<comments xmlns="http://schemas.openxmlformats.org/spreadsheetml/2006/main">
  <authors>
    <author>mgleixner</author>
    <author>molszak</author>
    <author>Alexander Asatiani</author>
  </authors>
  <commentList>
    <comment ref="B30" authorId="0" shapeId="0">
      <text>
        <r>
          <rPr>
            <sz val="8"/>
            <color indexed="81"/>
            <rFont val="Tahoma"/>
            <family val="2"/>
          </rPr>
          <t>To define your periods (eg. P1, P2, P3 etc or P9, P10, P11 etc) you need to unprotect the cells.</t>
        </r>
      </text>
    </comment>
    <comment ref="B71" authorId="1" shapeId="0">
      <text>
        <r>
          <rPr>
            <b/>
            <sz val="8"/>
            <color indexed="81"/>
            <rFont val="Tahoma"/>
            <family val="2"/>
          </rPr>
          <t xml:space="preserve">If data are not available, do not enter zeros; rather, leave the cells in the table blank. </t>
        </r>
      </text>
    </comment>
    <comment ref="B72" authorId="1" shapeId="0">
      <text>
        <r>
          <rPr>
            <b/>
            <sz val="8"/>
            <color indexed="81"/>
            <rFont val="Tahoma"/>
            <family val="2"/>
          </rPr>
          <t>If data are not available, do not enter zeros; rather, leave the cells in this table blank.</t>
        </r>
      </text>
    </comment>
    <comment ref="B78" authorId="0" shapeId="0">
      <text>
        <r>
          <rPr>
            <sz val="8"/>
            <color indexed="81"/>
            <rFont val="Tahoma"/>
            <family val="2"/>
          </rPr>
          <t xml:space="preserve">If data are not available, do not enter zeros; rather, leave the cells in this table blank. </t>
        </r>
      </text>
    </comment>
    <comment ref="B93" authorId="0" shapeId="0">
      <text>
        <r>
          <rPr>
            <sz val="8"/>
            <color indexed="81"/>
            <rFont val="Tahoma"/>
            <family val="2"/>
          </rPr>
          <t>To define your periods (eg. P1, P2, P3 etc or P9, P10, P11 etc) you need to unprotect the cells.</t>
        </r>
      </text>
    </comment>
    <comment ref="P132" authorId="2" shapeId="0">
      <text>
        <r>
          <rPr>
            <b/>
            <sz val="9"/>
            <color rgb="FF000000"/>
            <rFont val="Tahoma"/>
            <family val="2"/>
          </rPr>
          <t>Alexander Asatiani:</t>
        </r>
        <r>
          <rPr>
            <sz val="9"/>
            <color rgb="FF000000"/>
            <rFont val="Tahoma"/>
            <family val="2"/>
          </rPr>
          <t xml:space="preserve">
</t>
        </r>
        <r>
          <rPr>
            <sz val="9"/>
            <color rgb="FF000000"/>
            <rFont val="Tahoma"/>
            <family val="2"/>
          </rPr>
          <t xml:space="preserve">Jan-Aug.
</t>
        </r>
        <r>
          <rPr>
            <sz val="9"/>
            <color rgb="FF000000"/>
            <rFont val="Tahoma"/>
            <family val="2"/>
          </rPr>
          <t>The full information for the period Q1-Q3 on VCT  in prisons will be provided together with October repor</t>
        </r>
      </text>
    </comment>
  </commentList>
</comments>
</file>

<file path=xl/sharedStrings.xml><?xml version="1.0" encoding="utf-8"?>
<sst xmlns="http://schemas.openxmlformats.org/spreadsheetml/2006/main" count="594" uniqueCount="450">
  <si>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</si>
  <si>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</si>
  <si>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</si>
  <si>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</si>
  <si>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</si>
  <si>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</si>
  <si>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</si>
  <si>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</si>
  <si>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</si>
  <si>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</si>
  <si>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</si>
  <si>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</si>
  <si>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</si>
  <si>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</si>
  <si>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</si>
  <si>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</si>
  <si>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</si>
  <si>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</si>
  <si>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</si>
  <si>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</si>
  <si>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</si>
  <si>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</si>
  <si>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</si>
  <si>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</si>
  <si>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</si>
  <si>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</si>
  <si>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</si>
  <si>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</si>
  <si>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</si>
  <si>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</si>
  <si>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</si>
  <si>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</si>
  <si>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</si>
  <si>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</si>
  <si>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</si>
  <si>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</si>
  <si>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</si>
  <si>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</si>
  <si>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</si>
  <si>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</si>
  <si>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</si>
  <si>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</si>
  <si>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</si>
  <si>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</si>
  <si>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</si>
  <si>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</si>
  <si>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</si>
  <si>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</si>
  <si>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</si>
  <si>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</si>
  <si>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</si>
  <si>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</si>
  <si>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</si>
  <si>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</si>
  <si>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</si>
  <si>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</si>
  <si>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</si>
  <si>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</si>
  <si>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</si>
  <si>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</si>
  <si>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</si>
  <si>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</si>
  <si>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</si>
  <si>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</si>
  <si>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</si>
  <si>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</si>
  <si>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</si>
  <si>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</si>
  <si>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</si>
  <si>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</si>
  <si>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</si>
  <si>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</si>
  <si>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</si>
  <si>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</si>
  <si>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</si>
  <si>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</si>
  <si>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</si>
  <si>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</si>
  <si>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</si>
  <si>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</si>
  <si>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</si>
  <si>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</si>
  <si>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</si>
  <si>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</si>
  <si>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</si>
  <si>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</si>
  <si>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</si>
  <si>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</si>
  <si>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</si>
  <si>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</si>
  <si>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</si>
  <si>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</si>
  <si>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</si>
  <si>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</si>
  <si>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</si>
  <si>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</si>
  <si>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</si>
  <si>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</si>
  <si>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</si>
  <si>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</si>
  <si>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</si>
  <si>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</si>
  <si>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</si>
  <si>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</si>
  <si>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</si>
  <si>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</si>
  <si>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</si>
  <si>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</si>
  <si>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</si>
  <si>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</si>
  <si>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</si>
  <si>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</si>
  <si>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</si>
  <si>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</si>
  <si>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</si>
  <si>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</si>
  <si>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</si>
  <si>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</si>
  <si>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</si>
  <si>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</si>
  <si>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</si>
  <si>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</si>
  <si>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</si>
  <si>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</si>
  <si>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</si>
  <si>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</si>
  <si>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</si>
  <si>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</si>
  <si>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</si>
  <si>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</si>
  <si>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</si>
  <si>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</si>
  <si>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</si>
  <si>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</si>
  <si>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</si>
  <si>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</si>
  <si>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</si>
  <si>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</si>
  <si>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</si>
  <si>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</si>
  <si>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</si>
  <si>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</si>
  <si>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</si>
  <si>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</si>
  <si>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</si>
  <si>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</si>
  <si>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</si>
  <si>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</si>
  <si>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</si>
  <si>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</si>
  <si>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</si>
  <si>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</si>
  <si>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</si>
  <si>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</si>
  <si>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</si>
  <si>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</si>
  <si>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</si>
  <si>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</si>
  <si>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</si>
  <si>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</si>
  <si>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</si>
  <si>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</si>
  <si>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</si>
  <si>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</si>
  <si>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</si>
  <si>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</si>
  <si>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</si>
  <si>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</si>
  <si>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</si>
  <si>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</si>
  <si>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</si>
  <si>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</si>
  <si>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</si>
  <si>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</si>
  <si>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</si>
  <si>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</si>
  <si>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</si>
  <si>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</si>
  <si>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</si>
  <si>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</si>
  <si>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</si>
  <si>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</si>
  <si>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</si>
  <si>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</si>
  <si>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</si>
  <si>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</si>
  <si>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</si>
  <si>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</si>
  <si>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</si>
  <si>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</si>
  <si>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</si>
  <si>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</si>
  <si>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</si>
  <si>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</si>
  <si>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</si>
  <si>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</si>
  <si>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</si>
  <si>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</si>
  <si>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</si>
  <si>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</si>
  <si>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</si>
  <si>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</si>
  <si>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</si>
  <si>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</si>
  <si>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</si>
  <si>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</si>
  <si>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</si>
  <si>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</si>
  <si>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</si>
  <si>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</si>
  <si>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</si>
  <si>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</si>
  <si>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</si>
  <si>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</si>
  <si>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</si>
  <si>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</si>
  <si>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</si>
  <si>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</si>
  <si>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</si>
  <si>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</si>
  <si>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</si>
  <si>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</si>
  <si>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</si>
  <si>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</si>
  <si>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</si>
  <si>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</si>
  <si>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</si>
  <si>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</si>
  <si>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</si>
  <si>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</si>
  <si>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</si>
  <si>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</si>
  <si>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</si>
  <si>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</si>
  <si>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</si>
  <si>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</si>
  <si>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</si>
  <si>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</si>
  <si>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</si>
  <si>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</si>
  <si>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</si>
  <si>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</si>
  <si>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</si>
  <si>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</si>
  <si>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</si>
  <si>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</si>
  <si>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</si>
  <si>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</si>
  <si>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</si>
  <si>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</si>
  <si>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</si>
  <si>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</si>
  <si>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</si>
  <si>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</si>
  <si>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</si>
  <si>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</si>
  <si>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</si>
  <si>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</si>
  <si>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</si>
  <si>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</si>
  <si>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</si>
  <si>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</si>
  <si>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</si>
  <si>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</si>
  <si>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</si>
  <si>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</si>
  <si>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</si>
  <si>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</si>
  <si>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</si>
  <si>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</si>
  <si>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</si>
  <si>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</si>
  <si>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</si>
  <si>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</si>
  <si>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</si>
  <si>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</si>
  <si>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</si>
  <si>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</si>
  <si>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</si>
  <si>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</si>
  <si>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</si>
  <si>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</si>
  <si>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</si>
  <si>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</si>
  <si>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</si>
  <si>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</si>
  <si>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</si>
  <si>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</si>
  <si>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</si>
  <si>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</si>
  <si>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</si>
  <si>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</si>
  <si>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</si>
  <si>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</si>
  <si>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</si>
  <si>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</si>
  <si>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</si>
  <si>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</si>
  <si>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</si>
  <si>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</si>
  <si>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</si>
  <si>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</si>
  <si>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</si>
  <si>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</si>
  <si>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</si>
  <si>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</si>
  <si>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</si>
  <si>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</si>
  <si>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</si>
  <si>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</si>
  <si>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</si>
  <si>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</si>
  <si>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</si>
  <si>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</si>
  <si>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</si>
  <si>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</si>
  <si>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</si>
  <si>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</si>
  <si>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</si>
  <si>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</si>
  <si>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</si>
  <si>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</si>
  <si>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</si>
  <si>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</si>
  <si>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</si>
  <si>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</si>
  <si>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</si>
  <si>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</si>
  <si>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</si>
  <si>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</si>
  <si>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</si>
  <si>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</si>
  <si>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</si>
  <si>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</si>
  <si>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</si>
  <si>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</si>
  <si>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</si>
  <si>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</si>
  <si>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</si>
  <si>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</si>
  <si>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</si>
  <si>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</si>
  <si>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</si>
  <si>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</si>
  <si>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</si>
  <si>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</si>
  <si>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</si>
  <si>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</si>
  <si>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</si>
  <si>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</si>
  <si>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</si>
  <si>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</si>
  <si>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</si>
  <si>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</si>
  <si>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</si>
  <si>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</si>
  <si>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</si>
  <si>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</si>
  <si>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</si>
  <si>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</si>
  <si>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</si>
  <si>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</si>
  <si>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</si>
  <si>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</si>
  <si>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</si>
  <si>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</si>
  <si>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</si>
  <si>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</si>
  <si>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</si>
  <si>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</si>
  <si>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</si>
  <si>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</si>
  <si>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</si>
  <si>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</si>
  <si>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</si>
  <si>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</si>
  <si>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</si>
  <si>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</si>
  <si>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</si>
  <si>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</si>
  <si>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</si>
  <si>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</si>
  <si>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</si>
  <si>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</si>
  <si>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</si>
  <si>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</si>
  <si>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</si>
  <si>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</si>
  <si>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</si>
  <si>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</si>
  <si>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</si>
  <si>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</si>
  <si>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</si>
  <si>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</si>
  <si>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</si>
  <si>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</si>
  <si>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</si>
  <si>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</si>
  <si>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</si>
  <si>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</si>
  <si>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</si>
  <si>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</si>
  <si>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</si>
  <si>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</si>
  <si>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</si>
  <si>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</si>
  <si>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</si>
  <si>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</si>
  <si>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</si>
  <si>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</si>
  <si>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</si>
  <si>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</si>
  <si>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</si>
  <si>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</si>
  <si>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Zidovudine/Lamivudine</t>
  </si>
  <si>
    <t>Syringes (1ml)</t>
  </si>
  <si>
    <t>(1)
Number of tablets/mgs per patient per day
(Review country treatment guidelines)</t>
  </si>
  <si>
    <t>Treatment, care and support</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</si>
  <si>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</si>
  <si>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</si>
  <si>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</si>
  <si>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</si>
  <si>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</si>
  <si>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</si>
  <si>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</si>
  <si>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</si>
  <si>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</si>
  <si>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</si>
  <si>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</si>
  <si>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</si>
  <si>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</si>
  <si>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Percentage of other vulnerable populations (prisoners) that have received an HIV test during the reporting period and know their results</t>
  </si>
  <si>
    <t>KP-3e</t>
  </si>
  <si>
    <t xml:space="preserve">Percentage of people living with HIV currently receiving antiretroviral therapy </t>
  </si>
  <si>
    <t>TCS-1</t>
  </si>
  <si>
    <t>N/A</t>
  </si>
  <si>
    <t>NFM</t>
  </si>
  <si>
    <t xml:space="preserve">Sustaining and Scaling up the Effective HIV/AIDS Prevention, Treatment and Care in Georgia </t>
  </si>
  <si>
    <t>NFM Grant Requirements</t>
  </si>
  <si>
    <t>Condoms (Tanadgoma)</t>
  </si>
  <si>
    <t xml:space="preserve"> Percentage of individuals receiving Opioid Substitution Therapy who received treatment for at least 6 months</t>
  </si>
  <si>
    <t>Condoms (EM)</t>
  </si>
  <si>
    <t>Alexander Asatiani, Nino Vakhania</t>
  </si>
  <si>
    <t>Tatyana Vinichenko</t>
  </si>
  <si>
    <t>Comprehensive prevention programs for MSM</t>
  </si>
  <si>
    <t>Comprehensive prevention programs for people who inject drugs (PWID) and their partners</t>
  </si>
  <si>
    <t>Comprehensive prevention programs for sex workers and their clients</t>
  </si>
  <si>
    <t>RSSH: Community responses and systems</t>
  </si>
  <si>
    <t>RSSH: Human resources for health (HRH), including community health workers</t>
  </si>
  <si>
    <t>Disbursed to SR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</si>
</sst>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6">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z val="11"/>
      <color theme="1"/>
      <name val="Calibri"/>
      <family val="2"/>
    </font>
    <font>
      <sz val="11"/>
      <color rgb="FF000000"/>
      <name val="Calibri"/>
      <family val="2"/>
      <scheme val="minor"/>
    </font>
    <font>
      <sz val="11"/>
      <color theme="0" tint="-0.14999847407452621"/>
      <name val="Calibri"/>
      <family val="2"/>
      <scheme val="minor"/>
    </font>
    <font>
      <sz val="11"/>
      <color rgb="FFFF0000"/>
      <name val="Calibri"/>
      <family val="2"/>
    </font>
    <font>
      <sz val="11"/>
      <color rgb="FF0070C0"/>
      <name val="Calibri"/>
      <family val="2"/>
      <scheme val="minor"/>
    </font>
    <font>
      <b/>
      <sz val="10"/>
      <color rgb="FFFF0000"/>
      <name val="Arial"/>
      <family val="2"/>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
      <b/>
      <sz val="9"/>
      <color rgb="FF000000"/>
      <name val="Tahoma"/>
      <family val="2"/>
    </font>
    <font>
      <sz val="9"/>
      <color rgb="FF000000"/>
      <name val="Tahoma"/>
      <family val="2"/>
    </font>
  </fonts>
  <fills count="4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6"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9" fontId="131" fillId="0" borderId="0" applyFont="0" applyFill="0" applyBorder="0" applyAlignment="0" applyProtection="0"/>
  </cellStyleXfs>
  <cellXfs count="967">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5" fontId="14" fillId="19" borderId="78" xfId="0" applyNumberFormat="1" applyFont="1" applyFill="1" applyBorder="1" applyAlignment="1" applyProtection="1">
      <alignment horizontal="center"/>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1"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3" xfId="0" applyNumberFormat="1" applyFill="1" applyBorder="1" applyProtection="1"/>
    <xf numFmtId="0" fontId="0" fillId="0" borderId="103" xfId="0" applyBorder="1" applyProtection="1"/>
    <xf numFmtId="166" fontId="131" fillId="0" borderId="102" xfId="28" applyNumberFormat="1" applyFont="1" applyFill="1" applyBorder="1" applyProtection="1"/>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57" xfId="28" applyNumberFormat="1" applyFont="1" applyFill="1" applyBorder="1" applyProtection="1"/>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2" borderId="10" xfId="28" applyNumberFormat="1" applyFont="1" applyFill="1" applyBorder="1" applyAlignment="1" applyProtection="1">
      <alignment vertical="center"/>
      <protection locked="0"/>
    </xf>
    <xf numFmtId="166" fontId="67" fillId="23"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protection locked="0"/>
    </xf>
    <xf numFmtId="166" fontId="67" fillId="29"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protection locked="0"/>
    </xf>
    <xf numFmtId="166" fontId="77" fillId="29" borderId="10" xfId="28" applyNumberFormat="1" applyFont="1" applyFill="1" applyBorder="1" applyAlignment="1" applyProtection="1">
      <alignment vertical="center"/>
      <protection locked="0"/>
    </xf>
    <xf numFmtId="166" fontId="77" fillId="23" borderId="91" xfId="28" applyNumberFormat="1" applyFont="1" applyFill="1" applyBorder="1" applyAlignment="1" applyProtection="1">
      <alignment horizontal="right" vertical="center"/>
    </xf>
    <xf numFmtId="166" fontId="77" fillId="23" borderId="91"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5" fontId="14" fillId="38" borderId="106" xfId="0" applyNumberFormat="1" applyFont="1" applyFill="1" applyBorder="1" applyAlignment="1" applyProtection="1">
      <alignment horizontal="center"/>
      <protection locked="0"/>
    </xf>
    <xf numFmtId="165" fontId="14" fillId="38" borderId="110" xfId="0" applyNumberFormat="1" applyFont="1" applyFill="1" applyBorder="1" applyAlignment="1" applyProtection="1">
      <alignment horizontal="center"/>
      <protection locked="0"/>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9" fontId="134" fillId="29" borderId="10" xfId="56" applyFont="1" applyFill="1" applyBorder="1" applyAlignment="1" applyProtection="1">
      <alignment vertical="center"/>
    </xf>
    <xf numFmtId="174" fontId="134"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1" fontId="135" fillId="36" borderId="153" xfId="0" applyNumberFormat="1" applyFont="1" applyFill="1" applyBorder="1" applyAlignment="1" applyProtection="1">
      <alignment horizontal="center" vertical="center"/>
    </xf>
    <xf numFmtId="1" fontId="15" fillId="36" borderId="153" xfId="0" applyNumberFormat="1" applyFont="1" applyFill="1" applyBorder="1" applyAlignment="1" applyProtection="1">
      <alignment horizontal="center" vertical="center"/>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20" borderId="102" xfId="0" applyNumberFormat="1" applyFill="1" applyBorder="1" applyAlignment="1" applyProtection="1">
      <alignment horizontal="center" vertical="center"/>
    </xf>
    <xf numFmtId="1" fontId="0" fillId="0" borderId="102"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37" fillId="0" borderId="0" xfId="0" applyFont="1" applyBorder="1" applyProtection="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1" fontId="138" fillId="36" borderId="153" xfId="0" applyNumberFormat="1" applyFont="1" applyFill="1" applyBorder="1" applyAlignment="1" applyProtection="1">
      <alignment horizontal="center" vertical="center"/>
    </xf>
    <xf numFmtId="0" fontId="133" fillId="0" borderId="0" xfId="0" applyFont="1" applyAlignment="1">
      <alignment horizontal="left" vertical="top"/>
    </xf>
    <xf numFmtId="43" fontId="139" fillId="39" borderId="10" xfId="28" applyFont="1" applyFill="1" applyBorder="1" applyProtection="1">
      <protection locked="0"/>
    </xf>
    <xf numFmtId="43" fontId="139" fillId="39" borderId="102" xfId="28" applyNumberFormat="1" applyFont="1" applyFill="1" applyBorder="1" applyProtection="1">
      <protection locked="0"/>
    </xf>
    <xf numFmtId="166" fontId="139" fillId="39" borderId="10" xfId="28" applyNumberFormat="1" applyFont="1" applyFill="1" applyBorder="1" applyProtection="1">
      <protection locked="0"/>
    </xf>
    <xf numFmtId="166" fontId="139" fillId="39" borderId="102" xfId="28" applyNumberFormat="1" applyFont="1" applyFill="1" applyBorder="1" applyProtection="1">
      <protection locked="0"/>
    </xf>
    <xf numFmtId="166" fontId="139" fillId="39" borderId="10" xfId="28" applyNumberFormat="1" applyFont="1" applyFill="1" applyBorder="1" applyProtection="1"/>
    <xf numFmtId="3" fontId="140" fillId="22" borderId="10" xfId="0" applyNumberFormat="1" applyFont="1" applyFill="1" applyBorder="1" applyAlignment="1" applyProtection="1">
      <alignment vertical="center"/>
    </xf>
    <xf numFmtId="3" fontId="140" fillId="23" borderId="10" xfId="0" applyNumberFormat="1" applyFont="1" applyFill="1" applyBorder="1" applyAlignment="1" applyProtection="1">
      <alignment vertical="center"/>
    </xf>
    <xf numFmtId="3" fontId="140" fillId="29" borderId="10" xfId="0" applyNumberFormat="1" applyFont="1" applyFill="1" applyBorder="1" applyAlignment="1" applyProtection="1">
      <alignment vertical="center"/>
    </xf>
    <xf numFmtId="3" fontId="140" fillId="23" borderId="10" xfId="0" applyNumberFormat="1" applyFont="1" applyFill="1" applyBorder="1" applyAlignment="1" applyProtection="1">
      <alignment horizontal="right" vertical="center"/>
    </xf>
    <xf numFmtId="0" fontId="0" fillId="0" borderId="0" xfId="0" applyFill="1" applyProtection="1"/>
    <xf numFmtId="43" fontId="131" fillId="0" borderId="10" xfId="28" applyNumberFormat="1" applyFont="1" applyFill="1" applyBorder="1" applyAlignment="1" applyProtection="1">
      <alignment horizontal="center"/>
    </xf>
    <xf numFmtId="43" fontId="131" fillId="0" borderId="102" xfId="28" applyNumberFormat="1" applyFont="1" applyFill="1" applyBorder="1" applyAlignment="1" applyProtection="1">
      <alignment horizontal="center"/>
    </xf>
    <xf numFmtId="0" fontId="141" fillId="0" borderId="0" xfId="0" applyFont="1" applyBorder="1" applyProtection="1"/>
    <xf numFmtId="0" fontId="141" fillId="0" borderId="0" xfId="0" applyFont="1" applyFill="1" applyBorder="1" applyProtection="1"/>
    <xf numFmtId="0" fontId="141" fillId="0" borderId="0" xfId="0" applyFont="1" applyBorder="1"/>
    <xf numFmtId="0" fontId="142" fillId="0" borderId="0" xfId="0" applyFont="1" applyFill="1" applyBorder="1" applyAlignment="1" applyProtection="1">
      <alignment horizontal="center" vertical="center" wrapText="1"/>
    </xf>
    <xf numFmtId="0" fontId="143" fillId="0" borderId="0" xfId="0" applyFont="1" applyFill="1" applyBorder="1" applyAlignment="1" applyProtection="1">
      <alignment horizontal="center" vertical="center"/>
    </xf>
    <xf numFmtId="0" fontId="141" fillId="0" borderId="0" xfId="0" applyFont="1" applyFill="1" applyBorder="1" applyAlignment="1" applyProtection="1">
      <alignment horizontal="center" vertical="center"/>
    </xf>
    <xf numFmtId="0" fontId="141" fillId="0" borderId="0" xfId="0" applyFont="1" applyBorder="1" applyAlignment="1" applyProtection="1">
      <alignment horizontal="center" vertical="center"/>
    </xf>
    <xf numFmtId="0" fontId="141" fillId="0" borderId="0" xfId="0" applyFont="1" applyBorder="1" applyAlignment="1">
      <alignment horizontal="center" vertical="center"/>
    </xf>
    <xf numFmtId="15" fontId="141" fillId="0" borderId="0" xfId="0" applyNumberFormat="1" applyFont="1" applyFill="1" applyBorder="1" applyAlignment="1" applyProtection="1">
      <alignment horizontal="center" vertical="center"/>
      <protection locked="0"/>
    </xf>
    <xf numFmtId="0" fontId="141" fillId="0" borderId="0" xfId="0" applyFont="1" applyFill="1" applyBorder="1" applyAlignment="1" applyProtection="1">
      <alignment horizontal="center" vertical="center"/>
      <protection locked="0"/>
    </xf>
    <xf numFmtId="49" fontId="0" fillId="0" borderId="10" xfId="0" applyNumberFormat="1" applyFill="1" applyBorder="1" applyAlignment="1" applyProtection="1">
      <alignment horizontal="center"/>
      <protection locked="0"/>
    </xf>
    <xf numFmtId="15" fontId="1" fillId="0" borderId="10" xfId="58" applyNumberFormat="1" applyFont="1" applyFill="1" applyBorder="1" applyAlignment="1" applyProtection="1">
      <alignment horizontal="center"/>
      <protection locked="0"/>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0" fillId="0" borderId="111" xfId="0" applyBorder="1" applyAlignment="1">
      <alignment horizontal="center"/>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0" fillId="0" borderId="111" xfId="0" applyBorder="1" applyAlignment="1">
      <alignment horizontal="center" wrapText="1"/>
    </xf>
    <xf numFmtId="0" fontId="0" fillId="0" borderId="0"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0" fillId="0" borderId="0" xfId="0" applyBorder="1" applyAlignment="1">
      <alignment horizontal="center"/>
    </xf>
    <xf numFmtId="0" fontId="86" fillId="0" borderId="0" xfId="0" applyFont="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6"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0" fontId="67" fillId="0" borderId="45"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34" fillId="22" borderId="115" xfId="0" applyNumberFormat="1" applyFont="1" applyFill="1" applyBorder="1" applyAlignment="1" applyProtection="1">
      <alignment horizontal="center" vertical="center" wrapText="1"/>
      <protection locked="0"/>
    </xf>
    <xf numFmtId="0" fontId="134" fillId="22" borderId="4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45"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67" fillId="22" borderId="45" xfId="0" applyNumberFormat="1" applyFont="1" applyFill="1" applyBorder="1" applyAlignment="1" applyProtection="1">
      <alignment horizontal="center" vertical="center" wrapText="1"/>
      <protection locked="0"/>
    </xf>
    <xf numFmtId="49" fontId="2"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3" fontId="61" fillId="32" borderId="0" xfId="39" applyFont="1" applyFill="1" applyAlignment="1" applyProtection="1">
      <alignment horizontal="center" vertic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0" fontId="114" fillId="0" borderId="0" xfId="0" applyFont="1" applyAlignment="1" applyProtection="1">
      <alignment horizontal="right"/>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134" fillId="34" borderId="128" xfId="0" applyNumberFormat="1" applyFont="1" applyFill="1" applyBorder="1" applyAlignment="1" applyProtection="1">
      <alignment horizontal="left" vertical="center" wrapText="1"/>
      <protection locked="0"/>
    </xf>
    <xf numFmtId="49" fontId="134" fillId="34" borderId="111" xfId="0" applyNumberFormat="1" applyFont="1" applyFill="1" applyBorder="1" applyAlignment="1" applyProtection="1">
      <alignment horizontal="left" vertical="center" wrapText="1"/>
      <protection locked="0"/>
    </xf>
    <xf numFmtId="49" fontId="134" fillId="34" borderId="129" xfId="0" applyNumberFormat="1" applyFont="1" applyFill="1" applyBorder="1" applyAlignment="1" applyProtection="1">
      <alignment horizontal="left" vertical="center" wrapText="1"/>
      <protection locked="0"/>
    </xf>
    <xf numFmtId="49" fontId="134" fillId="34" borderId="105" xfId="0" applyNumberFormat="1" applyFont="1" applyFill="1" applyBorder="1" applyAlignment="1" applyProtection="1">
      <alignment horizontal="left" vertical="center" wrapText="1"/>
      <protection locked="0"/>
    </xf>
    <xf numFmtId="49" fontId="134" fillId="34" borderId="106" xfId="0" applyNumberFormat="1" applyFont="1" applyFill="1" applyBorder="1" applyAlignment="1" applyProtection="1">
      <alignment horizontal="left" vertical="center" wrapText="1"/>
      <protection locked="0"/>
    </xf>
    <xf numFmtId="49" fontId="134" fillId="34" borderId="110" xfId="0" applyNumberFormat="1" applyFont="1" applyFill="1" applyBorder="1" applyAlignment="1" applyProtection="1">
      <alignment horizontal="left" vertical="center" wrapText="1"/>
      <protection locked="0"/>
    </xf>
    <xf numFmtId="0" fontId="67" fillId="27" borderId="45" xfId="0" applyFont="1" applyFill="1" applyBorder="1" applyAlignment="1" applyProtection="1">
      <alignment horizontal="center" vertical="center" wrapText="1"/>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0" fontId="114" fillId="0" borderId="142"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0" borderId="27" xfId="0" applyNumberFormat="1" applyFill="1" applyBorder="1" applyAlignment="1" applyProtection="1">
      <alignment horizontal="center"/>
      <protection locked="0"/>
    </xf>
    <xf numFmtId="49" fontId="0" fillId="0"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43" fontId="15" fillId="40" borderId="10" xfId="58" applyFont="1" applyFill="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49" fontId="0" fillId="0" borderId="10" xfId="0" applyNumberFormat="1" applyBorder="1" applyAlignment="1" applyProtection="1">
      <alignment horizontal="center"/>
      <protection locked="0"/>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43" fontId="24" fillId="24" borderId="41" xfId="58" applyFont="1" applyFill="1" applyBorder="1" applyAlignment="1" applyProtection="1">
      <alignment horizontal="center"/>
    </xf>
    <xf numFmtId="43" fontId="1" fillId="0" borderId="41" xfId="58" applyFont="1" applyFill="1" applyBorder="1" applyAlignment="1" applyProtection="1">
      <alignment horizontal="right"/>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43" fontId="106" fillId="32" borderId="0" xfId="39" applyFont="1" applyFill="1" applyAlignment="1" applyProtection="1">
      <alignment horizontal="center" vertic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0" fontId="111" fillId="0" borderId="0" xfId="0" applyFont="1" applyAlignment="1" applyProtection="1">
      <alignment horizontal="center"/>
    </xf>
    <xf numFmtId="43" fontId="110" fillId="0" borderId="122" xfId="0" applyNumberFormat="1" applyFont="1" applyBorder="1" applyAlignment="1" applyProtection="1">
      <alignment horizontal="center" vertical="center" wrapText="1"/>
    </xf>
    <xf numFmtId="43" fontId="110" fillId="0" borderId="123" xfId="0" applyNumberFormat="1" applyFont="1" applyBorder="1" applyAlignment="1" applyProtection="1">
      <alignment horizontal="center" vertical="center" wrapText="1"/>
    </xf>
    <xf numFmtId="43" fontId="110"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30"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34"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118" fillId="0" borderId="154" xfId="0" applyFont="1" applyFill="1" applyBorder="1" applyAlignment="1" applyProtection="1">
      <alignment horizontal="left" wrapText="1"/>
    </xf>
    <xf numFmtId="0" fontId="118" fillId="0" borderId="155" xfId="0" applyFont="1" applyFill="1" applyBorder="1" applyAlignment="1" applyProtection="1">
      <alignment horizontal="left" wrapText="1"/>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43" fontId="28" fillId="0" borderId="0" xfId="0" applyNumberFormat="1" applyFont="1" applyAlignment="1">
      <alignment horizontal="right"/>
    </xf>
    <xf numFmtId="15" fontId="28" fillId="0" borderId="0" xfId="0" applyNumberFormat="1" applyFont="1" applyAlignment="1">
      <alignment horizontal="right"/>
    </xf>
    <xf numFmtId="0" fontId="0" fillId="0" borderId="44" xfId="0" applyBorder="1" applyAlignment="1">
      <alignment horizontal="left" wrapText="1"/>
    </xf>
    <xf numFmtId="0" fontId="0" fillId="0" borderId="45" xfId="0" applyBorder="1" applyAlignment="1">
      <alignment horizontal="left" wrapText="1"/>
    </xf>
    <xf numFmtId="43" fontId="14" fillId="0" borderId="0" xfId="0" applyNumberFormat="1" applyFont="1" applyAlignment="1">
      <alignment horizontal="center"/>
    </xf>
    <xf numFmtId="0" fontId="14" fillId="0" borderId="0" xfId="0" applyFont="1" applyBorder="1" applyAlignment="1">
      <alignment horizontal="center"/>
    </xf>
    <xf numFmtId="43" fontId="28" fillId="0" borderId="0" xfId="0" applyNumberFormat="1" applyFont="1" applyAlignment="1">
      <alignment horizontal="left"/>
    </xf>
    <xf numFmtId="43" fontId="61" fillId="32" borderId="0" xfId="48" applyFont="1" applyFill="1" applyAlignment="1">
      <alignment horizontal="center" vertical="center"/>
    </xf>
    <xf numFmtId="0" fontId="111" fillId="0" borderId="0" xfId="0" applyFont="1" applyAlignment="1">
      <alignment horizontal="center"/>
    </xf>
    <xf numFmtId="0" fontId="85" fillId="0" borderId="0" xfId="0" applyFont="1" applyAlignment="1">
      <alignment horizontal="left" wrapText="1"/>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43" fontId="61" fillId="32" borderId="0" xfId="48" applyFont="1" applyFill="1" applyAlignment="1" applyProtection="1">
      <alignment horizontal="center" vertical="center"/>
    </xf>
    <xf numFmtId="0" fontId="34" fillId="0" borderId="111" xfId="0" applyFont="1" applyBorder="1" applyAlignment="1" applyProtection="1">
      <alignment horizontal="left"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0" fontId="28" fillId="0" borderId="10" xfId="0" applyFont="1" applyBorder="1" applyAlignment="1" applyProtection="1">
      <alignment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0" fontId="78" fillId="0" borderId="177" xfId="0" applyFont="1" applyFill="1" applyBorder="1" applyAlignment="1" applyProtection="1">
      <alignment horizont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80" fillId="0" borderId="185"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25" fillId="24" borderId="200" xfId="0" applyFont="1" applyFill="1" applyBorder="1" applyAlignment="1" applyProtection="1">
      <alignment horizontal="center" vertical="center"/>
    </xf>
    <xf numFmtId="0" fontId="111" fillId="0" borderId="0" xfId="0" applyFont="1" applyBorder="1" applyAlignment="1" applyProtection="1">
      <alignment horizontal="center"/>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17" xfId="0" applyFont="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0" fontId="77" fillId="21" borderId="224"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0" fontId="21" fillId="0" borderId="216" xfId="0" applyFont="1" applyFill="1" applyBorder="1" applyAlignment="1" applyProtection="1">
      <alignment horizontal="left"/>
      <protection locked="0"/>
    </xf>
    <xf numFmtId="0" fontId="33" fillId="0" borderId="0" xfId="0" applyFont="1" applyAlignment="1">
      <alignment horizontal="center"/>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21" fillId="0" borderId="229"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77" fillId="21" borderId="211" xfId="53" applyNumberFormat="1" applyFont="1" applyFill="1" applyBorder="1" applyAlignment="1">
      <alignment horizontal="center" vertical="center" wrapText="1"/>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17" fontId="21" fillId="0" borderId="37" xfId="0" applyNumberFormat="1"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37"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0" fontId="21" fillId="0" borderId="218" xfId="0" applyFont="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237" xfId="0" applyFont="1" applyFill="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237" xfId="0" applyFont="1" applyBorder="1" applyAlignment="1" applyProtection="1">
      <alignment horizontal="left"/>
      <protection locked="0"/>
    </xf>
    <xf numFmtId="43" fontId="17" fillId="32" borderId="0" xfId="39" applyFont="1" applyFill="1" applyAlignment="1">
      <alignment horizontal="center" vertical="center"/>
    </xf>
  </cellXfs>
  <cellStyles count="6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63"/>
    <cellStyle name="Comma 3" xfId="65"/>
    <cellStyle name="Comma 4" xfId="64"/>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10" xfId="67"/>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Percent 2" xfId="68"/>
    <cellStyle name="Percent 3" xfId="66"/>
    <cellStyle name="Title" xfId="57"/>
    <cellStyle name="Título 3 3" xfId="58"/>
    <cellStyle name="Título 3 3_Prototipo" xfId="59"/>
    <cellStyle name="Título 3 3_PrototipoRep1" xfId="60"/>
    <cellStyle name="Título 3 7" xfId="61"/>
    <cellStyle name="Warning Text" xfId="62"/>
  </cellStyles>
  <dxfs count="3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717729.52771723305</c:v>
                </c:pt>
                <c:pt idx="1">
                  <c:v>1702547.4540092666</c:v>
                </c:pt>
                <c:pt idx="2">
                  <c:v>2356897.2811430749</c:v>
                </c:pt>
                <c:pt idx="3">
                  <c:v>3273408.0366011825</c:v>
                </c:pt>
                <c:pt idx="4">
                  <c:v>4293280.9779703738</c:v>
                </c:pt>
                <c:pt idx="5">
                  <c:v>4930032.3111087261</c:v>
                </c:pt>
                <c:pt idx="6">
                  <c:v>5529158.4684332879</c:v>
                </c:pt>
                <c:pt idx="7">
                  <c:v>6729830.128631847</c:v>
                </c:pt>
                <c:pt idx="8">
                  <c:v>7368154.0151762124</c:v>
                </c:pt>
                <c:pt idx="9">
                  <c:v>7913184.949599281</c:v>
                </c:pt>
                <c:pt idx="10">
                  <c:v>8668327.6254981533</c:v>
                </c:pt>
                <c:pt idx="11">
                  <c:v>9348442.7807519436</c:v>
                </c:pt>
              </c:numCache>
            </c:numRef>
          </c:val>
          <c:extLst xmlns:c16r2="http://schemas.microsoft.com/office/drawing/2015/06/char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695428.56</c:v>
                </c:pt>
                <c:pt idx="1">
                  <c:v>695428.56</c:v>
                </c:pt>
                <c:pt idx="2">
                  <c:v>695428.56</c:v>
                </c:pt>
                <c:pt idx="3">
                  <c:v>695428.56</c:v>
                </c:pt>
                <c:pt idx="4">
                  <c:v>695428.56</c:v>
                </c:pt>
                <c:pt idx="5">
                  <c:v>695428.56</c:v>
                </c:pt>
                <c:pt idx="6">
                  <c:v>695428.56</c:v>
                </c:pt>
                <c:pt idx="7">
                  <c:v>695428.56</c:v>
                </c:pt>
                <c:pt idx="8">
                  <c:v>695428.56</c:v>
                </c:pt>
                <c:pt idx="9">
                  <c:v>695428.56</c:v>
                </c:pt>
                <c:pt idx="10">
                  <c:v>695428.56</c:v>
                </c:pt>
                <c:pt idx="11">
                  <c:v>695428.56</c:v>
                </c:pt>
              </c:numCache>
            </c:numRef>
          </c:val>
          <c:extLst xmlns:c16r2="http://schemas.microsoft.com/office/drawing/2015/06/char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889958320"/>
        <c:axId val="-889952880"/>
      </c:barChart>
      <c:catAx>
        <c:axId val="-88995832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889952880"/>
        <c:crosses val="autoZero"/>
        <c:auto val="1"/>
        <c:lblAlgn val="ctr"/>
        <c:lblOffset val="100"/>
        <c:tickLblSkip val="1"/>
        <c:tickMarkSkip val="1"/>
        <c:noMultiLvlLbl val="0"/>
      </c:catAx>
      <c:valAx>
        <c:axId val="-8899528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88995832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Entry'!$B$51:$B$54</c:f>
              <c:strCache>
                <c:ptCount val="4"/>
                <c:pt idx="0">
                  <c:v>Disbursed by Global Fund</c:v>
                </c:pt>
                <c:pt idx="1">
                  <c:v>PR expenditure and disbursement</c:v>
                </c:pt>
                <c:pt idx="2">
                  <c:v>Disbursed to SR</c:v>
                </c:pt>
                <c:pt idx="3">
                  <c:v>SR expenditures</c:v>
                </c:pt>
              </c:strCache>
            </c:strRef>
          </c:cat>
          <c:val>
            <c:numRef>
              <c:f>'Data Entry'!$C$51:$C$54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Entry'!$B$51:$B$54</c:f>
              <c:strCache>
                <c:ptCount val="4"/>
                <c:pt idx="0">
                  <c:v>Disbursed by Global Fund</c:v>
                </c:pt>
                <c:pt idx="1">
                  <c:v>PR expenditure and disbursement</c:v>
                </c:pt>
                <c:pt idx="2">
                  <c:v>Disbursed to SR</c:v>
                </c:pt>
                <c:pt idx="3">
                  <c:v>SR expenditures</c:v>
                </c:pt>
              </c:strCache>
            </c:strRef>
          </c:cat>
          <c:val>
            <c:numRef>
              <c:f>'Data Entry'!$D$51:$D$54</c:f>
              <c:numCache>
                <c:formatCode>#,##0</c:formatCode>
                <c:ptCount val="4"/>
                <c:pt idx="0">
                  <c:v>695428.56</c:v>
                </c:pt>
                <c:pt idx="1">
                  <c:v>359460.73743882385</c:v>
                </c:pt>
                <c:pt idx="2">
                  <c:v>66485.931240430698</c:v>
                </c:pt>
                <c:pt idx="3">
                  <c:v>100347</c:v>
                </c:pt>
              </c:numCache>
            </c:numRef>
          </c:val>
          <c:extLst xmlns:c16r2="http://schemas.microsoft.com/office/drawing/2015/06/char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889956144"/>
        <c:axId val="-889951792"/>
      </c:barChart>
      <c:catAx>
        <c:axId val="-88995614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889951792"/>
        <c:crossesAt val="0"/>
        <c:auto val="1"/>
        <c:lblAlgn val="ctr"/>
        <c:lblOffset val="100"/>
        <c:noMultiLvlLbl val="0"/>
      </c:catAx>
      <c:valAx>
        <c:axId val="-889951792"/>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995614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Entry'!$C$39:$C$43</c:f>
              <c:numCache>
                <c:formatCode>#,##0</c:formatCode>
                <c:ptCount val="5"/>
                <c:pt idx="0">
                  <c:v>142328.31488047715</c:v>
                </c:pt>
                <c:pt idx="1">
                  <c:v>85786.368062317415</c:v>
                </c:pt>
                <c:pt idx="2">
                  <c:v>147334.79030225266</c:v>
                </c:pt>
                <c:pt idx="3">
                  <c:v>269009.63240494044</c:v>
                </c:pt>
                <c:pt idx="4">
                  <c:v>73270.422067245483</c:v>
                </c:pt>
              </c:numCache>
            </c:numRef>
          </c:val>
          <c:extLst xmlns:c16r2="http://schemas.microsoft.com/office/drawing/2015/06/char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Entry'!$D$39:$D$43</c:f>
              <c:numCache>
                <c:formatCode>#,##0</c:formatCode>
                <c:ptCount val="5"/>
                <c:pt idx="0">
                  <c:v>82049.951845754098</c:v>
                </c:pt>
                <c:pt idx="1">
                  <c:v>56938.184427096392</c:v>
                </c:pt>
                <c:pt idx="2">
                  <c:v>70725.041379740927</c:v>
                </c:pt>
                <c:pt idx="3">
                  <c:v>172682.95005129979</c:v>
                </c:pt>
                <c:pt idx="4">
                  <c:v>39288.741147085871</c:v>
                </c:pt>
              </c:numCache>
            </c:numRef>
          </c:val>
          <c:extLst xmlns:c16r2="http://schemas.microsoft.com/office/drawing/2015/06/char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889955600"/>
        <c:axId val="-889965936"/>
      </c:barChart>
      <c:catAx>
        <c:axId val="-889955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889965936"/>
        <c:crosses val="autoZero"/>
        <c:auto val="1"/>
        <c:lblAlgn val="ctr"/>
        <c:lblOffset val="100"/>
        <c:tickMarkSkip val="1"/>
        <c:noMultiLvlLbl val="0"/>
      </c:catAx>
      <c:valAx>
        <c:axId val="-8899659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88995560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Entry'!$C$77</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57A2-4CDC-8CE0-0E085F052E53}"/>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Entry'!$C$78</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889952336"/>
        <c:axId val="-889964848"/>
      </c:barChart>
      <c:barChart>
        <c:barDir val="bar"/>
        <c:grouping val="percentStacked"/>
        <c:varyColors val="0"/>
        <c:ser>
          <c:idx val="1"/>
          <c:order val="1"/>
          <c:tx>
            <c:strRef>
              <c:f>'Data Entry'!$D$77</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Entry'!$D$78</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2-57A2-4CDC-8CE0-0E085F052E53}"/>
            </c:ext>
          </c:extLst>
        </c:ser>
        <c:ser>
          <c:idx val="2"/>
          <c:order val="2"/>
          <c:tx>
            <c:strRef>
              <c:f>'Data Entry'!$E$77</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889684416"/>
        <c:axId val="-889686048"/>
      </c:barChart>
      <c:catAx>
        <c:axId val="-889952336"/>
        <c:scaling>
          <c:orientation val="minMax"/>
        </c:scaling>
        <c:delete val="1"/>
        <c:axPos val="l"/>
        <c:majorTickMark val="out"/>
        <c:minorTickMark val="none"/>
        <c:tickLblPos val="nextTo"/>
        <c:crossAx val="-889964848"/>
        <c:crosses val="autoZero"/>
        <c:auto val="1"/>
        <c:lblAlgn val="ctr"/>
        <c:lblOffset val="100"/>
        <c:noMultiLvlLbl val="0"/>
      </c:catAx>
      <c:valAx>
        <c:axId val="-88996484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889952336"/>
        <c:crosses val="max"/>
        <c:crossBetween val="between"/>
      </c:valAx>
      <c:catAx>
        <c:axId val="-889684416"/>
        <c:scaling>
          <c:orientation val="minMax"/>
        </c:scaling>
        <c:delete val="1"/>
        <c:axPos val="l"/>
        <c:majorTickMark val="out"/>
        <c:minorTickMark val="none"/>
        <c:tickLblPos val="nextTo"/>
        <c:crossAx val="-889686048"/>
        <c:crosses val="autoZero"/>
        <c:auto val="0"/>
        <c:lblAlgn val="ctr"/>
        <c:lblOffset val="100"/>
        <c:noMultiLvlLbl val="0"/>
      </c:catAx>
      <c:valAx>
        <c:axId val="-889686048"/>
        <c:scaling>
          <c:orientation val="minMax"/>
        </c:scaling>
        <c:delete val="0"/>
        <c:axPos val="b"/>
        <c:numFmt formatCode="0%" sourceLinked="1"/>
        <c:majorTickMark val="none"/>
        <c:minorTickMark val="none"/>
        <c:tickLblPos val="none"/>
        <c:spPr>
          <a:ln w="3175">
            <a:solidFill>
              <a:srgbClr val="000000"/>
            </a:solidFill>
            <a:prstDash val="solid"/>
          </a:ln>
        </c:spPr>
        <c:crossAx val="-889684416"/>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Entry'!$C$82</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Entry'!$C$83</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0-E986-4D8E-B9A2-30C0E039D4A6}"/>
            </c:ext>
          </c:extLst>
        </c:ser>
        <c:ser>
          <c:idx val="1"/>
          <c:order val="1"/>
          <c:tx>
            <c:strRef>
              <c:f>'Data Entry'!$D$82</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Entry'!$D$83</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1-E986-4D8E-B9A2-30C0E039D4A6}"/>
            </c:ext>
          </c:extLst>
        </c:ser>
        <c:ser>
          <c:idx val="2"/>
          <c:order val="2"/>
          <c:tx>
            <c:strRef>
              <c:f>'Data Entry'!$E$82</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Entry'!$E$83</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2-E986-4D8E-B9A2-30C0E039D4A6}"/>
            </c:ext>
          </c:extLst>
        </c:ser>
        <c:ser>
          <c:idx val="3"/>
          <c:order val="3"/>
          <c:tx>
            <c:strRef>
              <c:f>'Data Entry'!$F$82</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Entry'!$F$83</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3-E986-4D8E-B9A2-30C0E039D4A6}"/>
            </c:ext>
          </c:extLst>
        </c:ser>
        <c:ser>
          <c:idx val="4"/>
          <c:order val="4"/>
          <c:tx>
            <c:strRef>
              <c:f>'Data Entry'!$G$82</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Entry'!$G$83</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889683328"/>
        <c:axId val="-889688224"/>
      </c:barChart>
      <c:catAx>
        <c:axId val="-889683328"/>
        <c:scaling>
          <c:orientation val="minMax"/>
        </c:scaling>
        <c:delete val="0"/>
        <c:axPos val="b"/>
        <c:majorTickMark val="none"/>
        <c:minorTickMark val="none"/>
        <c:tickLblPos val="none"/>
        <c:spPr>
          <a:ln w="3175">
            <a:solidFill>
              <a:srgbClr val="000000"/>
            </a:solidFill>
            <a:prstDash val="solid"/>
          </a:ln>
        </c:spPr>
        <c:crossAx val="-889688224"/>
        <c:crosses val="autoZero"/>
        <c:auto val="0"/>
        <c:lblAlgn val="ctr"/>
        <c:lblOffset val="100"/>
        <c:tickMarkSkip val="1"/>
        <c:noMultiLvlLbl val="0"/>
      </c:catAx>
      <c:valAx>
        <c:axId val="-889688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9683328"/>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Entry'!$D$70</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'Data Entry'!$B$71:$B$72</c:f>
            </c:multiLvlStrRef>
          </c:cat>
          <c:val>
            <c:numRef>
              <c:f>'Data Entry'!$D$71:$D$72</c:f>
            </c:numRef>
          </c:val>
          <c:extLst xmlns:c16r2="http://schemas.microsoft.com/office/drawing/2015/06/chart">
            <c:ext xmlns:c16="http://schemas.microsoft.com/office/drawing/2014/chart" uri="{C3380CC4-5D6E-409C-BE32-E72D297353CC}">
              <c16:uniqueId val="{00000000-7D77-426D-8180-9FF2722F8EBA}"/>
            </c:ext>
          </c:extLst>
        </c:ser>
        <c:ser>
          <c:idx val="1"/>
          <c:order val="1"/>
          <c:tx>
            <c:strRef>
              <c:f>'Data Entry'!$E$70</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'Data Entry'!$B$71:$B$72</c:f>
            </c:multiLvlStrRef>
          </c:cat>
          <c:val>
            <c:numRef>
              <c:f>'Data Entry'!$E$71:$E$72</c:f>
            </c:numRef>
          </c:val>
          <c:extLst xmlns:c16r2="http://schemas.microsoft.com/office/drawing/2015/06/chart">
            <c:ext xmlns:c16="http://schemas.microsoft.com/office/drawing/2014/chart" uri="{C3380CC4-5D6E-409C-BE32-E72D297353CC}">
              <c16:uniqueId val="{00000001-7D77-426D-8180-9FF2722F8EBA}"/>
            </c:ext>
          </c:extLst>
        </c:ser>
        <c:ser>
          <c:idx val="2"/>
          <c:order val="2"/>
          <c:tx>
            <c:strRef>
              <c:f>'Data Entry'!$F$70</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xmlns:c16r2="http://schemas.microsoft.com/office/drawing/2015/06/chart">
                <c:ext xmlns:c16="http://schemas.microsoft.com/office/drawing/2014/chart" uri="{C3380CC4-5D6E-409C-BE32-E72D297353CC}">
                  <c16:uniqueId val="{00000002-7D77-426D-8180-9FF2722F8EB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'Data Entry'!$B$71:$B$72</c:f>
            </c:multiLvlStrRef>
          </c:cat>
          <c:val>
            <c:numRef>
              <c:f>'Data Entry'!$F$71:$F$72</c:f>
            </c:numRef>
          </c:val>
          <c:extLst xmlns:c16r2="http://schemas.microsoft.com/office/drawing/2015/06/char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889688768"/>
        <c:axId val="-889673536"/>
      </c:barChart>
      <c:catAx>
        <c:axId val="-8896887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9673536"/>
        <c:crosses val="autoZero"/>
        <c:auto val="1"/>
        <c:lblAlgn val="ctr"/>
        <c:lblOffset val="100"/>
        <c:tickLblSkip val="1"/>
        <c:tickMarkSkip val="1"/>
        <c:noMultiLvlLbl val="0"/>
      </c:catAx>
      <c:valAx>
        <c:axId val="-88967353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9688768"/>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Entry'!$D$87</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Entry'!$B$88:$B$89</c:f>
              <c:strCache>
                <c:ptCount val="2"/>
                <c:pt idx="0">
                  <c:v>SSR to SR</c:v>
                </c:pt>
                <c:pt idx="1">
                  <c:v>SRs to PR</c:v>
                </c:pt>
              </c:strCache>
            </c:strRef>
          </c:cat>
          <c:val>
            <c:numRef>
              <c:f>'Data Entry'!$D$88:$D$89</c:f>
              <c:numCache>
                <c:formatCode>0</c:formatCode>
                <c:ptCount val="2"/>
                <c:pt idx="0">
                  <c:v>165</c:v>
                </c:pt>
                <c:pt idx="1">
                  <c:v>21</c:v>
                </c:pt>
              </c:numCache>
            </c:numRef>
          </c:val>
          <c:extLst xmlns:c16r2="http://schemas.microsoft.com/office/drawing/2015/06/chart">
            <c:ext xmlns:c16="http://schemas.microsoft.com/office/drawing/2014/chart" uri="{C3380CC4-5D6E-409C-BE32-E72D297353CC}">
              <c16:uniqueId val="{00000000-8659-4553-BB7E-880CD8E77304}"/>
            </c:ext>
          </c:extLst>
        </c:ser>
        <c:ser>
          <c:idx val="2"/>
          <c:order val="1"/>
          <c:tx>
            <c:strRef>
              <c:f>'Data Entry'!$E$87</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Entry'!$B$88:$B$89</c:f>
              <c:strCache>
                <c:ptCount val="2"/>
                <c:pt idx="0">
                  <c:v>SSR to SR</c:v>
                </c:pt>
                <c:pt idx="1">
                  <c:v>SRs to PR</c:v>
                </c:pt>
              </c:strCache>
            </c:strRef>
          </c:cat>
          <c:val>
            <c:numRef>
              <c:f>'Data Entry'!$E$88:$E$89</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889682784"/>
        <c:axId val="-889680064"/>
      </c:barChart>
      <c:catAx>
        <c:axId val="-8896827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889680064"/>
        <c:crosses val="autoZero"/>
        <c:auto val="1"/>
        <c:lblAlgn val="ctr"/>
        <c:lblOffset val="100"/>
        <c:noMultiLvlLbl val="0"/>
      </c:catAx>
      <c:valAx>
        <c:axId val="-88968006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889682784"/>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Entry'!$B$97</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Entry'!$C$97:$N$97</c:f>
              <c:numCache>
                <c:formatCode>#,##0</c:formatCode>
                <c:ptCount val="12"/>
                <c:pt idx="0">
                  <c:v>2103.213242453749</c:v>
                </c:pt>
                <c:pt idx="1">
                  <c:v>194422.13567314509</c:v>
                </c:pt>
                <c:pt idx="2">
                  <c:v>195356.89711423565</c:v>
                </c:pt>
                <c:pt idx="3">
                  <c:v>429088.78231478092</c:v>
                </c:pt>
                <c:pt idx="4">
                  <c:v>781436.70853143139</c:v>
                </c:pt>
                <c:pt idx="5">
                  <c:v>781904.08925197669</c:v>
                </c:pt>
                <c:pt idx="6">
                  <c:v>838788.1887519767</c:v>
                </c:pt>
                <c:pt idx="7">
                  <c:v>1435662.7263955988</c:v>
                </c:pt>
                <c:pt idx="8">
                  <c:v>1435662.7263955988</c:v>
                </c:pt>
                <c:pt idx="9">
                  <c:v>1436607.5263955989</c:v>
                </c:pt>
                <c:pt idx="10">
                  <c:v>1707747.2238955989</c:v>
                </c:pt>
                <c:pt idx="11">
                  <c:v>1877718.3438955988</c:v>
                </c:pt>
              </c:numCache>
            </c:numRef>
          </c:val>
          <c:smooth val="0"/>
          <c:extLst xmlns:c16r2="http://schemas.microsoft.com/office/drawing/2015/06/chart">
            <c:ext xmlns:c16="http://schemas.microsoft.com/office/drawing/2014/chart" uri="{C3380CC4-5D6E-409C-BE32-E72D297353CC}">
              <c16:uniqueId val="{00000000-842A-4717-9F14-C1424E821776}"/>
            </c:ext>
          </c:extLst>
        </c:ser>
        <c:ser>
          <c:idx val="1"/>
          <c:order val="1"/>
          <c:tx>
            <c:strRef>
              <c:f>'Data Entry'!$B$98</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Entry'!$C$98:$N$98</c:f>
              <c:numCache>
                <c:formatCode>#,##0</c:formatCode>
                <c:ptCount val="12"/>
                <c:pt idx="0">
                  <c:v>74865.322144017322</c:v>
                </c:pt>
                <c:pt idx="1">
                  <c:v>74865.322144017322</c:v>
                </c:pt>
                <c:pt idx="2">
                  <c:v>74865.322144017322</c:v>
                </c:pt>
                <c:pt idx="3">
                  <c:v>74865.322144017322</c:v>
                </c:pt>
                <c:pt idx="4">
                  <c:v>74865.322144017322</c:v>
                </c:pt>
                <c:pt idx="5">
                  <c:v>74865.322144017322</c:v>
                </c:pt>
                <c:pt idx="6">
                  <c:v>74865.322144017322</c:v>
                </c:pt>
                <c:pt idx="7">
                  <c:v>74865.322144017322</c:v>
                </c:pt>
                <c:pt idx="8">
                  <c:v>74865.322144017322</c:v>
                </c:pt>
                <c:pt idx="9">
                  <c:v>74865.322144017322</c:v>
                </c:pt>
                <c:pt idx="10">
                  <c:v>74865.322144017322</c:v>
                </c:pt>
                <c:pt idx="11">
                  <c:v>74865.322144017322</c:v>
                </c:pt>
              </c:numCache>
            </c:numRef>
          </c:val>
          <c:smooth val="0"/>
          <c:extLst xmlns:c16r2="http://schemas.microsoft.com/office/drawing/2015/06/chart">
            <c:ext xmlns:c16="http://schemas.microsoft.com/office/drawing/2014/chart" uri="{C3380CC4-5D6E-409C-BE32-E72D297353CC}">
              <c16:uniqueId val="{00000001-842A-4717-9F14-C1424E821776}"/>
            </c:ext>
          </c:extLst>
        </c:ser>
        <c:ser>
          <c:idx val="2"/>
          <c:order val="2"/>
          <c:tx>
            <c:strRef>
              <c:f>'Data Entry'!$B$99</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Entry'!$C$99:$N$99</c:f>
              <c:numCache>
                <c:formatCode>#,##0</c:formatCode>
                <c:ptCount val="12"/>
                <c:pt idx="0">
                  <c:v>11777</c:v>
                </c:pt>
                <c:pt idx="1">
                  <c:v>11777</c:v>
                </c:pt>
                <c:pt idx="2">
                  <c:v>11777</c:v>
                </c:pt>
                <c:pt idx="3">
                  <c:v>11777</c:v>
                </c:pt>
                <c:pt idx="4">
                  <c:v>11777</c:v>
                </c:pt>
                <c:pt idx="5">
                  <c:v>11777</c:v>
                </c:pt>
                <c:pt idx="6">
                  <c:v>11777</c:v>
                </c:pt>
                <c:pt idx="7">
                  <c:v>11777</c:v>
                </c:pt>
                <c:pt idx="8">
                  <c:v>11777</c:v>
                </c:pt>
                <c:pt idx="9">
                  <c:v>11777</c:v>
                </c:pt>
                <c:pt idx="10">
                  <c:v>11777</c:v>
                </c:pt>
                <c:pt idx="11">
                  <c:v>11777</c:v>
                </c:pt>
              </c:numCache>
            </c:numRef>
          </c:val>
          <c:smooth val="0"/>
          <c:extLst xmlns:c16r2="http://schemas.microsoft.com/office/drawing/2015/06/char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889675168"/>
        <c:axId val="-889679520"/>
      </c:lineChart>
      <c:catAx>
        <c:axId val="-88967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889679520"/>
        <c:crosses val="autoZero"/>
        <c:auto val="1"/>
        <c:lblAlgn val="ctr"/>
        <c:lblOffset val="100"/>
        <c:tickLblSkip val="1"/>
        <c:tickMarkSkip val="1"/>
        <c:noMultiLvlLbl val="0"/>
      </c:catAx>
      <c:valAx>
        <c:axId val="-8896795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889675168"/>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Entry'!$G$119</c:f>
              <c:strCache>
                <c:ptCount val="1"/>
                <c:pt idx="0">
                  <c:v>Target</c:v>
                </c:pt>
              </c:strCache>
            </c:strRef>
          </c:tx>
          <c:spPr>
            <a:solidFill>
              <a:srgbClr val="0066CC"/>
            </a:solidFill>
            <a:ln w="25400">
              <a:noFill/>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6243.75</c:v>
                </c:pt>
              </c:numCache>
            </c:numRef>
          </c:val>
          <c:extLst xmlns:c16r2="http://schemas.microsoft.com/office/drawing/2015/06/chart">
            <c:ext xmlns:c16="http://schemas.microsoft.com/office/drawing/2014/chart" uri="{C3380CC4-5D6E-409C-BE32-E72D297353CC}">
              <c16:uniqueId val="{00000000-28ED-4437-92EF-FD6AED73C63F}"/>
            </c:ext>
          </c:extLst>
        </c:ser>
        <c:ser>
          <c:idx val="1"/>
          <c:order val="1"/>
          <c:tx>
            <c:strRef>
              <c:f>'Data Entry'!$G$120</c:f>
              <c:strCache>
                <c:ptCount val="1"/>
                <c:pt idx="0">
                  <c:v>Achieved </c:v>
                </c:pt>
              </c:strCache>
            </c:strRef>
          </c:tx>
          <c:spPr>
            <a:solidFill>
              <a:srgbClr val="00CCFF"/>
            </a:solidFill>
            <a:ln w="12700">
              <a:solidFill>
                <a:srgbClr val="000000"/>
              </a:solidFill>
              <a:prstDash val="solid"/>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6672</c:v>
                </c:pt>
              </c:numCache>
            </c:numRef>
          </c:val>
          <c:extLst xmlns:c16r2="http://schemas.microsoft.com/office/drawing/2015/06/char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889687680"/>
        <c:axId val="-1371133776"/>
      </c:barChart>
      <c:catAx>
        <c:axId val="-889687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371133776"/>
        <c:crosses val="autoZero"/>
        <c:auto val="1"/>
        <c:lblAlgn val="ctr"/>
        <c:lblOffset val="100"/>
        <c:tickLblSkip val="1"/>
        <c:tickMarkSkip val="1"/>
        <c:noMultiLvlLbl val="0"/>
      </c:catAx>
      <c:valAx>
        <c:axId val="-137113377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889687680"/>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Entry'!$G$121</c:f>
              <c:strCache>
                <c:ptCount val="1"/>
                <c:pt idx="0">
                  <c:v>Target</c:v>
                </c:pt>
              </c:strCache>
            </c:strRef>
          </c:tx>
          <c:spPr>
            <a:solidFill>
              <a:srgbClr val="0066CC"/>
            </a:solidFill>
            <a:ln w="25400">
              <a:noFill/>
            </a:ln>
          </c:spPr>
          <c:invertIfNegative val="0"/>
          <c:val>
            <c:numRef>
              <c:f>'Data Entry'!$H$121:$S$121</c:f>
              <c:numCache>
                <c:formatCode>_(* #,##0_);_(* \(#,##0\);_(* "-"??_);_(@_)</c:formatCode>
                <c:ptCount val="12"/>
                <c:pt idx="0">
                  <c:v>5500</c:v>
                </c:pt>
              </c:numCache>
            </c:numRef>
          </c:val>
          <c:extLst xmlns:c16r2="http://schemas.microsoft.com/office/drawing/2015/06/chart">
            <c:ext xmlns:c16="http://schemas.microsoft.com/office/drawing/2014/chart" uri="{C3380CC4-5D6E-409C-BE32-E72D297353CC}">
              <c16:uniqueId val="{00000000-9988-4901-B1D9-331495B7A130}"/>
            </c:ext>
          </c:extLst>
        </c:ser>
        <c:ser>
          <c:idx val="1"/>
          <c:order val="1"/>
          <c:tx>
            <c:strRef>
              <c:f>'Data Entry'!$G$122</c:f>
              <c:strCache>
                <c:ptCount val="1"/>
                <c:pt idx="0">
                  <c:v>Achieved </c:v>
                </c:pt>
              </c:strCache>
            </c:strRef>
          </c:tx>
          <c:spPr>
            <a:solidFill>
              <a:srgbClr val="00CCFF"/>
            </a:solidFill>
            <a:ln w="12700">
              <a:solidFill>
                <a:srgbClr val="000000"/>
              </a:solidFill>
              <a:prstDash val="solid"/>
            </a:ln>
          </c:spPr>
          <c:invertIfNegative val="0"/>
          <c:val>
            <c:numRef>
              <c:f>'Data Entry'!$H$122:$S$122</c:f>
              <c:numCache>
                <c:formatCode>_(* #,##0_);_(* \(#,##0\);_(* "-"??_);_(@_)</c:formatCode>
                <c:ptCount val="12"/>
                <c:pt idx="0">
                  <c:v>4381</c:v>
                </c:pt>
              </c:numCache>
            </c:numRef>
          </c:val>
          <c:extLst xmlns:c16r2="http://schemas.microsoft.com/office/drawing/2015/06/char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1371129968"/>
        <c:axId val="-1371127248"/>
      </c:barChart>
      <c:catAx>
        <c:axId val="-1371129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371127248"/>
        <c:crosses val="autoZero"/>
        <c:auto val="1"/>
        <c:lblAlgn val="ctr"/>
        <c:lblOffset val="100"/>
        <c:tickLblSkip val="1"/>
        <c:tickMarkSkip val="1"/>
        <c:noMultiLvlLbl val="0"/>
      </c:catAx>
      <c:valAx>
        <c:axId val="-137112724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371129968"/>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Entry'!$G$117</c:f>
              <c:strCache>
                <c:ptCount val="1"/>
                <c:pt idx="0">
                  <c:v>Target</c:v>
                </c:pt>
              </c:strCache>
            </c:strRef>
          </c:tx>
          <c:spPr>
            <a:solidFill>
              <a:srgbClr val="0066CC"/>
            </a:solidFill>
            <a:ln w="25400">
              <a:noFill/>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Entry'!$H$117:$S$117</c:f>
              <c:numCache>
                <c:formatCode>_(* #,##0_);_(* \(#,##0\);_(* "-"??_);_(@_)</c:formatCode>
                <c:ptCount val="12"/>
                <c:pt idx="0">
                  <c:v>25593.75</c:v>
                </c:pt>
              </c:numCache>
            </c:numRef>
          </c:val>
          <c:extLst xmlns:c16r2="http://schemas.microsoft.com/office/drawing/2015/06/chart">
            <c:ext xmlns:c16="http://schemas.microsoft.com/office/drawing/2014/chart" uri="{C3380CC4-5D6E-409C-BE32-E72D297353CC}">
              <c16:uniqueId val="{00000000-3D57-445C-8E51-0A45B747288A}"/>
            </c:ext>
          </c:extLst>
        </c:ser>
        <c:ser>
          <c:idx val="1"/>
          <c:order val="1"/>
          <c:tx>
            <c:strRef>
              <c:f>'Data Entry'!$G$118</c:f>
              <c:strCache>
                <c:ptCount val="1"/>
                <c:pt idx="0">
                  <c:v>Achieved </c:v>
                </c:pt>
              </c:strCache>
            </c:strRef>
          </c:tx>
          <c:spPr>
            <a:solidFill>
              <a:srgbClr val="00CCFF"/>
            </a:solidFill>
            <a:ln w="12700">
              <a:solidFill>
                <a:srgbClr val="000000"/>
              </a:solidFill>
              <a:prstDash val="solid"/>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23876</c:v>
                </c:pt>
              </c:numCache>
            </c:numRef>
          </c:val>
          <c:extLst xmlns:c16r2="http://schemas.microsoft.com/office/drawing/2015/06/char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1371138672"/>
        <c:axId val="-1371132688"/>
      </c:barChart>
      <c:catAx>
        <c:axId val="-1371138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371132688"/>
        <c:crosses val="autoZero"/>
        <c:auto val="1"/>
        <c:lblAlgn val="ctr"/>
        <c:lblOffset val="100"/>
        <c:tickLblSkip val="1"/>
        <c:tickMarkSkip val="1"/>
        <c:noMultiLvlLbl val="0"/>
      </c:catAx>
      <c:valAx>
        <c:axId val="-137113268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371138672"/>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717729.52771723305</c:v>
                </c:pt>
                <c:pt idx="1">
                  <c:v>1702547.4540092666</c:v>
                </c:pt>
                <c:pt idx="2">
                  <c:v>2356897.2811430749</c:v>
                </c:pt>
                <c:pt idx="3">
                  <c:v>3273408.0366011825</c:v>
                </c:pt>
                <c:pt idx="4">
                  <c:v>4293280.9779703738</c:v>
                </c:pt>
                <c:pt idx="5">
                  <c:v>4930032.3111087261</c:v>
                </c:pt>
                <c:pt idx="6">
                  <c:v>5529158.4684332879</c:v>
                </c:pt>
                <c:pt idx="7">
                  <c:v>6729830.128631847</c:v>
                </c:pt>
                <c:pt idx="8">
                  <c:v>7368154.0151762124</c:v>
                </c:pt>
                <c:pt idx="9">
                  <c:v>7913184.949599281</c:v>
                </c:pt>
                <c:pt idx="10">
                  <c:v>8668327.6254981533</c:v>
                </c:pt>
              </c:numCache>
            </c:numRef>
          </c:val>
          <c:extLst xmlns:c16r2="http://schemas.microsoft.com/office/drawing/2015/06/char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695428.56</c:v>
                </c:pt>
                <c:pt idx="1">
                  <c:v>695428.56</c:v>
                </c:pt>
                <c:pt idx="2">
                  <c:v>695428.56</c:v>
                </c:pt>
                <c:pt idx="3">
                  <c:v>695428.56</c:v>
                </c:pt>
                <c:pt idx="4">
                  <c:v>695428.56</c:v>
                </c:pt>
                <c:pt idx="5">
                  <c:v>695428.56</c:v>
                </c:pt>
                <c:pt idx="6">
                  <c:v>695428.56</c:v>
                </c:pt>
                <c:pt idx="7">
                  <c:v>695428.56</c:v>
                </c:pt>
                <c:pt idx="8">
                  <c:v>695428.56</c:v>
                </c:pt>
                <c:pt idx="9">
                  <c:v>695428.56</c:v>
                </c:pt>
                <c:pt idx="10">
                  <c:v>695428.56</c:v>
                </c:pt>
              </c:numCache>
            </c:numRef>
          </c:val>
          <c:extLst xmlns:c16r2="http://schemas.microsoft.com/office/drawing/2015/06/char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1371131600"/>
        <c:axId val="-407208656"/>
      </c:areaChart>
      <c:catAx>
        <c:axId val="-137113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407208656"/>
        <c:crosses val="autoZero"/>
        <c:auto val="1"/>
        <c:lblAlgn val="ctr"/>
        <c:lblOffset val="100"/>
        <c:tickLblSkip val="8"/>
        <c:tickMarkSkip val="1"/>
        <c:noMultiLvlLbl val="0"/>
      </c:catAx>
      <c:valAx>
        <c:axId val="-40720865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37113160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xmlns=""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xmlns=""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xmlns=""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xmlns="" id="{00000000-0008-0000-0000-000035715200}"/>
            </a:ext>
          </a:extLst>
        </xdr:cNvPr>
        <xdr:cNvGrpSpPr>
          <a:grpSpLocks/>
        </xdr:cNvGrpSpPr>
      </xdr:nvGrpSpPr>
      <xdr:grpSpPr bwMode="auto">
        <a:xfrm>
          <a:off x="3457575" y="2452688"/>
          <a:ext cx="1041400" cy="355600"/>
          <a:chOff x="1200" y="1912"/>
          <a:chExt cx="3456" cy="774"/>
        </a:xfrm>
      </xdr:grpSpPr>
      <xdr:sp macro="" textlink="">
        <xdr:nvSpPr>
          <xdr:cNvPr id="5402977" name="AutoShape 26">
            <a:extLst>
              <a:ext uri="{FF2B5EF4-FFF2-40B4-BE49-F238E27FC236}">
                <a16:creationId xmlns:a16="http://schemas.microsoft.com/office/drawing/2014/main" xmlns=""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xmlns=""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xmlns=""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xmlns="" id="{00000000-0008-0000-0000-000036715200}"/>
            </a:ext>
          </a:extLst>
        </xdr:cNvPr>
        <xdr:cNvGrpSpPr>
          <a:grpSpLocks/>
        </xdr:cNvGrpSpPr>
      </xdr:nvGrpSpPr>
      <xdr:grpSpPr bwMode="auto">
        <a:xfrm>
          <a:off x="3495675" y="3519488"/>
          <a:ext cx="1117600" cy="368300"/>
          <a:chOff x="1200" y="1912"/>
          <a:chExt cx="3456" cy="774"/>
        </a:xfrm>
      </xdr:grpSpPr>
      <xdr:sp macro="" textlink="">
        <xdr:nvSpPr>
          <xdr:cNvPr id="5402974" name="AutoShape 26">
            <a:extLst>
              <a:ext uri="{FF2B5EF4-FFF2-40B4-BE49-F238E27FC236}">
                <a16:creationId xmlns:a16="http://schemas.microsoft.com/office/drawing/2014/main" xmlns=""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xmlns=""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xmlns=""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xmlns="" id="{00000000-0008-0000-0000-000037715200}"/>
            </a:ext>
          </a:extLst>
        </xdr:cNvPr>
        <xdr:cNvGrpSpPr>
          <a:grpSpLocks/>
        </xdr:cNvGrpSpPr>
      </xdr:nvGrpSpPr>
      <xdr:grpSpPr bwMode="auto">
        <a:xfrm>
          <a:off x="3457575" y="2973388"/>
          <a:ext cx="1117600" cy="368300"/>
          <a:chOff x="1200" y="1912"/>
          <a:chExt cx="3456" cy="774"/>
        </a:xfrm>
      </xdr:grpSpPr>
      <xdr:sp macro="" textlink="">
        <xdr:nvSpPr>
          <xdr:cNvPr id="5402971" name="AutoShape 26">
            <a:extLst>
              <a:ext uri="{FF2B5EF4-FFF2-40B4-BE49-F238E27FC236}">
                <a16:creationId xmlns:a16="http://schemas.microsoft.com/office/drawing/2014/main" xmlns=""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xmlns=""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xmlns=""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xmlns=""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xmlns="" id="{00000000-0008-0000-0000-000039715200}"/>
            </a:ext>
          </a:extLst>
        </xdr:cNvPr>
        <xdr:cNvGrpSpPr>
          <a:grpSpLocks/>
        </xdr:cNvGrpSpPr>
      </xdr:nvGrpSpPr>
      <xdr:grpSpPr bwMode="auto">
        <a:xfrm>
          <a:off x="5756275" y="2579688"/>
          <a:ext cx="1482725" cy="406400"/>
          <a:chOff x="599" y="262"/>
          <a:chExt cx="158" cy="43"/>
        </a:xfrm>
      </xdr:grpSpPr>
      <xdr:sp macro="" textlink="">
        <xdr:nvSpPr>
          <xdr:cNvPr id="5402967" name="AutoShape 30">
            <a:extLst>
              <a:ext uri="{FF2B5EF4-FFF2-40B4-BE49-F238E27FC236}">
                <a16:creationId xmlns:a16="http://schemas.microsoft.com/office/drawing/2014/main" xmlns=""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xmlns=""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xmlns=""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xmlns=""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xmlns="" id="{00000000-0008-0000-0000-00003A715200}"/>
            </a:ext>
          </a:extLst>
        </xdr:cNvPr>
        <xdr:cNvGrpSpPr>
          <a:grpSpLocks/>
        </xdr:cNvGrpSpPr>
      </xdr:nvGrpSpPr>
      <xdr:grpSpPr bwMode="auto">
        <a:xfrm>
          <a:off x="358775" y="1906588"/>
          <a:ext cx="2133600" cy="2108200"/>
          <a:chOff x="32" y="188"/>
          <a:chExt cx="225" cy="225"/>
        </a:xfrm>
      </xdr:grpSpPr>
      <xdr:sp macro="" textlink="">
        <xdr:nvSpPr>
          <xdr:cNvPr id="5402965" name="AutoShape 31">
            <a:extLst>
              <a:ext uri="{FF2B5EF4-FFF2-40B4-BE49-F238E27FC236}">
                <a16:creationId xmlns:a16="http://schemas.microsoft.com/office/drawing/2014/main" xmlns=""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xmlns=""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xmlns="" id="{00000000-0008-0000-0000-00003B715200}"/>
            </a:ext>
          </a:extLst>
        </xdr:cNvPr>
        <xdr:cNvGrpSpPr>
          <a:grpSpLocks/>
        </xdr:cNvGrpSpPr>
      </xdr:nvGrpSpPr>
      <xdr:grpSpPr bwMode="auto">
        <a:xfrm>
          <a:off x="5743575" y="3214688"/>
          <a:ext cx="1482725" cy="406400"/>
          <a:chOff x="578" y="328"/>
          <a:chExt cx="158" cy="43"/>
        </a:xfrm>
      </xdr:grpSpPr>
      <xdr:sp macro="" textlink="">
        <xdr:nvSpPr>
          <xdr:cNvPr id="5402961" name="AutoShape 30">
            <a:extLst>
              <a:ext uri="{FF2B5EF4-FFF2-40B4-BE49-F238E27FC236}">
                <a16:creationId xmlns:a16="http://schemas.microsoft.com/office/drawing/2014/main" xmlns=""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xmlns=""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xmlns=""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xmlns=""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xmlns="" id="{00000000-0008-0000-0000-00003C715200}"/>
            </a:ext>
          </a:extLst>
        </xdr:cNvPr>
        <xdr:cNvGrpSpPr>
          <a:grpSpLocks/>
        </xdr:cNvGrpSpPr>
      </xdr:nvGrpSpPr>
      <xdr:grpSpPr bwMode="auto">
        <a:xfrm>
          <a:off x="676275" y="3468688"/>
          <a:ext cx="1498600" cy="355600"/>
          <a:chOff x="56" y="259"/>
          <a:chExt cx="158" cy="40"/>
        </a:xfrm>
      </xdr:grpSpPr>
      <xdr:sp macro="" textlink="">
        <xdr:nvSpPr>
          <xdr:cNvPr id="5402957" name="AutoShape 30">
            <a:extLst>
              <a:ext uri="{FF2B5EF4-FFF2-40B4-BE49-F238E27FC236}">
                <a16:creationId xmlns:a16="http://schemas.microsoft.com/office/drawing/2014/main" xmlns=""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xmlns=""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xmlns=""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xmlns=""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xmlns="" id="{00000000-0008-0000-0000-00003D715200}"/>
            </a:ext>
          </a:extLst>
        </xdr:cNvPr>
        <xdr:cNvGrpSpPr>
          <a:grpSpLocks/>
        </xdr:cNvGrpSpPr>
      </xdr:nvGrpSpPr>
      <xdr:grpSpPr bwMode="auto">
        <a:xfrm>
          <a:off x="676275" y="2414588"/>
          <a:ext cx="1498600" cy="368300"/>
          <a:chOff x="1343025" y="2428876"/>
          <a:chExt cx="3240982" cy="617274"/>
        </a:xfrm>
      </xdr:grpSpPr>
      <xdr:sp macro="" textlink="">
        <xdr:nvSpPr>
          <xdr:cNvPr id="5402953" name="AutoShape 30">
            <a:extLst>
              <a:ext uri="{FF2B5EF4-FFF2-40B4-BE49-F238E27FC236}">
                <a16:creationId xmlns:a16="http://schemas.microsoft.com/office/drawing/2014/main" xmlns=""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xmlns=""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xmlns=""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xmlns=""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xmlns="" id="{00000000-0008-0000-0000-00003E715200}"/>
            </a:ext>
          </a:extLst>
        </xdr:cNvPr>
        <xdr:cNvGrpSpPr>
          <a:grpSpLocks/>
        </xdr:cNvGrpSpPr>
      </xdr:nvGrpSpPr>
      <xdr:grpSpPr bwMode="auto">
        <a:xfrm>
          <a:off x="676275" y="2947988"/>
          <a:ext cx="1498600" cy="381000"/>
          <a:chOff x="1343025" y="2428876"/>
          <a:chExt cx="3240982" cy="617274"/>
        </a:xfrm>
      </xdr:grpSpPr>
      <xdr:sp macro="" textlink="">
        <xdr:nvSpPr>
          <xdr:cNvPr id="5402949" name="AutoShape 30">
            <a:extLst>
              <a:ext uri="{FF2B5EF4-FFF2-40B4-BE49-F238E27FC236}">
                <a16:creationId xmlns:a16="http://schemas.microsoft.com/office/drawing/2014/main" xmlns=""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xmlns=""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xmlns=""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xmlns=""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xmlns=""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xmlns=""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xmlns=""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xmlns=""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xmlns=""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xmlns=""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xmlns=""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xmlns=""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0</xdr:rowOff>
    </xdr:to>
    <xdr:cxnSp macro="">
      <xdr:nvCxnSpPr>
        <xdr:cNvPr id="4254007" name="AutoShape 100">
          <a:extLst>
            <a:ext uri="{FF2B5EF4-FFF2-40B4-BE49-F238E27FC236}">
              <a16:creationId xmlns:a16="http://schemas.microsoft.com/office/drawing/2014/main" xmlns=""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101600</xdr:rowOff>
    </xdr:from>
    <xdr:to>
      <xdr:col>4</xdr:col>
      <xdr:colOff>1219200</xdr:colOff>
      <xdr:row>45</xdr:row>
      <xdr:rowOff>101600</xdr:rowOff>
    </xdr:to>
    <xdr:cxnSp macro="">
      <xdr:nvCxnSpPr>
        <xdr:cNvPr id="4254008" name="AutoShape 101">
          <a:extLst>
            <a:ext uri="{FF2B5EF4-FFF2-40B4-BE49-F238E27FC236}">
              <a16:creationId xmlns:a16="http://schemas.microsoft.com/office/drawing/2014/main" xmlns=""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xmlns=""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xmlns=""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xmlns=""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xmlns=""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xmlns="" id="{00000000-0008-0000-0400-00000A945300}"/>
            </a:ext>
          </a:extLst>
        </xdr:cNvPr>
        <xdr:cNvGrpSpPr>
          <a:grpSpLocks/>
        </xdr:cNvGrpSpPr>
      </xdr:nvGrpSpPr>
      <xdr:grpSpPr bwMode="auto">
        <a:xfrm>
          <a:off x="3908714" y="2184977"/>
          <a:ext cx="3468831" cy="2206544"/>
          <a:chOff x="410" y="229"/>
          <a:chExt cx="366" cy="231"/>
        </a:xfrm>
      </xdr:grpSpPr>
      <xdr:graphicFrame macro="">
        <xdr:nvGraphicFramePr>
          <xdr:cNvPr id="5477390" name="Chart 31">
            <a:extLst>
              <a:ext uri="{FF2B5EF4-FFF2-40B4-BE49-F238E27FC236}">
                <a16:creationId xmlns:a16="http://schemas.microsoft.com/office/drawing/2014/main" xmlns=""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xmlns=""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xmlns="" id="{00000000-0008-0000-0400-00000B945300}"/>
            </a:ext>
          </a:extLst>
        </xdr:cNvPr>
        <xdr:cNvGrpSpPr>
          <a:grpSpLocks/>
        </xdr:cNvGrpSpPr>
      </xdr:nvGrpSpPr>
      <xdr:grpSpPr bwMode="auto">
        <a:xfrm>
          <a:off x="0" y="4814455"/>
          <a:ext cx="3870614" cy="2339949"/>
          <a:chOff x="0" y="505"/>
          <a:chExt cx="407" cy="245"/>
        </a:xfrm>
      </xdr:grpSpPr>
      <xdr:graphicFrame macro="">
        <xdr:nvGraphicFramePr>
          <xdr:cNvPr id="5477388" name="Chart 34">
            <a:extLst>
              <a:ext uri="{FF2B5EF4-FFF2-40B4-BE49-F238E27FC236}">
                <a16:creationId xmlns:a16="http://schemas.microsoft.com/office/drawing/2014/main" xmlns=""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xmlns=""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xmlns=""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xmlns=""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xmlns=""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xmlns=""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xmlns=""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xmlns=""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xmlns=""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xmlns=""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xmlns=""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xmlns=""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xmlns="" id="{00000000-0008-0000-0700-00008D524A00}"/>
            </a:ext>
          </a:extLst>
        </xdr:cNvPr>
        <xdr:cNvGrpSpPr>
          <a:grpSpLocks/>
        </xdr:cNvGrpSpPr>
      </xdr:nvGrpSpPr>
      <xdr:grpSpPr bwMode="auto">
        <a:xfrm>
          <a:off x="5539154" y="5150827"/>
          <a:ext cx="101600" cy="0"/>
          <a:chOff x="595" y="540"/>
          <a:chExt cx="9" cy="9"/>
        </a:xfrm>
      </xdr:grpSpPr>
      <xdr:sp macro="" textlink="">
        <xdr:nvSpPr>
          <xdr:cNvPr id="4870808" name="Rectangle 11">
            <a:extLst>
              <a:ext uri="{FF2B5EF4-FFF2-40B4-BE49-F238E27FC236}">
                <a16:creationId xmlns:a16="http://schemas.microsoft.com/office/drawing/2014/main" xmlns=""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xmlns=""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xmlns="" id="{00000000-0008-0000-0700-00008E524A00}"/>
            </a:ext>
          </a:extLst>
        </xdr:cNvPr>
        <xdr:cNvGrpSpPr>
          <a:grpSpLocks/>
        </xdr:cNvGrpSpPr>
      </xdr:nvGrpSpPr>
      <xdr:grpSpPr bwMode="auto">
        <a:xfrm>
          <a:off x="6599604" y="5150827"/>
          <a:ext cx="7327" cy="0"/>
          <a:chOff x="698" y="540"/>
          <a:chExt cx="9" cy="9"/>
        </a:xfrm>
      </xdr:grpSpPr>
      <xdr:sp macro="" textlink="">
        <xdr:nvSpPr>
          <xdr:cNvPr id="4870806" name="Rectangle 47">
            <a:extLst>
              <a:ext uri="{FF2B5EF4-FFF2-40B4-BE49-F238E27FC236}">
                <a16:creationId xmlns:a16="http://schemas.microsoft.com/office/drawing/2014/main" xmlns=""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xmlns=""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xmlns="" id="{00000000-0008-0000-0700-00008F524A00}"/>
            </a:ext>
          </a:extLst>
        </xdr:cNvPr>
        <xdr:cNvGrpSpPr>
          <a:grpSpLocks/>
        </xdr:cNvGrpSpPr>
      </xdr:nvGrpSpPr>
      <xdr:grpSpPr bwMode="auto">
        <a:xfrm>
          <a:off x="5258777" y="5150827"/>
          <a:ext cx="0" cy="0"/>
          <a:chOff x="698" y="540"/>
          <a:chExt cx="9" cy="9"/>
        </a:xfrm>
      </xdr:grpSpPr>
      <xdr:sp macro="" textlink="">
        <xdr:nvSpPr>
          <xdr:cNvPr id="4870804" name="Rectangle 47">
            <a:extLst>
              <a:ext uri="{FF2B5EF4-FFF2-40B4-BE49-F238E27FC236}">
                <a16:creationId xmlns:a16="http://schemas.microsoft.com/office/drawing/2014/main" xmlns=""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xmlns=""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xmlns="" id="{00000000-0008-0000-0700-000090524A00}"/>
            </a:ext>
          </a:extLst>
        </xdr:cNvPr>
        <xdr:cNvGrpSpPr>
          <a:grpSpLocks/>
        </xdr:cNvGrpSpPr>
      </xdr:nvGrpSpPr>
      <xdr:grpSpPr bwMode="auto">
        <a:xfrm>
          <a:off x="1436077" y="5150827"/>
          <a:ext cx="101600" cy="0"/>
          <a:chOff x="595" y="540"/>
          <a:chExt cx="9" cy="9"/>
        </a:xfrm>
      </xdr:grpSpPr>
      <xdr:sp macro="" textlink="">
        <xdr:nvSpPr>
          <xdr:cNvPr id="4870802" name="Rectangle 11">
            <a:extLst>
              <a:ext uri="{FF2B5EF4-FFF2-40B4-BE49-F238E27FC236}">
                <a16:creationId xmlns:a16="http://schemas.microsoft.com/office/drawing/2014/main" xmlns=""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xmlns=""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xmlns=""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xmlns=""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xmlns=""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xmlns=""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6" r="C51" connectionId="0">
    <xmlCellPr id="1" uniqueName="1">
      <xmlPr mapId="43" xpath="/ns1:Root/ns1:F3/ns1:Disbursed_by_Global_Fund_Prior_to_reporting_period__in___" xmlDataType="double"/>
    </xmlCellPr>
  </singleXmlCell>
  <singleXmlCell id="477" r="D51" connectionId="0">
    <xmlCellPr id="1" uniqueName="1">
      <xmlPr mapId="43" xpath="/ns1:Root/ns1:F3/ns1:Disbursed_by_Global_Fund_Reporting_period__in___" xmlDataType="double"/>
    </xmlCellPr>
  </singleXmlCell>
  <singleXmlCell id="478" r="C52" connectionId="0">
    <xmlCellPr id="1" uniqueName="1">
      <xmlPr mapId="43" xpath="/ns1:Root/ns1:F3/ns1:PR_expenditure_and_disbursement_Prior_to_reporting_period__in___" xmlDataType="double"/>
    </xmlCellPr>
  </singleXmlCell>
  <singleXmlCell id="479" r="D52" connectionId="0">
    <xmlCellPr id="1" uniqueName="1">
      <xmlPr mapId="43" xpath="/ns1:Root/ns1:F3/ns1:PR_expenditure_and_disbursement_Reporting_period__in___" xmlDataType="double"/>
    </xmlCellPr>
  </singleXmlCell>
  <singleXmlCell id="480" r="C53" connectionId="0">
    <xmlCellPr id="1" uniqueName="1">
      <xmlPr mapId="43" xpath="/ns1:Root/ns1:F3/ns1:Disbursed_to_SRs_Prior_to_reporting_period__in___" xmlDataType="double"/>
    </xmlCellPr>
  </singleXmlCell>
  <singleXmlCell id="481" r="D53" connectionId="0">
    <xmlCellPr id="1" uniqueName="1">
      <xmlPr mapId="43" xpath="/ns1:Root/ns1:F3/ns1:Disbursed_to_SRs_Reporting_period__in___" xmlDataType="double"/>
    </xmlCellPr>
  </singleXmlCell>
  <singleXmlCell id="482" r="C54" connectionId="0">
    <xmlCellPr id="1" uniqueName="1">
      <xmlPr mapId="43" xpath="/ns1:Root/ns1:F3/ns1:SR_expenditures_Prior_to_reporting_period__in___" xmlDataType="double"/>
    </xmlCellPr>
  </singleXmlCell>
  <singleXmlCell id="483" r="D54" connectionId="0">
    <xmlCellPr id="1" uniqueName="1">
      <xmlPr mapId="43" xpath="/ns1:Root/ns1:F3/ns1:SR_expenditures_Reporting_period__in___" xmlDataType="double"/>
    </xmlCellPr>
  </singleXmlCell>
  <singleXmlCell id="484" r="C61" connectionId="0">
    <xmlCellPr id="1" uniqueName="1">
      <xmlPr mapId="43" xpath="/ns1:Root/ns1:F4/ns1:Days_taken_to_submit_acceptable_PU_DR_to_LFA_Expected__days_" xmlDataType="double"/>
    </xmlCellPr>
  </singleXmlCell>
  <singleXmlCell id="485" r="D61" connectionId="0">
    <xmlCellPr id="1" uniqueName="1">
      <xmlPr mapId="43" xpath="/ns1:Root/ns1:F4/ns1:Days_taken_to_submit_acceptable_PU_DR_to_LFA_Actual__days_" xmlDataType="double"/>
    </xmlCellPr>
  </singleXmlCell>
  <singleXmlCell id="486" r="C62" connectionId="0">
    <xmlCellPr id="1" uniqueName="1">
      <xmlPr mapId="43" xpath="/ns1:Root/ns1:F4/ns1:Days_taken_for_disbursement_to_reach_PR_Expected__days_" xmlDataType="double"/>
    </xmlCellPr>
  </singleXmlCell>
  <singleXmlCell id="487" r="D62" connectionId="0">
    <xmlCellPr id="1" uniqueName="1">
      <xmlPr mapId="43" xpath="/ns1:Root/ns1:F4/ns1:Days_taken_for_disbursement_to_reach_PR_Actual__days_" xmlDataType="double"/>
    </xmlCellPr>
  </singleXmlCell>
  <singleXmlCell id="488" r="C63" connectionId="0">
    <xmlCellPr id="1" uniqueName="1">
      <xmlPr mapId="43" xpath="/ns1:Root/ns1:F4/ns1:Days_taken_for_disbursement_to_reach_SRs__Expected__days_" xmlDataType="double"/>
    </xmlCellPr>
  </singleXmlCell>
  <singleXmlCell id="489" r="D63" connectionId="0">
    <xmlCellPr id="1" uniqueName="1">
      <xmlPr mapId="43" xpath="/ns1:Root/ns1:F4/ns1:Days_taken_for_disbursement_to_reach_SRs__Actual__days_" xmlDataType="double"/>
    </xmlCellPr>
  </singleXmlCell>
  <singleXmlCell id="490" r="B71" connectionId="0">
    <xmlCellPr id="1" uniqueName="1">
      <xmlPr mapId="43" xpath="/ns1:Root/ns1:M1/ns1:Conditions_precedents__CPs__" xmlDataType="string"/>
    </xmlCellPr>
  </singleXmlCell>
  <singleXmlCell id="491" r="D71" connectionId="0">
    <xmlCellPr id="1" uniqueName="1">
      <xmlPr mapId="43" xpath="/ns1:Root/ns1:M1/ns1:Conditions_precedents__CPs__Fulfilled" xmlDataType="double"/>
    </xmlCellPr>
  </singleXmlCell>
  <singleXmlCell id="492" r="E71" connectionId="0">
    <xmlCellPr id="1" uniqueName="1">
      <xmlPr mapId="43" xpath="/ns1:Root/ns1:M1/ns1:Conditions_precedents__CPs__Not_fulfilled__but_within_deadline" xmlDataType="double"/>
    </xmlCellPr>
  </singleXmlCell>
  <singleXmlCell id="493" r="F71" connectionId="0">
    <xmlCellPr id="1" uniqueName="1">
      <xmlPr mapId="43" xpath="/ns1:Root/ns1:M1/ns1:Conditions_precedents__CPs__Not_fulfilled__and_past_the_deadline" xmlDataType="double"/>
    </xmlCellPr>
  </singleXmlCell>
  <singleXmlCell id="494" r="B72" connectionId="0">
    <xmlCellPr id="1" uniqueName="1">
      <xmlPr mapId="43" xpath="/ns1:Root/ns1:M1/ns1:Time_Bound_Actions__TBAs__" xmlDataType="string"/>
    </xmlCellPr>
  </singleXmlCell>
  <singleXmlCell id="495" r="D72" connectionId="0">
    <xmlCellPr id="1" uniqueName="1">
      <xmlPr mapId="43" xpath="/ns1:Root/ns1:M1/ns1:Time_Bound_Actions__TBAs__Fulfilled" xmlDataType="double"/>
    </xmlCellPr>
  </singleXmlCell>
  <singleXmlCell id="496" r="E72" connectionId="0">
    <xmlCellPr id="1" uniqueName="1">
      <xmlPr mapId="43" xpath="/ns1:Root/ns1:M1/ns1:Time_Bound_Actions__TBAs__Not_fulfilled__but_within_deadline" xmlDataType="string"/>
    </xmlCellPr>
  </singleXmlCell>
  <singleXmlCell id="497" r="F72" connectionId="0">
    <xmlCellPr id="1" uniqueName="1">
      <xmlPr mapId="43" xpath="/ns1:Root/ns1:M1/ns1:Time_Bound_Actions__TBAs__Not_fulfilled__and_past_the_deadline" xmlDataType="double"/>
    </xmlCellPr>
  </singleXmlCell>
  <singleXmlCell id="498" r="C78" connectionId="0">
    <xmlCellPr id="1" uniqueName="1">
      <xmlPr mapId="43" xpath="/ns1:Root/ns1:M2/ns1:PMU_Planned" xmlDataType="double"/>
    </xmlCellPr>
  </singleXmlCell>
  <singleXmlCell id="499" r="D78" connectionId="0">
    <xmlCellPr id="1" uniqueName="1">
      <xmlPr mapId="43" xpath="/ns1:Root/ns1:M2/ns1:PMU_Filled" xmlDataType="double"/>
    </xmlCellPr>
  </singleXmlCell>
  <singleXmlCell id="500" r="C83" connectionId="0">
    <xmlCellPr id="1" uniqueName="1">
      <xmlPr mapId="43" xpath="/ns1:Root/ns1:M3/ns1:SRs_Identified" xmlDataType="double"/>
    </xmlCellPr>
  </singleXmlCell>
  <singleXmlCell id="501" r="D83" connectionId="0">
    <xmlCellPr id="1" uniqueName="1">
      <xmlPr mapId="43" xpath="/ns1:Root/ns1:M3/ns1:SRs_Assessed" xmlDataType="double"/>
    </xmlCellPr>
  </singleXmlCell>
  <singleXmlCell id="502" r="E83" connectionId="0">
    <xmlCellPr id="1" uniqueName="1">
      <xmlPr mapId="43" xpath="/ns1:Root/ns1:M3/ns1:SRs_Approved" xmlDataType="double"/>
    </xmlCellPr>
  </singleXmlCell>
  <singleXmlCell id="503" r="F83" connectionId="0">
    <xmlCellPr id="1" uniqueName="1">
      <xmlPr mapId="43" xpath="/ns1:Root/ns1:M3/ns1:SRs_Signed" xmlDataType="double"/>
    </xmlCellPr>
  </singleXmlCell>
  <singleXmlCell id="504" r="G83" connectionId="0">
    <xmlCellPr id="1" uniqueName="1">
      <xmlPr mapId="43" xpath="/ns1:Root/ns1:M3/ns1:SRs_Receiving_Funding" xmlDataType="double"/>
    </xmlCellPr>
  </singleXmlCell>
  <singleXmlCell id="506" r="C88" connectionId="0">
    <xmlCellPr id="1" uniqueName="1">
      <xmlPr mapId="43" xpath="/ns1:Root/ns1:M4/ns1:SSR_to_SR__IR_____Expected" xmlDataType="string"/>
    </xmlCellPr>
  </singleXmlCell>
  <singleXmlCell id="507" r="D88" connectionId="0">
    <xmlCellPr id="1" uniqueName="1">
      <xmlPr mapId="43" xpath="/ns1:Root/ns1:M4/ns1:SSR_to_SR__IR____Received" xmlDataType="string"/>
    </xmlCellPr>
  </singleXmlCell>
  <singleXmlCell id="509" r="C89" connectionId="0">
    <xmlCellPr id="1" uniqueName="1">
      <xmlPr mapId="43" xpath="/ns1:Root/ns1:M4/ns1:SRs__IRs__to_PR____Expected" xmlDataType="double"/>
    </xmlCellPr>
  </singleXmlCell>
  <singleXmlCell id="510" r="D89" connectionId="0">
    <xmlCellPr id="1" uniqueName="1">
      <xmlPr mapId="43" xpath="/ns1:Root/ns1:M4/ns1:SRs__IRs__to_PR___Received" xmlDataType="double"/>
    </xmlCellPr>
  </singleXmlCell>
  <singleXmlCell id="511" r="C94" connectionId="0">
    <xmlCellPr id="1" uniqueName="1">
      <xmlPr mapId="43" xpath="/ns1:Root/ns1:M5/ns1:Budget_Approved__P1" xmlDataType="double"/>
    </xmlCellPr>
  </singleXmlCell>
  <singleXmlCell id="512" r="D94" connectionId="0">
    <xmlCellPr id="1" uniqueName="1">
      <xmlPr mapId="43" xpath="/ns1:Root/ns1:M5/ns1:Budget_Approved__P2" xmlDataType="double"/>
    </xmlCellPr>
  </singleXmlCell>
  <singleXmlCell id="513" r="E94" connectionId="0">
    <xmlCellPr id="1" uniqueName="1">
      <xmlPr mapId="43" xpath="/ns1:Root/ns1:M5/ns1:Budget_Approved__P3" xmlDataType="double"/>
    </xmlCellPr>
  </singleXmlCell>
  <singleXmlCell id="514" r="F94" connectionId="0">
    <xmlCellPr id="1" uniqueName="1">
      <xmlPr mapId="43" xpath="/ns1:Root/ns1:M5/ns1:Budget_Approved__P4" xmlDataType="double"/>
    </xmlCellPr>
  </singleXmlCell>
  <singleXmlCell id="515" r="G94" connectionId="0">
    <xmlCellPr id="1" uniqueName="1">
      <xmlPr mapId="43" xpath="/ns1:Root/ns1:M5/ns1:Budget_Approved__P5" xmlDataType="double"/>
    </xmlCellPr>
  </singleXmlCell>
  <singleXmlCell id="516" r="H94" connectionId="0">
    <xmlCellPr id="1" uniqueName="1">
      <xmlPr mapId="43" xpath="/ns1:Root/ns1:M5/ns1:Budget_Approved__P6" xmlDataType="double"/>
    </xmlCellPr>
  </singleXmlCell>
  <singleXmlCell id="517" r="I94" connectionId="0">
    <xmlCellPr id="1" uniqueName="1">
      <xmlPr mapId="43" xpath="/ns1:Root/ns1:M5/ns1:Budget_Approved__P7" xmlDataType="double"/>
    </xmlCellPr>
  </singleXmlCell>
  <singleXmlCell id="518" r="J94" connectionId="0">
    <xmlCellPr id="1" uniqueName="1">
      <xmlPr mapId="43" xpath="/ns1:Root/ns1:M5/ns1:Budget_Approved__P8" xmlDataType="double"/>
    </xmlCellPr>
  </singleXmlCell>
  <singleXmlCell id="519" r="K94" connectionId="0">
    <xmlCellPr id="1" uniqueName="1">
      <xmlPr mapId="43" xpath="/ns1:Root/ns1:M5/ns1:Budget_Approved__P9" xmlDataType="double"/>
    </xmlCellPr>
  </singleXmlCell>
  <singleXmlCell id="520" r="L94" connectionId="0">
    <xmlCellPr id="1" uniqueName="1">
      <xmlPr mapId="43" xpath="/ns1:Root/ns1:M5/ns1:Budget_Approved__P10" xmlDataType="double"/>
    </xmlCellPr>
  </singleXmlCell>
  <singleXmlCell id="521" r="M94" connectionId="0">
    <xmlCellPr id="1" uniqueName="1">
      <xmlPr mapId="43" xpath="/ns1:Root/ns1:M5/ns1:Budget_Approved__P11" xmlDataType="double"/>
    </xmlCellPr>
  </singleXmlCell>
  <singleXmlCell id="522" r="N94" connectionId="0">
    <xmlCellPr id="1" uniqueName="1">
      <xmlPr mapId="43" xpath="/ns1:Root/ns1:M5/ns1:Budget_Approved__P12" xmlDataType="double"/>
    </xmlCellPr>
  </singleXmlCell>
  <singleXmlCell id="523" r="C95" connectionId="0">
    <xmlCellPr id="1" uniqueName="1">
      <xmlPr mapId="43" xpath="/ns1:Root/ns1:M5/ns1:Obligations_P1" xmlDataType="double"/>
    </xmlCellPr>
  </singleXmlCell>
  <singleXmlCell id="524" r="D95" connectionId="0">
    <xmlCellPr id="1" uniqueName="1">
      <xmlPr mapId="43" xpath="/ns1:Root/ns1:M5/ns1:Obligations_P2" xmlDataType="double"/>
    </xmlCellPr>
  </singleXmlCell>
  <singleXmlCell id="525" r="E95" connectionId="0">
    <xmlCellPr id="1" uniqueName="1">
      <xmlPr mapId="43" xpath="/ns1:Root/ns1:M5/ns1:Obligations_P3" xmlDataType="double"/>
    </xmlCellPr>
  </singleXmlCell>
  <singleXmlCell id="526" r="F95" connectionId="0">
    <xmlCellPr id="1" uniqueName="1">
      <xmlPr mapId="43" xpath="/ns1:Root/ns1:M5/ns1:Obligations_P4" xmlDataType="double"/>
    </xmlCellPr>
  </singleXmlCell>
  <singleXmlCell id="527" r="G95" connectionId="0">
    <xmlCellPr id="1" uniqueName="1">
      <xmlPr mapId="43" xpath="/ns1:Root/ns1:M5/ns1:Obligations_P5" xmlDataType="double"/>
    </xmlCellPr>
  </singleXmlCell>
  <singleXmlCell id="528" r="H95" connectionId="0">
    <xmlCellPr id="1" uniqueName="1">
      <xmlPr mapId="43" xpath="/ns1:Root/ns1:M5/ns1:Obligations_P6" xmlDataType="double"/>
    </xmlCellPr>
  </singleXmlCell>
  <singleXmlCell id="529" r="I95" connectionId="0">
    <xmlCellPr id="1" uniqueName="1">
      <xmlPr mapId="43" xpath="/ns1:Root/ns1:M5/ns1:Obligations_P7" xmlDataType="double"/>
    </xmlCellPr>
  </singleXmlCell>
  <singleXmlCell id="530" r="J95" connectionId="0">
    <xmlCellPr id="1" uniqueName="1">
      <xmlPr mapId="43" xpath="/ns1:Root/ns1:M5/ns1:Obligations_P8" xmlDataType="double"/>
    </xmlCellPr>
  </singleXmlCell>
  <singleXmlCell id="531" r="K95" connectionId="0">
    <xmlCellPr id="1" uniqueName="1">
      <xmlPr mapId="43" xpath="/ns1:Root/ns1:M5/ns1:Obligations_P9" xmlDataType="double"/>
    </xmlCellPr>
  </singleXmlCell>
  <singleXmlCell id="532" r="L95" connectionId="0">
    <xmlCellPr id="1" uniqueName="1">
      <xmlPr mapId="43" xpath="/ns1:Root/ns1:M5/ns1:Obligations_P10" xmlDataType="double"/>
    </xmlCellPr>
  </singleXmlCell>
  <singleXmlCell id="533" r="M95" connectionId="0">
    <xmlCellPr id="1" uniqueName="1">
      <xmlPr mapId="43" xpath="/ns1:Root/ns1:M5/ns1:Obligations_P11" xmlDataType="double"/>
    </xmlCellPr>
  </singleXmlCell>
  <singleXmlCell id="534" r="N95" connectionId="0">
    <xmlCellPr id="1" uniqueName="1">
      <xmlPr mapId="43" xpath="/ns1:Root/ns1:M5/ns1:Obligations_P12" xmlDataType="double"/>
    </xmlCellPr>
  </singleXmlCell>
  <singleXmlCell id="535" r="C96" connectionId="0">
    <xmlCellPr id="1" uniqueName="1">
      <xmlPr mapId="43" xpath="/ns1:Root/ns1:M5/ns1:Expenditures_P1" xmlDataType="double"/>
    </xmlCellPr>
  </singleXmlCell>
  <singleXmlCell id="536" r="D96" connectionId="0">
    <xmlCellPr id="1" uniqueName="1">
      <xmlPr mapId="43" xpath="/ns1:Root/ns1:M5/ns1:Expenditures_P2" xmlDataType="double"/>
    </xmlCellPr>
  </singleXmlCell>
  <singleXmlCell id="537" r="E96" connectionId="0">
    <xmlCellPr id="1" uniqueName="1">
      <xmlPr mapId="43" xpath="/ns1:Root/ns1:M5/ns1:Expenditures_P3" xmlDataType="double"/>
    </xmlCellPr>
  </singleXmlCell>
  <singleXmlCell id="538" r="F96" connectionId="0">
    <xmlCellPr id="1" uniqueName="1">
      <xmlPr mapId="43" xpath="/ns1:Root/ns1:M5/ns1:Expenditures_P4" xmlDataType="double"/>
    </xmlCellPr>
  </singleXmlCell>
  <singleXmlCell id="539" r="G96" connectionId="0">
    <xmlCellPr id="1" uniqueName="1">
      <xmlPr mapId="43" xpath="/ns1:Root/ns1:M5/ns1:Expenditures_P5" xmlDataType="double"/>
    </xmlCellPr>
  </singleXmlCell>
  <singleXmlCell id="540" r="H96" connectionId="0">
    <xmlCellPr id="1" uniqueName="1">
      <xmlPr mapId="43" xpath="/ns1:Root/ns1:M5/ns1:Expenditures_P6" xmlDataType="double"/>
    </xmlCellPr>
  </singleXmlCell>
  <singleXmlCell id="541" r="I96" connectionId="0">
    <xmlCellPr id="1" uniqueName="1">
      <xmlPr mapId="43" xpath="/ns1:Root/ns1:M5/ns1:Expenditures_P7" xmlDataType="double"/>
    </xmlCellPr>
  </singleXmlCell>
  <singleXmlCell id="542" r="J96" connectionId="0">
    <xmlCellPr id="1" uniqueName="1">
      <xmlPr mapId="43" xpath="/ns1:Root/ns1:M5/ns1:Expenditures_P8" xmlDataType="double"/>
    </xmlCellPr>
  </singleXmlCell>
  <singleXmlCell id="543" r="K96" connectionId="0">
    <xmlCellPr id="1" uniqueName="1">
      <xmlPr mapId="43" xpath="/ns1:Root/ns1:M5/ns1:Expenditures_P9" xmlDataType="double"/>
    </xmlCellPr>
  </singleXmlCell>
  <singleXmlCell id="544" r="L96" connectionId="0">
    <xmlCellPr id="1" uniqueName="1">
      <xmlPr mapId="43" xpath="/ns1:Root/ns1:M5/ns1:Expenditures_P10" xmlDataType="double"/>
    </xmlCellPr>
  </singleXmlCell>
  <singleXmlCell id="545" r="M96" connectionId="0">
    <xmlCellPr id="1" uniqueName="1">
      <xmlPr mapId="43" xpath="/ns1:Root/ns1:M5/ns1:Expenditures_P11" xmlDataType="double"/>
    </xmlCellPr>
  </singleXmlCell>
  <singleXmlCell id="546" r="N96" connectionId="0">
    <xmlCellPr id="1" uniqueName="1">
      <xmlPr mapId="43" xpath="/ns1:Root/ns1:M5/ns1:Expenditures_P12" xmlDataType="double"/>
    </xmlCellPr>
  </singleXmlCell>
  <singleXmlCell id="547" r="C107" connectionId="0">
    <xmlCellPr id="1" uniqueName="1">
      <xmlPr mapId="43" xpath="/ns1:Root/ns1:M6/ns1:HIV___AIDS_Products" xmlDataType="string"/>
    </xmlCellPr>
  </singleXmlCell>
  <singleXmlCell id="548" r="D107" connectionId="0">
    <xmlCellPr id="1" uniqueName="1">
      <xmlPr mapId="43" xpath="/ns1:Root/ns1:M6/ns1:HIV___AIDS__1__Number_of_tablets_per_patient_per_day__Review_country_treatment_guidelines_" xmlDataType="double"/>
    </xmlCellPr>
  </singleXmlCell>
  <singleXmlCell id="549" r="F107" connectionId="0">
    <xmlCellPr id="1" uniqueName="1">
      <xmlPr mapId="43" xpath="/ns1:Root/ns1:M6/ns1:HIV___AIDS__3__Total_patients_in_treatment" xmlDataType="double"/>
    </xmlCellPr>
  </singleXmlCell>
  <singleXmlCell id="550" r="H107" connectionId="0">
    <xmlCellPr id="1" uniqueName="1">
      <xmlPr mapId="43" xpath="/ns1:Root/ns1:M6/ns1:HIV___AIDS__5__Current_stock_in_central_warehouse__that_does_not_expire_within_the_next_3_months_" xmlDataType="double"/>
    </xmlCellPr>
  </singleXmlCell>
  <singleXmlCell id="551" r="J107" connectionId="0">
    <xmlCellPr id="1" uniqueName="1">
      <xmlPr mapId="43" xpath="/ns1:Root/ns1:M6/ns1:HIV___AIDS__7__Level_of_safety_stock__expressed_in_months_and_defined_by_country__" xmlDataType="double"/>
    </xmlCellPr>
  </singleXmlCell>
  <singleXmlCell id="552" r="C108" connectionId="0">
    <xmlCellPr id="1" uniqueName="1">
      <xmlPr mapId="43" xpath="/ns1:Root/ns1:M6/ns1:_Products_1" xmlDataType="string"/>
    </xmlCellPr>
  </singleXmlCell>
  <singleXmlCell id="553" r="D108" connectionId="0">
    <xmlCellPr id="1" uniqueName="1">
      <xmlPr mapId="43" xpath="/ns1:Root/ns1:M6/ns1:__1__Number_of_tablets_per_patient_per_day__Review_country_treatment_guidelines__1" xmlDataType="double"/>
    </xmlCellPr>
  </singleXmlCell>
  <singleXmlCell id="554" r="F108" connectionId="0">
    <xmlCellPr id="1" uniqueName="1">
      <xmlPr mapId="43" xpath="/ns1:Root/ns1:M6/ns1:__3__Total_patients_in_treatment_1" xmlDataType="double"/>
    </xmlCellPr>
  </singleXmlCell>
  <singleXmlCell id="555" r="H108" connectionId="0">
    <xmlCellPr id="1" uniqueName="1">
      <xmlPr mapId="43" xpath="/ns1:Root/ns1:M6/ns1:__5__Current_stock_in_central_warehouse__that_does_not_expire_within_the_next_3_months__1" xmlDataType="double"/>
    </xmlCellPr>
  </singleXmlCell>
  <singleXmlCell id="556" r="J108" connectionId="0">
    <xmlCellPr id="1" uniqueName="1">
      <xmlPr mapId="43" xpath="/ns1:Root/ns1:M6/ns1:__7__Level_of_safety_stock__expressed_in_months_and_defined_by_country___1" xmlDataType="double"/>
    </xmlCellPr>
  </singleXmlCell>
  <singleXmlCell id="557" r="C109" connectionId="0">
    <xmlCellPr id="1" uniqueName="1">
      <xmlPr mapId="43" xpath="/ns1:Root/ns1:M6/ns1:_Products_2" xmlDataType="string"/>
    </xmlCellPr>
  </singleXmlCell>
  <singleXmlCell id="558" r="D109" connectionId="0">
    <xmlCellPr id="1" uniqueName="1">
      <xmlPr mapId="43" xpath="/ns1:Root/ns1:M6/ns1:__1__Number_of_tablets_per_patient_per_day__Review_country_treatment_guidelines__2" xmlDataType="double"/>
    </xmlCellPr>
  </singleXmlCell>
  <singleXmlCell id="559" r="F109" connectionId="0">
    <xmlCellPr id="1" uniqueName="1">
      <xmlPr mapId="43" xpath="/ns1:Root/ns1:M6/ns1:__3__Total_patients_in_treatment_2" xmlDataType="double"/>
    </xmlCellPr>
  </singleXmlCell>
  <singleXmlCell id="560" r="H109" connectionId="0">
    <xmlCellPr id="1" uniqueName="1">
      <xmlPr mapId="43" xpath="/ns1:Root/ns1:M6/ns1:__5__Current_stock_in_central_warehouse__that_does_not_expire_within_the_next_3_months__2" xmlDataType="double"/>
    </xmlCellPr>
  </singleXmlCell>
  <singleXmlCell id="561" r="J109" connectionId="0">
    <xmlCellPr id="1" uniqueName="1">
      <xmlPr mapId="43" xpath="/ns1:Root/ns1:M6/ns1:__7__Level_of_safety_stock__expressed_in_months_and_defined_by_country___2" xmlDataType="double"/>
    </xmlCellPr>
  </singleXmlCell>
  <singleXmlCell id="562" r="C110" connectionId="0">
    <xmlCellPr id="1" uniqueName="1">
      <xmlPr mapId="43" xpath="/ns1:Root/ns1:M6/ns1:_Products" xmlDataType="string"/>
    </xmlCellPr>
  </singleXmlCell>
  <singleXmlCell id="563" r="D110" connectionId="0">
    <xmlCellPr id="1" uniqueName="1">
      <xmlPr mapId="43" xpath="/ns1:Root/ns1:M6/ns1:__1__Number_of_tablets_per_patient_per_day__Review_country_treatment_guidelines_" xmlDataType="double"/>
    </xmlCellPr>
  </singleXmlCell>
  <singleXmlCell id="564" r="F110" connectionId="0">
    <xmlCellPr id="1" uniqueName="1">
      <xmlPr mapId="43" xpath="/ns1:Root/ns1:M6/ns1:__3__Total_patients_in_treatment" xmlDataType="double"/>
    </xmlCellPr>
  </singleXmlCell>
  <singleXmlCell id="565" r="H110" connectionId="0">
    <xmlCellPr id="1" uniqueName="1">
      <xmlPr mapId="43" xpath="/ns1:Root/ns1:M6/ns1:__5__Current_stock_in_central_warehouse__that_does_not_expire_within_the_next_3_months_" xmlDataType="double"/>
    </xmlCellPr>
  </singleXmlCell>
  <singleXmlCell id="566" r="J110" connectionId="0">
    <xmlCellPr id="1" uniqueName="1">
      <xmlPr mapId="43" xpath="/ns1:Root/ns1:M6/ns1:__7__Level_of_safety_stock__expressed_in_months_and_defined_by_country__" xmlDataType="double"/>
    </xmlCellPr>
  </singleXmlCell>
  <singleXmlCell id="567" r="H117" connectionId="0">
    <xmlCellPr id="1" uniqueName="1">
      <xmlPr mapId="43" xpath="/ns1:Root/ns1:Prog/ns1:Target_P1_1" xmlDataType="double"/>
    </xmlCellPr>
  </singleXmlCell>
  <singleXmlCell id="568" r="I117" connectionId="0">
    <xmlCellPr id="1" uniqueName="1">
      <xmlPr mapId="43" xpath="/ns1:Root/ns1:Prog/ns1:Target_P2_1" xmlDataType="double"/>
    </xmlCellPr>
  </singleXmlCell>
  <singleXmlCell id="569" r="J117" connectionId="0">
    <xmlCellPr id="1" uniqueName="1">
      <xmlPr mapId="43" xpath="/ns1:Root/ns1:Prog/ns1:Target_P3_1" xmlDataType="double"/>
    </xmlCellPr>
  </singleXmlCell>
  <singleXmlCell id="570" r="K117" connectionId="0">
    <xmlCellPr id="1" uniqueName="1">
      <xmlPr mapId="43" xpath="/ns1:Root/ns1:Prog/ns1:Target_P4_1" xmlDataType="double"/>
    </xmlCellPr>
  </singleXmlCell>
  <singleXmlCell id="571" r="L117" connectionId="0">
    <xmlCellPr id="1" uniqueName="1">
      <xmlPr mapId="43" xpath="/ns1:Root/ns1:Prog/ns1:Target_P5_1" xmlDataType="double"/>
    </xmlCellPr>
  </singleXmlCell>
  <singleXmlCell id="572" r="M117" connectionId="0">
    <xmlCellPr id="1" uniqueName="1">
      <xmlPr mapId="43" xpath="/ns1:Root/ns1:Prog/ns1:Target_P6_1" xmlDataType="double"/>
    </xmlCellPr>
  </singleXmlCell>
  <singleXmlCell id="573" r="N117" connectionId="0">
    <xmlCellPr id="1" uniqueName="1">
      <xmlPr mapId="43" xpath="/ns1:Root/ns1:Prog/ns1:Target_P7_1" xmlDataType="double"/>
    </xmlCellPr>
  </singleXmlCell>
  <singleXmlCell id="574" r="O117" connectionId="0">
    <xmlCellPr id="1" uniqueName="1">
      <xmlPr mapId="43" xpath="/ns1:Root/ns1:Prog/ns1:Target_P8_1" xmlDataType="double"/>
    </xmlCellPr>
  </singleXmlCell>
  <singleXmlCell id="575" r="P117" connectionId="0">
    <xmlCellPr id="1" uniqueName="1">
      <xmlPr mapId="43" xpath="/ns1:Root/ns1:Prog/ns1:Target_P9_1" xmlDataType="double"/>
    </xmlCellPr>
  </singleXmlCell>
  <singleXmlCell id="576" r="Q117" connectionId="0">
    <xmlCellPr id="1" uniqueName="1">
      <xmlPr mapId="43" xpath="/ns1:Root/ns1:Prog/ns1:Target_P10_1" xmlDataType="double"/>
    </xmlCellPr>
  </singleXmlCell>
  <singleXmlCell id="577" r="R117" connectionId="0">
    <xmlCellPr id="1" uniqueName="1">
      <xmlPr mapId="43" xpath="/ns1:Root/ns1:Prog/ns1:Target_P11_1" xmlDataType="double"/>
    </xmlCellPr>
  </singleXmlCell>
  <singleXmlCell id="578" r="S117" connectionId="0">
    <xmlCellPr id="1" uniqueName="1">
      <xmlPr mapId="43" xpath="/ns1:Root/ns1:Prog/ns1:Target_P12_1" xmlDataType="double"/>
    </xmlCellPr>
  </singleXmlCell>
  <singleXmlCell id="579" r="H118" connectionId="0">
    <xmlCellPr id="1" uniqueName="1">
      <xmlPr mapId="43" xpath="/ns1:Root/ns1:Prog/ns1:Achieved__P1_1" xmlDataType="double"/>
    </xmlCellPr>
  </singleXmlCell>
  <singleXmlCell id="580" r="I118" connectionId="0">
    <xmlCellPr id="1" uniqueName="1">
      <xmlPr mapId="43" xpath="/ns1:Root/ns1:Prog/ns1:Achieved__P2_1" xmlDataType="double"/>
    </xmlCellPr>
  </singleXmlCell>
  <singleXmlCell id="581" r="J118" connectionId="0">
    <xmlCellPr id="1" uniqueName="1">
      <xmlPr mapId="43" xpath="/ns1:Root/ns1:Prog/ns1:Achieved__P3_1" xmlDataType="double"/>
    </xmlCellPr>
  </singleXmlCell>
  <singleXmlCell id="582" r="K118" connectionId="0">
    <xmlCellPr id="1" uniqueName="1">
      <xmlPr mapId="43" xpath="/ns1:Root/ns1:Prog/ns1:Achieved__P4_1" xmlDataType="double"/>
    </xmlCellPr>
  </singleXmlCell>
  <singleXmlCell id="583" r="L118" connectionId="0">
    <xmlCellPr id="1" uniqueName="1">
      <xmlPr mapId="43" xpath="/ns1:Root/ns1:Prog/ns1:Achieved__P5_1" xmlDataType="string"/>
    </xmlCellPr>
  </singleXmlCell>
  <singleXmlCell id="584" r="M118" connectionId="0">
    <xmlCellPr id="1" uniqueName="1">
      <xmlPr mapId="43" xpath="/ns1:Root/ns1:Prog/ns1:Achieved__P6_1" xmlDataType="string"/>
    </xmlCellPr>
  </singleXmlCell>
  <singleXmlCell id="585" r="N118" connectionId="0">
    <xmlCellPr id="1" uniqueName="1">
      <xmlPr mapId="43" xpath="/ns1:Root/ns1:Prog/ns1:Achieved__P7_1" xmlDataType="string"/>
    </xmlCellPr>
  </singleXmlCell>
  <singleXmlCell id="586" r="O118" connectionId="0">
    <xmlCellPr id="1" uniqueName="1">
      <xmlPr mapId="43" xpath="/ns1:Root/ns1:Prog/ns1:Achieved__P8_1" xmlDataType="string"/>
    </xmlCellPr>
  </singleXmlCell>
  <singleXmlCell id="587" r="P118" connectionId="0">
    <xmlCellPr id="1" uniqueName="1">
      <xmlPr mapId="43" xpath="/ns1:Root/ns1:Prog/ns1:Achieved__P9_1" xmlDataType="string"/>
    </xmlCellPr>
  </singleXmlCell>
  <singleXmlCell id="588" r="Q118" connectionId="0">
    <xmlCellPr id="1" uniqueName="1">
      <xmlPr mapId="43" xpath="/ns1:Root/ns1:Prog/ns1:Achieved__P10_1" xmlDataType="string"/>
    </xmlCellPr>
  </singleXmlCell>
  <singleXmlCell id="589" r="R118" connectionId="0">
    <xmlCellPr id="1" uniqueName="1">
      <xmlPr mapId="43" xpath="/ns1:Root/ns1:Prog/ns1:Achieved__P11_1" xmlDataType="string"/>
    </xmlCellPr>
  </singleXmlCell>
  <singleXmlCell id="590" r="S118" connectionId="0">
    <xmlCellPr id="1" uniqueName="1">
      <xmlPr mapId="43" xpath="/ns1:Root/ns1:Prog/ns1:Achieved__P12_1" xmlDataType="string"/>
    </xmlCellPr>
  </singleXmlCell>
  <singleXmlCell id="591" r="H119" connectionId="0">
    <xmlCellPr id="1" uniqueName="1">
      <xmlPr mapId="43" xpath="/ns1:Root/ns1:Prog/ns1:Target_P1_2" xmlDataType="double"/>
    </xmlCellPr>
  </singleXmlCell>
  <singleXmlCell id="592" r="I119" connectionId="0">
    <xmlCellPr id="1" uniqueName="1">
      <xmlPr mapId="43" xpath="/ns1:Root/ns1:Prog/ns1:Target_P2_2" xmlDataType="double"/>
    </xmlCellPr>
  </singleXmlCell>
  <singleXmlCell id="593" r="J119" connectionId="0">
    <xmlCellPr id="1" uniqueName="1">
      <xmlPr mapId="43" xpath="/ns1:Root/ns1:Prog/ns1:Target_P3_2" xmlDataType="double"/>
    </xmlCellPr>
  </singleXmlCell>
  <singleXmlCell id="594" r="L119" connectionId="0">
    <xmlCellPr id="1" uniqueName="1">
      <xmlPr mapId="43" xpath="/ns1:Root/ns1:Prog/ns1:Target_P5_2" xmlDataType="double"/>
    </xmlCellPr>
  </singleXmlCell>
  <singleXmlCell id="595" r="M119" connectionId="0">
    <xmlCellPr id="1" uniqueName="1">
      <xmlPr mapId="43" xpath="/ns1:Root/ns1:Prog/ns1:Target_P6_2" xmlDataType="double"/>
    </xmlCellPr>
  </singleXmlCell>
  <singleXmlCell id="596" r="N119" connectionId="0">
    <xmlCellPr id="1" uniqueName="1">
      <xmlPr mapId="43" xpath="/ns1:Root/ns1:Prog/ns1:Target_P7_2" xmlDataType="double"/>
    </xmlCellPr>
  </singleXmlCell>
  <singleXmlCell id="597" r="O119" connectionId="0">
    <xmlCellPr id="1" uniqueName="1">
      <xmlPr mapId="43" xpath="/ns1:Root/ns1:Prog/ns1:Target_P8_2" xmlDataType="double"/>
    </xmlCellPr>
  </singleXmlCell>
  <singleXmlCell id="598" r="P119" connectionId="0">
    <xmlCellPr id="1" uniqueName="1">
      <xmlPr mapId="43" xpath="/ns1:Root/ns1:Prog/ns1:Target_P9_2" xmlDataType="double"/>
    </xmlCellPr>
  </singleXmlCell>
  <singleXmlCell id="599" r="Q119" connectionId="0">
    <xmlCellPr id="1" uniqueName="1">
      <xmlPr mapId="43" xpath="/ns1:Root/ns1:Prog/ns1:Target_P10_2" xmlDataType="double"/>
    </xmlCellPr>
  </singleXmlCell>
  <singleXmlCell id="600" r="R119" connectionId="0">
    <xmlCellPr id="1" uniqueName="1">
      <xmlPr mapId="43" xpath="/ns1:Root/ns1:Prog/ns1:Target_P11_2" xmlDataType="double"/>
    </xmlCellPr>
  </singleXmlCell>
  <singleXmlCell id="601" r="S119" connectionId="0">
    <xmlCellPr id="1" uniqueName="1">
      <xmlPr mapId="43" xpath="/ns1:Root/ns1:Prog/ns1:Target_P12_2" xmlDataType="double"/>
    </xmlCellPr>
  </singleXmlCell>
  <singleXmlCell id="602" r="H120" connectionId="0">
    <xmlCellPr id="1" uniqueName="1">
      <xmlPr mapId="43" xpath="/ns1:Root/ns1:Prog/ns1:Achieved__P1_2" xmlDataType="double"/>
    </xmlCellPr>
  </singleXmlCell>
  <singleXmlCell id="603" r="I120" connectionId="0">
    <xmlCellPr id="1" uniqueName="1">
      <xmlPr mapId="43" xpath="/ns1:Root/ns1:Prog/ns1:Achieved__P2_2" xmlDataType="double"/>
    </xmlCellPr>
  </singleXmlCell>
  <singleXmlCell id="604" r="J120" connectionId="0">
    <xmlCellPr id="1" uniqueName="1">
      <xmlPr mapId="43" xpath="/ns1:Root/ns1:Prog/ns1:Achieved__P3_2" xmlDataType="double"/>
    </xmlCellPr>
  </singleXmlCell>
  <singleXmlCell id="605" r="K120" connectionId="0">
    <xmlCellPr id="1" uniqueName="1">
      <xmlPr mapId="43" xpath="/ns1:Root/ns1:Prog/ns1:Achieved__P4_2" xmlDataType="double"/>
    </xmlCellPr>
  </singleXmlCell>
  <singleXmlCell id="606" r="L120" connectionId="0">
    <xmlCellPr id="1" uniqueName="1">
      <xmlPr mapId="43" xpath="/ns1:Root/ns1:Prog/ns1:Achieved__P5_2" xmlDataType="string"/>
    </xmlCellPr>
  </singleXmlCell>
  <singleXmlCell id="607" r="M120" connectionId="0">
    <xmlCellPr id="1" uniqueName="1">
      <xmlPr mapId="43" xpath="/ns1:Root/ns1:Prog/ns1:Achieved__P6_2" xmlDataType="string"/>
    </xmlCellPr>
  </singleXmlCell>
  <singleXmlCell id="608" r="N120" connectionId="0">
    <xmlCellPr id="1" uniqueName="1">
      <xmlPr mapId="43" xpath="/ns1:Root/ns1:Prog/ns1:Achieved__P7_2" xmlDataType="string"/>
    </xmlCellPr>
  </singleXmlCell>
  <singleXmlCell id="609" r="O120" connectionId="0">
    <xmlCellPr id="1" uniqueName="1">
      <xmlPr mapId="43" xpath="/ns1:Root/ns1:Prog/ns1:Achieved__P8_2" xmlDataType="string"/>
    </xmlCellPr>
  </singleXmlCell>
  <singleXmlCell id="610" r="P120" connectionId="0">
    <xmlCellPr id="1" uniqueName="1">
      <xmlPr mapId="43" xpath="/ns1:Root/ns1:Prog/ns1:Achieved__P9_2" xmlDataType="string"/>
    </xmlCellPr>
  </singleXmlCell>
  <singleXmlCell id="611" r="Q120" connectionId="0">
    <xmlCellPr id="1" uniqueName="1">
      <xmlPr mapId="43" xpath="/ns1:Root/ns1:Prog/ns1:Achieved__P10_2" xmlDataType="string"/>
    </xmlCellPr>
  </singleXmlCell>
  <singleXmlCell id="612" r="R120" connectionId="0">
    <xmlCellPr id="1" uniqueName="1">
      <xmlPr mapId="43" xpath="/ns1:Root/ns1:Prog/ns1:Achieved__P11_2" xmlDataType="string"/>
    </xmlCellPr>
  </singleXmlCell>
  <singleXmlCell id="613" r="S120" connectionId="0">
    <xmlCellPr id="1" uniqueName="1">
      <xmlPr mapId="43" xpath="/ns1:Root/ns1:Prog/ns1:Achieved__P12_2" xmlDataType="string"/>
    </xmlCellPr>
  </singleXmlCell>
  <singleXmlCell id="614" r="H121" connectionId="0">
    <xmlCellPr id="1" uniqueName="1">
      <xmlPr mapId="43" xpath="/ns1:Root/ns1:Prog/ns1:Target_P1_3" xmlDataType="double"/>
    </xmlCellPr>
  </singleXmlCell>
  <singleXmlCell id="615" r="I121" connectionId="0">
    <xmlCellPr id="1" uniqueName="1">
      <xmlPr mapId="43" xpath="/ns1:Root/ns1:Prog/ns1:Target_P2_3" xmlDataType="double"/>
    </xmlCellPr>
  </singleXmlCell>
  <singleXmlCell id="616" r="J121" connectionId="0">
    <xmlCellPr id="1" uniqueName="1">
      <xmlPr mapId="43" xpath="/ns1:Root/ns1:Prog/ns1:Target_P3_3" xmlDataType="double"/>
    </xmlCellPr>
  </singleXmlCell>
  <singleXmlCell id="617" r="K121" connectionId="0">
    <xmlCellPr id="1" uniqueName="1">
      <xmlPr mapId="43" xpath="/ns1:Root/ns1:Prog/ns1:Target_P4_3" xmlDataType="double"/>
    </xmlCellPr>
  </singleXmlCell>
  <singleXmlCell id="618" r="L121" connectionId="0">
    <xmlCellPr id="1" uniqueName="1">
      <xmlPr mapId="43" xpath="/ns1:Root/ns1:Prog/ns1:Target_P5_3" xmlDataType="double"/>
    </xmlCellPr>
  </singleXmlCell>
  <singleXmlCell id="619" r="M121" connectionId="0">
    <xmlCellPr id="1" uniqueName="1">
      <xmlPr mapId="43" xpath="/ns1:Root/ns1:Prog/ns1:Target_P6_3" xmlDataType="double"/>
    </xmlCellPr>
  </singleXmlCell>
  <singleXmlCell id="620" r="N121" connectionId="0">
    <xmlCellPr id="1" uniqueName="1">
      <xmlPr mapId="43" xpath="/ns1:Root/ns1:Prog/ns1:Target_P7_3" xmlDataType="double"/>
    </xmlCellPr>
  </singleXmlCell>
  <singleXmlCell id="621" r="O121" connectionId="0">
    <xmlCellPr id="1" uniqueName="1">
      <xmlPr mapId="43" xpath="/ns1:Root/ns1:Prog/ns1:Target_P8_3" xmlDataType="double"/>
    </xmlCellPr>
  </singleXmlCell>
  <singleXmlCell id="622" r="P121" connectionId="0">
    <xmlCellPr id="1" uniqueName="1">
      <xmlPr mapId="43" xpath="/ns1:Root/ns1:Prog/ns1:Target_P9_3" xmlDataType="double"/>
    </xmlCellPr>
  </singleXmlCell>
  <singleXmlCell id="623" r="Q121" connectionId="0">
    <xmlCellPr id="1" uniqueName="1">
      <xmlPr mapId="43" xpath="/ns1:Root/ns1:Prog/ns1:Target_P10_3" xmlDataType="string"/>
    </xmlCellPr>
  </singleXmlCell>
  <singleXmlCell id="624" r="R121" connectionId="0">
    <xmlCellPr id="1" uniqueName="1">
      <xmlPr mapId="43" xpath="/ns1:Root/ns1:Prog/ns1:Target_P11_3" xmlDataType="string"/>
    </xmlCellPr>
  </singleXmlCell>
  <singleXmlCell id="625" r="S121" connectionId="0">
    <xmlCellPr id="1" uniqueName="1">
      <xmlPr mapId="43" xpath="/ns1:Root/ns1:Prog/ns1:Target_P12_3" xmlDataType="double"/>
    </xmlCellPr>
  </singleXmlCell>
  <singleXmlCell id="626" r="H122" connectionId="0">
    <xmlCellPr id="1" uniqueName="1">
      <xmlPr mapId="43" xpath="/ns1:Root/ns1:Prog/ns1:Achieved__P1_3" xmlDataType="string"/>
    </xmlCellPr>
  </singleXmlCell>
  <singleXmlCell id="627" r="I122" connectionId="0">
    <xmlCellPr id="1" uniqueName="1">
      <xmlPr mapId="43" xpath="/ns1:Root/ns1:Prog/ns1:Achieved__P2_3" xmlDataType="double"/>
    </xmlCellPr>
  </singleXmlCell>
  <singleXmlCell id="628" r="J122" connectionId="0">
    <xmlCellPr id="1" uniqueName="1">
      <xmlPr mapId="43" xpath="/ns1:Root/ns1:Prog/ns1:Achieved__P3_3" xmlDataType="string"/>
    </xmlCellPr>
  </singleXmlCell>
  <singleXmlCell id="629" r="K122" connectionId="0">
    <xmlCellPr id="1" uniqueName="1">
      <xmlPr mapId="43" xpath="/ns1:Root/ns1:Prog/ns1:Achieved__P4_3" xmlDataType="double"/>
    </xmlCellPr>
  </singleXmlCell>
  <singleXmlCell id="630" r="L122" connectionId="0">
    <xmlCellPr id="1" uniqueName="1">
      <xmlPr mapId="43" xpath="/ns1:Root/ns1:Prog/ns1:Achieved__P5_3" xmlDataType="string"/>
    </xmlCellPr>
  </singleXmlCell>
  <singleXmlCell id="631" r="M122" connectionId="0">
    <xmlCellPr id="1" uniqueName="1">
      <xmlPr mapId="43" xpath="/ns1:Root/ns1:Prog/ns1:Achieved__P6_3" xmlDataType="string"/>
    </xmlCellPr>
  </singleXmlCell>
  <singleXmlCell id="632" r="N122" connectionId="0">
    <xmlCellPr id="1" uniqueName="1">
      <xmlPr mapId="43" xpath="/ns1:Root/ns1:Prog/ns1:Achieved__P7_3" xmlDataType="string"/>
    </xmlCellPr>
  </singleXmlCell>
  <singleXmlCell id="633" r="O122" connectionId="0">
    <xmlCellPr id="1" uniqueName="1">
      <xmlPr mapId="43" xpath="/ns1:Root/ns1:Prog/ns1:Achieved__P8_3" xmlDataType="string"/>
    </xmlCellPr>
  </singleXmlCell>
  <singleXmlCell id="634" r="P122" connectionId="0">
    <xmlCellPr id="1" uniqueName="1">
      <xmlPr mapId="43" xpath="/ns1:Root/ns1:Prog/ns1:Achieved__P9_3" xmlDataType="string"/>
    </xmlCellPr>
  </singleXmlCell>
  <singleXmlCell id="635" r="Q122" connectionId="0">
    <xmlCellPr id="1" uniqueName="1">
      <xmlPr mapId="43" xpath="/ns1:Root/ns1:Prog/ns1:Achieved__P10_3" xmlDataType="string"/>
    </xmlCellPr>
  </singleXmlCell>
  <singleXmlCell id="636" r="R122" connectionId="0">
    <xmlCellPr id="1" uniqueName="1">
      <xmlPr mapId="43" xpath="/ns1:Root/ns1:Prog/ns1:Achieved__P11_3" xmlDataType="string"/>
    </xmlCellPr>
  </singleXmlCell>
  <singleXmlCell id="637" r="S122" connectionId="0">
    <xmlCellPr id="1" uniqueName="1">
      <xmlPr mapId="43" xpath="/ns1:Root/ns1:Prog/ns1:Achieved__P12_3" xmlDataType="string"/>
    </xmlCellPr>
  </singleXmlCell>
  <singleXmlCell id="638" r="H123" connectionId="0">
    <xmlCellPr id="1" uniqueName="1">
      <xmlPr mapId="43" xpath="/ns1:Root/ns1:Prog/ns1:Target_P1_4" xmlDataType="string"/>
    </xmlCellPr>
  </singleXmlCell>
  <singleXmlCell id="639" r="I123" connectionId="0">
    <xmlCellPr id="1" uniqueName="1">
      <xmlPr mapId="43" xpath="/ns1:Root/ns1:Prog/ns1:Target_P2_4" xmlDataType="string"/>
    </xmlCellPr>
  </singleXmlCell>
  <singleXmlCell id="640" r="J123" connectionId="0">
    <xmlCellPr id="1" uniqueName="1">
      <xmlPr mapId="43" xpath="/ns1:Root/ns1:Prog/ns1:Target_P3_4" xmlDataType="string"/>
    </xmlCellPr>
  </singleXmlCell>
  <singleXmlCell id="641" r="K123" connectionId="0">
    <xmlCellPr id="1" uniqueName="1">
      <xmlPr mapId="43" xpath="/ns1:Root/ns1:Prog/ns1:Target_P4_4" xmlDataType="double"/>
    </xmlCellPr>
  </singleXmlCell>
  <singleXmlCell id="642" r="L123" connectionId="0">
    <xmlCellPr id="1" uniqueName="1">
      <xmlPr mapId="43" xpath="/ns1:Root/ns1:Prog/ns1:Target_P5_4" xmlDataType="string"/>
    </xmlCellPr>
  </singleXmlCell>
  <singleXmlCell id="643" r="M123" connectionId="0">
    <xmlCellPr id="1" uniqueName="1">
      <xmlPr mapId="43" xpath="/ns1:Root/ns1:Prog/ns1:Target_P6_4" xmlDataType="string"/>
    </xmlCellPr>
  </singleXmlCell>
  <singleXmlCell id="644" r="N123" connectionId="0">
    <xmlCellPr id="1" uniqueName="1">
      <xmlPr mapId="43" xpath="/ns1:Root/ns1:Prog/ns1:Target_P7_4" xmlDataType="string"/>
    </xmlCellPr>
  </singleXmlCell>
  <singleXmlCell id="645" r="O123" connectionId="0">
    <xmlCellPr id="1" uniqueName="1">
      <xmlPr mapId="43" xpath="/ns1:Root/ns1:Prog/ns1:Target_P8_4" xmlDataType="double"/>
    </xmlCellPr>
  </singleXmlCell>
  <singleXmlCell id="646" r="P123" connectionId="0">
    <xmlCellPr id="1" uniqueName="1">
      <xmlPr mapId="43" xpath="/ns1:Root/ns1:Prog/ns1:Target_P9_4" xmlDataType="string"/>
    </xmlCellPr>
  </singleXmlCell>
  <singleXmlCell id="647" r="Q123" connectionId="0">
    <xmlCellPr id="1" uniqueName="1">
      <xmlPr mapId="43" xpath="/ns1:Root/ns1:Prog/ns1:Target_P10_4" xmlDataType="string"/>
    </xmlCellPr>
  </singleXmlCell>
  <singleXmlCell id="648" r="R123" connectionId="0">
    <xmlCellPr id="1" uniqueName="1">
      <xmlPr mapId="43" xpath="/ns1:Root/ns1:Prog/ns1:Target_P11_4" xmlDataType="string"/>
    </xmlCellPr>
  </singleXmlCell>
  <singleXmlCell id="649" r="S123" connectionId="0">
    <xmlCellPr id="1" uniqueName="1">
      <xmlPr mapId="43" xpath="/ns1:Root/ns1:Prog/ns1:Target_P12_4" xmlDataType="double"/>
    </xmlCellPr>
  </singleXmlCell>
  <singleXmlCell id="650" r="H124" connectionId="0">
    <xmlCellPr id="1" uniqueName="1">
      <xmlPr mapId="43" xpath="/ns1:Root/ns1:Prog/ns1:Achieved__P1_4" xmlDataType="string"/>
    </xmlCellPr>
  </singleXmlCell>
  <singleXmlCell id="651" r="I124" connectionId="0">
    <xmlCellPr id="1" uniqueName="1">
      <xmlPr mapId="43" xpath="/ns1:Root/ns1:Prog/ns1:Achieved__P2_4" xmlDataType="string"/>
    </xmlCellPr>
  </singleXmlCell>
  <singleXmlCell id="652" r="J124" connectionId="0">
    <xmlCellPr id="1" uniqueName="1">
      <xmlPr mapId="43" xpath="/ns1:Root/ns1:Prog/ns1:Achieved__P3_4" xmlDataType="string"/>
    </xmlCellPr>
  </singleXmlCell>
  <singleXmlCell id="653" r="K124" connectionId="0">
    <xmlCellPr id="1" uniqueName="1">
      <xmlPr mapId="43" xpath="/ns1:Root/ns1:Prog/ns1:Achieved__P4_4" xmlDataType="double"/>
    </xmlCellPr>
  </singleXmlCell>
  <singleXmlCell id="654" r="L124" connectionId="0">
    <xmlCellPr id="1" uniqueName="1">
      <xmlPr mapId="43" xpath="/ns1:Root/ns1:Prog/ns1:Achieved__P5_4" xmlDataType="string"/>
    </xmlCellPr>
  </singleXmlCell>
  <singleXmlCell id="655" r="M124" connectionId="0">
    <xmlCellPr id="1" uniqueName="1">
      <xmlPr mapId="43" xpath="/ns1:Root/ns1:Prog/ns1:Achieved__P6_4" xmlDataType="string"/>
    </xmlCellPr>
  </singleXmlCell>
  <singleXmlCell id="656" r="N124" connectionId="0">
    <xmlCellPr id="1" uniqueName="1">
      <xmlPr mapId="43" xpath="/ns1:Root/ns1:Prog/ns1:Achieved__P7_4" xmlDataType="string"/>
    </xmlCellPr>
  </singleXmlCell>
  <singleXmlCell id="657" r="O124" connectionId="0">
    <xmlCellPr id="1" uniqueName="1">
      <xmlPr mapId="43" xpath="/ns1:Root/ns1:Prog/ns1:Achieved__P8_4" xmlDataType="string"/>
    </xmlCellPr>
  </singleXmlCell>
  <singleXmlCell id="658" r="P124" connectionId="0">
    <xmlCellPr id="1" uniqueName="1">
      <xmlPr mapId="43" xpath="/ns1:Root/ns1:Prog/ns1:Achieved__P9_4" xmlDataType="string"/>
    </xmlCellPr>
  </singleXmlCell>
  <singleXmlCell id="659" r="Q124" connectionId="0">
    <xmlCellPr id="1" uniqueName="1">
      <xmlPr mapId="43" xpath="/ns1:Root/ns1:Prog/ns1:Achieved__P10_4" xmlDataType="string"/>
    </xmlCellPr>
  </singleXmlCell>
  <singleXmlCell id="660" r="R124" connectionId="0">
    <xmlCellPr id="1" uniqueName="1">
      <xmlPr mapId="43" xpath="/ns1:Root/ns1:Prog/ns1:Achieved__P11_4" xmlDataType="string"/>
    </xmlCellPr>
  </singleXmlCell>
  <singleXmlCell id="661" r="S124" connectionId="0">
    <xmlCellPr id="1" uniqueName="1">
      <xmlPr mapId="43" xpath="/ns1:Root/ns1:Prog/ns1:Achieved__P12_4" xmlDataType="string"/>
    </xmlCellPr>
  </singleXmlCell>
  <singleXmlCell id="662" r="H125" connectionId="0">
    <xmlCellPr id="1" uniqueName="1">
      <xmlPr mapId="43" xpath="/ns1:Root/ns1:Prog/ns1:Target_P1_5" xmlDataType="double"/>
    </xmlCellPr>
  </singleXmlCell>
  <singleXmlCell id="663" r="I125" connectionId="0">
    <xmlCellPr id="1" uniqueName="1">
      <xmlPr mapId="43" xpath="/ns1:Root/ns1:Prog/ns1:Target_P2_5" xmlDataType="double"/>
    </xmlCellPr>
  </singleXmlCell>
  <singleXmlCell id="664" r="J125" connectionId="0">
    <xmlCellPr id="1" uniqueName="1">
      <xmlPr mapId="43" xpath="/ns1:Root/ns1:Prog/ns1:Target_P3_5" xmlDataType="double"/>
    </xmlCellPr>
  </singleXmlCell>
  <singleXmlCell id="665" r="K125" connectionId="0">
    <xmlCellPr id="1" uniqueName="1">
      <xmlPr mapId="43" xpath="/ns1:Root/ns1:Prog/ns1:Target_P4_5" xmlDataType="double"/>
    </xmlCellPr>
  </singleXmlCell>
  <singleXmlCell id="666" r="L125" connectionId="0">
    <xmlCellPr id="1" uniqueName="1">
      <xmlPr mapId="43" xpath="/ns1:Root/ns1:Prog/ns1:Target_P5_5" xmlDataType="double"/>
    </xmlCellPr>
  </singleXmlCell>
  <singleXmlCell id="667" r="M125" connectionId="0">
    <xmlCellPr id="1" uniqueName="1">
      <xmlPr mapId="43" xpath="/ns1:Root/ns1:Prog/ns1:Target_P6_5" xmlDataType="double"/>
    </xmlCellPr>
  </singleXmlCell>
  <singleXmlCell id="668" r="N125" connectionId="0">
    <xmlCellPr id="1" uniqueName="1">
      <xmlPr mapId="43" xpath="/ns1:Root/ns1:Prog/ns1:Target_P7_5" xmlDataType="double"/>
    </xmlCellPr>
  </singleXmlCell>
  <singleXmlCell id="669" r="O125" connectionId="0">
    <xmlCellPr id="1" uniqueName="1">
      <xmlPr mapId="43" xpath="/ns1:Root/ns1:Prog/ns1:Target_P8_5" xmlDataType="double"/>
    </xmlCellPr>
  </singleXmlCell>
  <singleXmlCell id="670" r="P125" connectionId="0">
    <xmlCellPr id="1" uniqueName="1">
      <xmlPr mapId="43" xpath="/ns1:Root/ns1:Prog/ns1:Target_P9_5" xmlDataType="double"/>
    </xmlCellPr>
  </singleXmlCell>
  <singleXmlCell id="671" r="Q125" connectionId="0">
    <xmlCellPr id="1" uniqueName="1">
      <xmlPr mapId="43" xpath="/ns1:Root/ns1:Prog/ns1:Target_P10_5" xmlDataType="double"/>
    </xmlCellPr>
  </singleXmlCell>
  <singleXmlCell id="672" r="R125" connectionId="0">
    <xmlCellPr id="1" uniqueName="1">
      <xmlPr mapId="43" xpath="/ns1:Root/ns1:Prog/ns1:Target_P11_5" xmlDataType="double"/>
    </xmlCellPr>
  </singleXmlCell>
  <singleXmlCell id="673" r="S125" connectionId="0">
    <xmlCellPr id="1" uniqueName="1">
      <xmlPr mapId="43" xpath="/ns1:Root/ns1:Prog/ns1:Target_P12_5" xmlDataType="double"/>
    </xmlCellPr>
  </singleXmlCell>
  <singleXmlCell id="674" r="H126" connectionId="0">
    <xmlCellPr id="1" uniqueName="1">
      <xmlPr mapId="43" xpath="/ns1:Root/ns1:Prog/ns1:Achieved__P1_5" xmlDataType="double"/>
    </xmlCellPr>
  </singleXmlCell>
  <singleXmlCell id="675" r="I126" connectionId="0">
    <xmlCellPr id="1" uniqueName="1">
      <xmlPr mapId="43" xpath="/ns1:Root/ns1:Prog/ns1:Achieved__P2_5" xmlDataType="double"/>
    </xmlCellPr>
  </singleXmlCell>
  <singleXmlCell id="676" r="J126" connectionId="0">
    <xmlCellPr id="1" uniqueName="1">
      <xmlPr mapId="43" xpath="/ns1:Root/ns1:Prog/ns1:Achieved__P3_5" xmlDataType="double"/>
    </xmlCellPr>
  </singleXmlCell>
  <singleXmlCell id="677" r="K126" connectionId="0">
    <xmlCellPr id="1" uniqueName="1">
      <xmlPr mapId="43" xpath="/ns1:Root/ns1:Prog/ns1:Achieved__P4_5" xmlDataType="double"/>
    </xmlCellPr>
  </singleXmlCell>
  <singleXmlCell id="678" r="L126" connectionId="0">
    <xmlCellPr id="1" uniqueName="1">
      <xmlPr mapId="43" xpath="/ns1:Root/ns1:Prog/ns1:Achieved__P5_5" xmlDataType="string"/>
    </xmlCellPr>
  </singleXmlCell>
  <singleXmlCell id="679" r="M126" connectionId="0">
    <xmlCellPr id="1" uniqueName="1">
      <xmlPr mapId="43" xpath="/ns1:Root/ns1:Prog/ns1:Achieved__P6_5" xmlDataType="string"/>
    </xmlCellPr>
  </singleXmlCell>
  <singleXmlCell id="680" r="N126" connectionId="0">
    <xmlCellPr id="1" uniqueName="1">
      <xmlPr mapId="43" xpath="/ns1:Root/ns1:Prog/ns1:Achieved__P7_5" xmlDataType="string"/>
    </xmlCellPr>
  </singleXmlCell>
  <singleXmlCell id="681" r="O126" connectionId="0">
    <xmlCellPr id="1" uniqueName="1">
      <xmlPr mapId="43" xpath="/ns1:Root/ns1:Prog/ns1:Achieved__P8_5" xmlDataType="string"/>
    </xmlCellPr>
  </singleXmlCell>
  <singleXmlCell id="682" r="P126" connectionId="0">
    <xmlCellPr id="1" uniqueName="1">
      <xmlPr mapId="43" xpath="/ns1:Root/ns1:Prog/ns1:Achieved__P9_5" xmlDataType="string"/>
    </xmlCellPr>
  </singleXmlCell>
  <singleXmlCell id="683" r="Q126" connectionId="0">
    <xmlCellPr id="1" uniqueName="1">
      <xmlPr mapId="43" xpath="/ns1:Root/ns1:Prog/ns1:Achieved__P10_5" xmlDataType="string"/>
    </xmlCellPr>
  </singleXmlCell>
  <singleXmlCell id="684" r="R126" connectionId="0">
    <xmlCellPr id="1" uniqueName="1">
      <xmlPr mapId="43" xpath="/ns1:Root/ns1:Prog/ns1:Achieved__P11_5" xmlDataType="string"/>
    </xmlCellPr>
  </singleXmlCell>
  <singleXmlCell id="685" r="S126" connectionId="0">
    <xmlCellPr id="1" uniqueName="1">
      <xmlPr mapId="43" xpath="/ns1:Root/ns1:Prog/ns1:Achieved__P12_5" xmlDataType="string"/>
    </xmlCellPr>
  </singleXmlCell>
  <singleXmlCell id="686" r="H127" connectionId="0">
    <xmlCellPr id="1" uniqueName="1">
      <xmlPr mapId="43" xpath="/ns1:Root/ns1:Prog/ns1:Target_P1_6" xmlDataType="double"/>
    </xmlCellPr>
  </singleXmlCell>
  <singleXmlCell id="687" r="I127" connectionId="0">
    <xmlCellPr id="1" uniqueName="1">
      <xmlPr mapId="43" xpath="/ns1:Root/ns1:Prog/ns1:Target_P2_6" xmlDataType="double"/>
    </xmlCellPr>
  </singleXmlCell>
  <singleXmlCell id="688" r="J127" connectionId="0">
    <xmlCellPr id="1" uniqueName="1">
      <xmlPr mapId="43" xpath="/ns1:Root/ns1:Prog/ns1:Target_P3_6" xmlDataType="double"/>
    </xmlCellPr>
  </singleXmlCell>
  <singleXmlCell id="689" r="K127" connectionId="0">
    <xmlCellPr id="1" uniqueName="1">
      <xmlPr mapId="43" xpath="/ns1:Root/ns1:Prog/ns1:Target_P4_6" xmlDataType="double"/>
    </xmlCellPr>
  </singleXmlCell>
  <singleXmlCell id="690" r="L127" connectionId="0">
    <xmlCellPr id="1" uniqueName="1">
      <xmlPr mapId="43" xpath="/ns1:Root/ns1:Prog/ns1:Target_P5_6" xmlDataType="double"/>
    </xmlCellPr>
  </singleXmlCell>
  <singleXmlCell id="691" r="M127" connectionId="0">
    <xmlCellPr id="1" uniqueName="1">
      <xmlPr mapId="43" xpath="/ns1:Root/ns1:Prog/ns1:Target_P6_6" xmlDataType="double"/>
    </xmlCellPr>
  </singleXmlCell>
  <singleXmlCell id="692" r="N127" connectionId="0">
    <xmlCellPr id="1" uniqueName="1">
      <xmlPr mapId="43" xpath="/ns1:Root/ns1:Prog/ns1:Target_P7_6" xmlDataType="double"/>
    </xmlCellPr>
  </singleXmlCell>
  <singleXmlCell id="693" r="O127" connectionId="0">
    <xmlCellPr id="1" uniqueName="1">
      <xmlPr mapId="43" xpath="/ns1:Root/ns1:Prog/ns1:Target_P8_6" xmlDataType="double"/>
    </xmlCellPr>
  </singleXmlCell>
  <singleXmlCell id="694" r="P127" connectionId="0">
    <xmlCellPr id="1" uniqueName="1">
      <xmlPr mapId="43" xpath="/ns1:Root/ns1:Prog/ns1:Target_P9_6" xmlDataType="double"/>
    </xmlCellPr>
  </singleXmlCell>
  <singleXmlCell id="695" r="Q127" connectionId="0">
    <xmlCellPr id="1" uniqueName="1">
      <xmlPr mapId="43" xpath="/ns1:Root/ns1:Prog/ns1:Target_P10_6" xmlDataType="double"/>
    </xmlCellPr>
  </singleXmlCell>
  <singleXmlCell id="696" r="R127" connectionId="0">
    <xmlCellPr id="1" uniqueName="1">
      <xmlPr mapId="43" xpath="/ns1:Root/ns1:Prog/ns1:Target_P11_6" xmlDataType="double"/>
    </xmlCellPr>
  </singleXmlCell>
  <singleXmlCell id="697" r="S127" connectionId="0">
    <xmlCellPr id="1" uniqueName="1">
      <xmlPr mapId="43" xpath="/ns1:Root/ns1:Prog/ns1:Target_P12_6" xmlDataType="double"/>
    </xmlCellPr>
  </singleXmlCell>
  <singleXmlCell id="698" r="H128" connectionId="0">
    <xmlCellPr id="1" uniqueName="1">
      <xmlPr mapId="43" xpath="/ns1:Root/ns1:Prog/ns1:Achieved__P1_6" xmlDataType="double"/>
    </xmlCellPr>
  </singleXmlCell>
  <singleXmlCell id="699" r="I128" connectionId="0">
    <xmlCellPr id="1" uniqueName="1">
      <xmlPr mapId="43" xpath="/ns1:Root/ns1:Prog/ns1:Achieved__P2_6" xmlDataType="double"/>
    </xmlCellPr>
  </singleXmlCell>
  <singleXmlCell id="700" r="J128" connectionId="0">
    <xmlCellPr id="1" uniqueName="1">
      <xmlPr mapId="43" xpath="/ns1:Root/ns1:Prog/ns1:Achieved__P3_6" xmlDataType="double"/>
    </xmlCellPr>
  </singleXmlCell>
  <singleXmlCell id="701" r="K128" connectionId="0">
    <xmlCellPr id="1" uniqueName="1">
      <xmlPr mapId="43" xpath="/ns1:Root/ns1:Prog/ns1:Achieved__P4_6" xmlDataType="double"/>
    </xmlCellPr>
  </singleXmlCell>
  <singleXmlCell id="702" r="L128" connectionId="0">
    <xmlCellPr id="1" uniqueName="1">
      <xmlPr mapId="43" xpath="/ns1:Root/ns1:Prog/ns1:Achieved__P5_6" xmlDataType="string"/>
    </xmlCellPr>
  </singleXmlCell>
  <singleXmlCell id="703" r="M128" connectionId="0">
    <xmlCellPr id="1" uniqueName="1">
      <xmlPr mapId="43" xpath="/ns1:Root/ns1:Prog/ns1:Achieved__P6_6" xmlDataType="string"/>
    </xmlCellPr>
  </singleXmlCell>
  <singleXmlCell id="704" r="N128" connectionId="0">
    <xmlCellPr id="1" uniqueName="1">
      <xmlPr mapId="43" xpath="/ns1:Root/ns1:Prog/ns1:Achieved__P7_6" xmlDataType="string"/>
    </xmlCellPr>
  </singleXmlCell>
  <singleXmlCell id="705" r="O128" connectionId="0">
    <xmlCellPr id="1" uniqueName="1">
      <xmlPr mapId="43" xpath="/ns1:Root/ns1:Prog/ns1:Achieved__P8_6" xmlDataType="string"/>
    </xmlCellPr>
  </singleXmlCell>
  <singleXmlCell id="706" r="P128" connectionId="0">
    <xmlCellPr id="1" uniqueName="1">
      <xmlPr mapId="43" xpath="/ns1:Root/ns1:Prog/ns1:Achieved__P9_6" xmlDataType="string"/>
    </xmlCellPr>
  </singleXmlCell>
  <singleXmlCell id="707" r="Q128" connectionId="0">
    <xmlCellPr id="1" uniqueName="1">
      <xmlPr mapId="43" xpath="/ns1:Root/ns1:Prog/ns1:Achieved__P10_6" xmlDataType="string"/>
    </xmlCellPr>
  </singleXmlCell>
  <singleXmlCell id="708" r="R128" connectionId="0">
    <xmlCellPr id="1" uniqueName="1">
      <xmlPr mapId="43" xpath="/ns1:Root/ns1:Prog/ns1:Achieved__P11_6" xmlDataType="string"/>
    </xmlCellPr>
  </singleXmlCell>
  <singleXmlCell id="709" r="S128" connectionId="0">
    <xmlCellPr id="1" uniqueName="1">
      <xmlPr mapId="43" xpath="/ns1:Root/ns1:Prog/ns1:Achieved__P12_6" xmlDataType="string"/>
    </xmlCellPr>
  </singleXmlCell>
  <singleXmlCell id="710" r="H129" connectionId="0">
    <xmlCellPr id="1" uniqueName="1">
      <xmlPr mapId="43" xpath="/ns1:Root/ns1:Prog/ns1:Target_P1_7" xmlDataType="double"/>
    </xmlCellPr>
  </singleXmlCell>
  <singleXmlCell id="711" r="I129" connectionId="0">
    <xmlCellPr id="1" uniqueName="1">
      <xmlPr mapId="43" xpath="/ns1:Root/ns1:Prog/ns1:Target_P2_7" xmlDataType="double"/>
    </xmlCellPr>
  </singleXmlCell>
  <singleXmlCell id="712" r="J129" connectionId="0">
    <xmlCellPr id="1" uniqueName="1">
      <xmlPr mapId="43" xpath="/ns1:Root/ns1:Prog/ns1:Target_P3_7" xmlDataType="double"/>
    </xmlCellPr>
  </singleXmlCell>
  <singleXmlCell id="713" r="K129" connectionId="0">
    <xmlCellPr id="1" uniqueName="1">
      <xmlPr mapId="43" xpath="/ns1:Root/ns1:Prog/ns1:Target_P4_7" xmlDataType="double"/>
    </xmlCellPr>
  </singleXmlCell>
  <singleXmlCell id="714" r="L129" connectionId="0">
    <xmlCellPr id="1" uniqueName="1">
      <xmlPr mapId="43" xpath="/ns1:Root/ns1:Prog/ns1:Target_P5_7" xmlDataType="double"/>
    </xmlCellPr>
  </singleXmlCell>
  <singleXmlCell id="715" r="M129" connectionId="0">
    <xmlCellPr id="1" uniqueName="1">
      <xmlPr mapId="43" xpath="/ns1:Root/ns1:Prog/ns1:Target_P6_7" xmlDataType="double"/>
    </xmlCellPr>
  </singleXmlCell>
  <singleXmlCell id="716" r="N129" connectionId="0">
    <xmlCellPr id="1" uniqueName="1">
      <xmlPr mapId="43" xpath="/ns1:Root/ns1:Prog/ns1:Target_P7_7" xmlDataType="double"/>
    </xmlCellPr>
  </singleXmlCell>
  <singleXmlCell id="717" r="O129" connectionId="0">
    <xmlCellPr id="1" uniqueName="1">
      <xmlPr mapId="43" xpath="/ns1:Root/ns1:Prog/ns1:Target_P8_7" xmlDataType="double"/>
    </xmlCellPr>
  </singleXmlCell>
  <singleXmlCell id="718" r="P129" connectionId="0">
    <xmlCellPr id="1" uniqueName="1">
      <xmlPr mapId="43" xpath="/ns1:Root/ns1:Prog/ns1:Target_P9_7" xmlDataType="double"/>
    </xmlCellPr>
  </singleXmlCell>
  <singleXmlCell id="719" r="Q129" connectionId="0">
    <xmlCellPr id="1" uniqueName="1">
      <xmlPr mapId="43" xpath="/ns1:Root/ns1:Prog/ns1:Target_P10_7" xmlDataType="double"/>
    </xmlCellPr>
  </singleXmlCell>
  <singleXmlCell id="720" r="R129" connectionId="0">
    <xmlCellPr id="1" uniqueName="1">
      <xmlPr mapId="43" xpath="/ns1:Root/ns1:Prog/ns1:Target_P11_7" xmlDataType="double"/>
    </xmlCellPr>
  </singleXmlCell>
  <singleXmlCell id="721" r="S129" connectionId="0">
    <xmlCellPr id="1" uniqueName="1">
      <xmlPr mapId="43" xpath="/ns1:Root/ns1:Prog/ns1:Target_P12_7" xmlDataType="double"/>
    </xmlCellPr>
  </singleXmlCell>
  <singleXmlCell id="722" r="H130" connectionId="0">
    <xmlCellPr id="1" uniqueName="1">
      <xmlPr mapId="43" xpath="/ns1:Root/ns1:Prog/ns1:Achieved__P1_7" xmlDataType="double"/>
    </xmlCellPr>
  </singleXmlCell>
  <singleXmlCell id="723" r="I130" connectionId="0">
    <xmlCellPr id="1" uniqueName="1">
      <xmlPr mapId="43" xpath="/ns1:Root/ns1:Prog/ns1:Achieved__P2_7" xmlDataType="double"/>
    </xmlCellPr>
  </singleXmlCell>
  <singleXmlCell id="724" r="J130" connectionId="0">
    <xmlCellPr id="1" uniqueName="1">
      <xmlPr mapId="43" xpath="/ns1:Root/ns1:Prog/ns1:Achieved__P3_7" xmlDataType="double"/>
    </xmlCellPr>
  </singleXmlCell>
  <singleXmlCell id="725" r="K130" connectionId="0">
    <xmlCellPr id="1" uniqueName="1">
      <xmlPr mapId="43" xpath="/ns1:Root/ns1:Prog/ns1:Achieved__P4_7" xmlDataType="double"/>
    </xmlCellPr>
  </singleXmlCell>
  <singleXmlCell id="726" r="L130" connectionId="0">
    <xmlCellPr id="1" uniqueName="1">
      <xmlPr mapId="43" xpath="/ns1:Root/ns1:Prog/ns1:Achieved__P5_7" xmlDataType="string"/>
    </xmlCellPr>
  </singleXmlCell>
  <singleXmlCell id="727" r="M130" connectionId="0">
    <xmlCellPr id="1" uniqueName="1">
      <xmlPr mapId="43" xpath="/ns1:Root/ns1:Prog/ns1:Achieved__P6_7" xmlDataType="string"/>
    </xmlCellPr>
  </singleXmlCell>
  <singleXmlCell id="728" r="N130" connectionId="0">
    <xmlCellPr id="1" uniqueName="1">
      <xmlPr mapId="43" xpath="/ns1:Root/ns1:Prog/ns1:Achieved__P7_7" xmlDataType="string"/>
    </xmlCellPr>
  </singleXmlCell>
  <singleXmlCell id="729" r="O130" connectionId="0">
    <xmlCellPr id="1" uniqueName="1">
      <xmlPr mapId="43" xpath="/ns1:Root/ns1:Prog/ns1:Achieved__P8_7" xmlDataType="string"/>
    </xmlCellPr>
  </singleXmlCell>
  <singleXmlCell id="730" r="P130" connectionId="0">
    <xmlCellPr id="1" uniqueName="1">
      <xmlPr mapId="43" xpath="/ns1:Root/ns1:Prog/ns1:Achieved__P9_7" xmlDataType="string"/>
    </xmlCellPr>
  </singleXmlCell>
  <singleXmlCell id="731" r="Q130" connectionId="0">
    <xmlCellPr id="1" uniqueName="1">
      <xmlPr mapId="43" xpath="/ns1:Root/ns1:Prog/ns1:Achieved__P10_7" xmlDataType="string"/>
    </xmlCellPr>
  </singleXmlCell>
  <singleXmlCell id="732" r="R130" connectionId="0">
    <xmlCellPr id="1" uniqueName="1">
      <xmlPr mapId="43" xpath="/ns1:Root/ns1:Prog/ns1:Achieved__P11_7" xmlDataType="string"/>
    </xmlCellPr>
  </singleXmlCell>
  <singleXmlCell id="733" r="S130" connectionId="0">
    <xmlCellPr id="1" uniqueName="1">
      <xmlPr mapId="43" xpath="/ns1:Root/ns1:Prog/ns1:Achieved__P12_7" xmlDataType="string"/>
    </xmlCellPr>
  </singleXmlCell>
  <singleXmlCell id="734" r="H131" connectionId="0">
    <xmlCellPr id="1" uniqueName="1">
      <xmlPr mapId="43" xpath="/ns1:Root/ns1:Prog/ns1:Target_P1_8" xmlDataType="string"/>
    </xmlCellPr>
  </singleXmlCell>
  <singleXmlCell id="735" r="I131" connectionId="0">
    <xmlCellPr id="1" uniqueName="1">
      <xmlPr mapId="43" xpath="/ns1:Root/ns1:Prog/ns1:Target_P2_8" xmlDataType="double"/>
    </xmlCellPr>
  </singleXmlCell>
  <singleXmlCell id="736" r="J131" connectionId="0">
    <xmlCellPr id="1" uniqueName="1">
      <xmlPr mapId="43" xpath="/ns1:Root/ns1:Prog/ns1:Target_P3_8" xmlDataType="string"/>
    </xmlCellPr>
  </singleXmlCell>
  <singleXmlCell id="737" r="K131" connectionId="0">
    <xmlCellPr id="1" uniqueName="1">
      <xmlPr mapId="43" xpath="/ns1:Root/ns1:Prog/ns1:Target_P4_8" xmlDataType="double"/>
    </xmlCellPr>
  </singleXmlCell>
  <singleXmlCell id="738" r="L131" connectionId="0">
    <xmlCellPr id="1" uniqueName="1">
      <xmlPr mapId="43" xpath="/ns1:Root/ns1:Prog/ns1:Target_P5_8" xmlDataType="string"/>
    </xmlCellPr>
  </singleXmlCell>
  <singleXmlCell id="739" r="M131" connectionId="0">
    <xmlCellPr id="1" uniqueName="1">
      <xmlPr mapId="43" xpath="/ns1:Root/ns1:Prog/ns1:Target_P6_8" xmlDataType="double"/>
    </xmlCellPr>
  </singleXmlCell>
  <singleXmlCell id="740" r="N131" connectionId="0">
    <xmlCellPr id="1" uniqueName="1">
      <xmlPr mapId="43" xpath="/ns1:Root/ns1:Prog/ns1:Target_P7_8" xmlDataType="string"/>
    </xmlCellPr>
  </singleXmlCell>
  <singleXmlCell id="741" r="O131" connectionId="0">
    <xmlCellPr id="1" uniqueName="1">
      <xmlPr mapId="43" xpath="/ns1:Root/ns1:Prog/ns1:Target_P8_8" xmlDataType="double"/>
    </xmlCellPr>
  </singleXmlCell>
  <singleXmlCell id="742" r="P131" connectionId="0">
    <xmlCellPr id="1" uniqueName="1">
      <xmlPr mapId="43" xpath="/ns1:Root/ns1:Prog/ns1:Target_P9_8" xmlDataType="double"/>
    </xmlCellPr>
  </singleXmlCell>
  <singleXmlCell id="743" r="Q131" connectionId="0">
    <xmlCellPr id="1" uniqueName="1">
      <xmlPr mapId="43" xpath="/ns1:Root/ns1:Prog/ns1:Target_P10_8" xmlDataType="double"/>
    </xmlCellPr>
  </singleXmlCell>
  <singleXmlCell id="744" r="R131" connectionId="0">
    <xmlCellPr id="1" uniqueName="1">
      <xmlPr mapId="43" xpath="/ns1:Root/ns1:Prog/ns1:Target_P11_8" xmlDataType="double"/>
    </xmlCellPr>
  </singleXmlCell>
  <singleXmlCell id="745" r="S131" connectionId="0">
    <xmlCellPr id="1" uniqueName="1">
      <xmlPr mapId="43" xpath="/ns1:Root/ns1:Prog/ns1:Target_P12_8" xmlDataType="double"/>
    </xmlCellPr>
  </singleXmlCell>
  <singleXmlCell id="746" r="H132" connectionId="0">
    <xmlCellPr id="1" uniqueName="1">
      <xmlPr mapId="43" xpath="/ns1:Root/ns1:Prog/ns1:Achieved__P1_8" xmlDataType="string"/>
    </xmlCellPr>
  </singleXmlCell>
  <singleXmlCell id="747" r="I132" connectionId="0">
    <xmlCellPr id="1" uniqueName="1">
      <xmlPr mapId="43" xpath="/ns1:Root/ns1:Prog/ns1:Achieved__P2_8" xmlDataType="string"/>
    </xmlCellPr>
  </singleXmlCell>
  <singleXmlCell id="748" r="J132" connectionId="0">
    <xmlCellPr id="1" uniqueName="1">
      <xmlPr mapId="43" xpath="/ns1:Root/ns1:Prog/ns1:Achieved__P3_8" xmlDataType="string"/>
    </xmlCellPr>
  </singleXmlCell>
  <singleXmlCell id="749" r="K132" connectionId="0">
    <xmlCellPr id="1" uniqueName="1">
      <xmlPr mapId="43" xpath="/ns1:Root/ns1:Prog/ns1:Achieved__P4_8" xmlDataType="string"/>
    </xmlCellPr>
  </singleXmlCell>
  <singleXmlCell id="750" r="L132" connectionId="0">
    <xmlCellPr id="1" uniqueName="1">
      <xmlPr mapId="43" xpath="/ns1:Root/ns1:Prog/ns1:Achieved__P5_8" xmlDataType="string"/>
    </xmlCellPr>
  </singleXmlCell>
  <singleXmlCell id="751" r="M132" connectionId="0">
    <xmlCellPr id="1" uniqueName="1">
      <xmlPr mapId="43" xpath="/ns1:Root/ns1:Prog/ns1:Achieved__P6_8" xmlDataType="string"/>
    </xmlCellPr>
  </singleXmlCell>
  <singleXmlCell id="752" r="N132" connectionId="0">
    <xmlCellPr id="1" uniqueName="1">
      <xmlPr mapId="43" xpath="/ns1:Root/ns1:Prog/ns1:Achieved__P7_8" xmlDataType="string"/>
    </xmlCellPr>
  </singleXmlCell>
  <singleXmlCell id="753" r="O132" connectionId="0">
    <xmlCellPr id="1" uniqueName="1">
      <xmlPr mapId="43" xpath="/ns1:Root/ns1:Prog/ns1:Achieved__P8_8" xmlDataType="string"/>
    </xmlCellPr>
  </singleXmlCell>
  <singleXmlCell id="754" r="P132" connectionId="0">
    <xmlCellPr id="1" uniqueName="1">
      <xmlPr mapId="43" xpath="/ns1:Root/ns1:Prog/ns1:Achieved__P9_8" xmlDataType="string"/>
    </xmlCellPr>
  </singleXmlCell>
  <singleXmlCell id="755" r="Q132" connectionId="0">
    <xmlCellPr id="1" uniqueName="1">
      <xmlPr mapId="43" xpath="/ns1:Root/ns1:Prog/ns1:Achieved__P10_8" xmlDataType="string"/>
    </xmlCellPr>
  </singleXmlCell>
  <singleXmlCell id="756" r="R132" connectionId="0">
    <xmlCellPr id="1" uniqueName="1">
      <xmlPr mapId="43" xpath="/ns1:Root/ns1:Prog/ns1:Achieved__P11_8" xmlDataType="string"/>
    </xmlCellPr>
  </singleXmlCell>
  <singleXmlCell id="757" r="S132" connectionId="0">
    <xmlCellPr id="1" uniqueName="1">
      <xmlPr mapId="43" xpath="/ns1:Root/ns1:Prog/ns1:Achieved__P12_8" xmlDataType="string"/>
    </xmlCellPr>
  </singleXmlCell>
  <singleXmlCell id="758" r="H133" connectionId="0">
    <xmlCellPr id="1" uniqueName="1">
      <xmlPr mapId="43" xpath="/ns1:Root/ns1:Prog/ns1:Target_P1_9" xmlDataType="double"/>
    </xmlCellPr>
  </singleXmlCell>
  <singleXmlCell id="759" r="I133" connectionId="0">
    <xmlCellPr id="1" uniqueName="1">
      <xmlPr mapId="43" xpath="/ns1:Root/ns1:Prog/ns1:Target_P2_9" xmlDataType="double"/>
    </xmlCellPr>
  </singleXmlCell>
  <singleXmlCell id="760" r="J133" connectionId="0">
    <xmlCellPr id="1" uniqueName="1">
      <xmlPr mapId="43" xpath="/ns1:Root/ns1:Prog/ns1:Target_P3_9" xmlDataType="double"/>
    </xmlCellPr>
  </singleXmlCell>
  <singleXmlCell id="761" r="K133" connectionId="0">
    <xmlCellPr id="1" uniqueName="1">
      <xmlPr mapId="43" xpath="/ns1:Root/ns1:Prog/ns1:Target_P4_9" xmlDataType="double"/>
    </xmlCellPr>
  </singleXmlCell>
  <singleXmlCell id="762" r="L133" connectionId="0">
    <xmlCellPr id="1" uniqueName="1">
      <xmlPr mapId="43" xpath="/ns1:Root/ns1:Prog/ns1:Target_P5_9" xmlDataType="double"/>
    </xmlCellPr>
  </singleXmlCell>
  <singleXmlCell id="763" r="M133" connectionId="0">
    <xmlCellPr id="1" uniqueName="1">
      <xmlPr mapId="43" xpath="/ns1:Root/ns1:Prog/ns1:Target_P6_9" xmlDataType="double"/>
    </xmlCellPr>
  </singleXmlCell>
  <singleXmlCell id="764" r="N133" connectionId="0">
    <xmlCellPr id="1" uniqueName="1">
      <xmlPr mapId="43" xpath="/ns1:Root/ns1:Prog/ns1:Target_P7_9" xmlDataType="double"/>
    </xmlCellPr>
  </singleXmlCell>
  <singleXmlCell id="765" r="O133" connectionId="0">
    <xmlCellPr id="1" uniqueName="1">
      <xmlPr mapId="43" xpath="/ns1:Root/ns1:Prog/ns1:Target_P8_9" xmlDataType="double"/>
    </xmlCellPr>
  </singleXmlCell>
  <singleXmlCell id="766" r="P133" connectionId="0">
    <xmlCellPr id="1" uniqueName="1">
      <xmlPr mapId="43" xpath="/ns1:Root/ns1:Prog/ns1:Target_P9_9" xmlDataType="double"/>
    </xmlCellPr>
  </singleXmlCell>
  <singleXmlCell id="767" r="Q133" connectionId="0">
    <xmlCellPr id="1" uniqueName="1">
      <xmlPr mapId="43" xpath="/ns1:Root/ns1:Prog/ns1:Target_P10_9" xmlDataType="double"/>
    </xmlCellPr>
  </singleXmlCell>
  <singleXmlCell id="768" r="R133" connectionId="0">
    <xmlCellPr id="1" uniqueName="1">
      <xmlPr mapId="43" xpath="/ns1:Root/ns1:Prog/ns1:Target_P11_9" xmlDataType="double"/>
    </xmlCellPr>
  </singleXmlCell>
  <singleXmlCell id="769" r="S133" connectionId="0">
    <xmlCellPr id="1" uniqueName="1">
      <xmlPr mapId="43" xpath="/ns1:Root/ns1:Prog/ns1:Target_P12_9" xmlDataType="double"/>
    </xmlCellPr>
  </singleXmlCell>
  <singleXmlCell id="770" r="H134" connectionId="0">
    <xmlCellPr id="1" uniqueName="1">
      <xmlPr mapId="43" xpath="/ns1:Root/ns1:Prog/ns1:Achieved__P1_9" xmlDataType="string"/>
    </xmlCellPr>
  </singleXmlCell>
  <singleXmlCell id="771" r="I134" connectionId="0">
    <xmlCellPr id="1" uniqueName="1">
      <xmlPr mapId="43" xpath="/ns1:Root/ns1:Prog/ns1:Achieved__P2_9" xmlDataType="double"/>
    </xmlCellPr>
  </singleXmlCell>
  <singleXmlCell id="772" r="J134" connectionId="0">
    <xmlCellPr id="1" uniqueName="1">
      <xmlPr mapId="43" xpath="/ns1:Root/ns1:Prog/ns1:Achieved__P3_9" xmlDataType="string"/>
    </xmlCellPr>
  </singleXmlCell>
  <singleXmlCell id="773" r="K134" connectionId="0">
    <xmlCellPr id="1" uniqueName="1">
      <xmlPr mapId="43" xpath="/ns1:Root/ns1:Prog/ns1:Achieved__P4_9" xmlDataType="double"/>
    </xmlCellPr>
  </singleXmlCell>
  <singleXmlCell id="774" r="L134" connectionId="0">
    <xmlCellPr id="1" uniqueName="1">
      <xmlPr mapId="43" xpath="/ns1:Root/ns1:Prog/ns1:Achieved__P5_9" xmlDataType="string"/>
    </xmlCellPr>
  </singleXmlCell>
  <singleXmlCell id="775" r="M134" connectionId="0">
    <xmlCellPr id="1" uniqueName="1">
      <xmlPr mapId="43" xpath="/ns1:Root/ns1:Prog/ns1:Achieved__P6_9" xmlDataType="string"/>
    </xmlCellPr>
  </singleXmlCell>
  <singleXmlCell id="776" r="N134" connectionId="0">
    <xmlCellPr id="1" uniqueName="1">
      <xmlPr mapId="43" xpath="/ns1:Root/ns1:Prog/ns1:Achieved__P7_9" xmlDataType="string"/>
    </xmlCellPr>
  </singleXmlCell>
  <singleXmlCell id="777" r="O134" connectionId="0">
    <xmlCellPr id="1" uniqueName="1">
      <xmlPr mapId="43" xpath="/ns1:Root/ns1:Prog/ns1:Achieved__P8_9" xmlDataType="string"/>
    </xmlCellPr>
  </singleXmlCell>
  <singleXmlCell id="778" r="P134" connectionId="0">
    <xmlCellPr id="1" uniqueName="1">
      <xmlPr mapId="43" xpath="/ns1:Root/ns1:Prog/ns1:Achieved__P9_9" xmlDataType="string"/>
    </xmlCellPr>
  </singleXmlCell>
  <singleXmlCell id="779" r="Q134" connectionId="0">
    <xmlCellPr id="1" uniqueName="1">
      <xmlPr mapId="43" xpath="/ns1:Root/ns1:Prog/ns1:Achieved__P10_9" xmlDataType="string"/>
    </xmlCellPr>
  </singleXmlCell>
  <singleXmlCell id="780" r="R134" connectionId="0">
    <xmlCellPr id="1" uniqueName="1">
      <xmlPr mapId="43" xpath="/ns1:Root/ns1:Prog/ns1:Achieved__P11_9" xmlDataType="string"/>
    </xmlCellPr>
  </singleXmlCell>
  <singleXmlCell id="781" r="S134" connectionId="0">
    <xmlCellPr id="1" uniqueName="1">
      <xmlPr mapId="43" xpath="/ns1:Root/ns1:Prog/ns1:Achieved__P12_9" xmlDataType="string"/>
    </xmlCellPr>
  </singleXmlCell>
  <singleXmlCell id="782" r="H135" connectionId="0">
    <xmlCellPr id="1" uniqueName="1">
      <xmlPr mapId="43" xpath="/ns1:Root/ns1:Prog/ns1:Target_P1" xmlDataType="string"/>
    </xmlCellPr>
  </singleXmlCell>
  <singleXmlCell id="783" r="I135" connectionId="0">
    <xmlCellPr id="1" uniqueName="1">
      <xmlPr mapId="43" xpath="/ns1:Root/ns1:Prog/ns1:Target_P2" xmlDataType="string"/>
    </xmlCellPr>
  </singleXmlCell>
  <singleXmlCell id="784" r="J135" connectionId="0">
    <xmlCellPr id="1" uniqueName="1">
      <xmlPr mapId="43" xpath="/ns1:Root/ns1:Prog/ns1:Target_P3" xmlDataType="string"/>
    </xmlCellPr>
  </singleXmlCell>
  <singleXmlCell id="785" r="K135" connectionId="0">
    <xmlCellPr id="1" uniqueName="1">
      <xmlPr mapId="43" xpath="/ns1:Root/ns1:Prog/ns1:Target_P4" xmlDataType="double"/>
    </xmlCellPr>
  </singleXmlCell>
  <singleXmlCell id="786" r="L135" connectionId="0">
    <xmlCellPr id="1" uniqueName="1">
      <xmlPr mapId="43" xpath="/ns1:Root/ns1:Prog/ns1:Target_P5" xmlDataType="string"/>
    </xmlCellPr>
  </singleXmlCell>
  <singleXmlCell id="787" r="M135" connectionId="0">
    <xmlCellPr id="1" uniqueName="1">
      <xmlPr mapId="43" xpath="/ns1:Root/ns1:Prog/ns1:Target_P6" xmlDataType="string"/>
    </xmlCellPr>
  </singleXmlCell>
  <singleXmlCell id="788" r="N135" connectionId="0">
    <xmlCellPr id="1" uniqueName="1">
      <xmlPr mapId="43" xpath="/ns1:Root/ns1:Prog/ns1:Target_P7" xmlDataType="string"/>
    </xmlCellPr>
  </singleXmlCell>
  <singleXmlCell id="789" r="O135" connectionId="0">
    <xmlCellPr id="1" uniqueName="1">
      <xmlPr mapId="43" xpath="/ns1:Root/ns1:Prog/ns1:Target_P8" xmlDataType="string"/>
    </xmlCellPr>
  </singleXmlCell>
  <singleXmlCell id="790" r="P135" connectionId="0">
    <xmlCellPr id="1" uniqueName="1">
      <xmlPr mapId="43" xpath="/ns1:Root/ns1:Prog/ns1:Target_P9" xmlDataType="string"/>
    </xmlCellPr>
  </singleXmlCell>
  <singleXmlCell id="791" r="Q135" connectionId="0">
    <xmlCellPr id="1" uniqueName="1">
      <xmlPr mapId="43" xpath="/ns1:Root/ns1:Prog/ns1:Target_P10" xmlDataType="string"/>
    </xmlCellPr>
  </singleXmlCell>
  <singleXmlCell id="792" r="R135" connectionId="0">
    <xmlCellPr id="1" uniqueName="1">
      <xmlPr mapId="43" xpath="/ns1:Root/ns1:Prog/ns1:Target_P11" xmlDataType="string"/>
    </xmlCellPr>
  </singleXmlCell>
  <singleXmlCell id="793" r="S135" connectionId="0">
    <xmlCellPr id="1" uniqueName="1">
      <xmlPr mapId="43" xpath="/ns1:Root/ns1:Prog/ns1:Target_P12" xmlDataType="string"/>
    </xmlCellPr>
  </singleXmlCell>
  <singleXmlCell id="794" r="H136" connectionId="0">
    <xmlCellPr id="1" uniqueName="1">
      <xmlPr mapId="43" xpath="/ns1:Root/ns1:Prog/ns1:Achieved__P1" xmlDataType="string"/>
    </xmlCellPr>
  </singleXmlCell>
  <singleXmlCell id="795" r="I136" connectionId="0">
    <xmlCellPr id="1" uniqueName="1">
      <xmlPr mapId="43" xpath="/ns1:Root/ns1:Prog/ns1:Achieved__P2" xmlDataType="string"/>
    </xmlCellPr>
  </singleXmlCell>
  <singleXmlCell id="796" r="J136" connectionId="0">
    <xmlCellPr id="1" uniqueName="1">
      <xmlPr mapId="43" xpath="/ns1:Root/ns1:Prog/ns1:Achieved__P3" xmlDataType="string"/>
    </xmlCellPr>
  </singleXmlCell>
  <singleXmlCell id="797" r="K136" connectionId="0">
    <xmlCellPr id="1" uniqueName="1">
      <xmlPr mapId="43" xpath="/ns1:Root/ns1:Prog/ns1:Achieved__P4" xmlDataType="string"/>
    </xmlCellPr>
  </singleXmlCell>
  <singleXmlCell id="798" r="L136" connectionId="0">
    <xmlCellPr id="1" uniqueName="1">
      <xmlPr mapId="43" xpath="/ns1:Root/ns1:Prog/ns1:Achieved__P5" xmlDataType="string"/>
    </xmlCellPr>
  </singleXmlCell>
  <singleXmlCell id="799" r="M136" connectionId="0">
    <xmlCellPr id="1" uniqueName="1">
      <xmlPr mapId="43" xpath="/ns1:Root/ns1:Prog/ns1:Achieved__P6" xmlDataType="string"/>
    </xmlCellPr>
  </singleXmlCell>
  <singleXmlCell id="800" r="N136" connectionId="0">
    <xmlCellPr id="1" uniqueName="1">
      <xmlPr mapId="43" xpath="/ns1:Root/ns1:Prog/ns1:Achieved__P7" xmlDataType="string"/>
    </xmlCellPr>
  </singleXmlCell>
  <singleXmlCell id="801" r="O136" connectionId="0">
    <xmlCellPr id="1" uniqueName="1">
      <xmlPr mapId="43" xpath="/ns1:Root/ns1:Prog/ns1:Achieved__P8" xmlDataType="string"/>
    </xmlCellPr>
  </singleXmlCell>
  <singleXmlCell id="802" r="P136" connectionId="0">
    <xmlCellPr id="1" uniqueName="1">
      <xmlPr mapId="43" xpath="/ns1:Root/ns1:Prog/ns1:Achieved__P9" xmlDataType="string"/>
    </xmlCellPr>
  </singleXmlCell>
  <singleXmlCell id="803" r="Q136" connectionId="0">
    <xmlCellPr id="1" uniqueName="1">
      <xmlPr mapId="43" xpath="/ns1:Root/ns1:Prog/ns1:Achieved__P10" xmlDataType="string"/>
    </xmlCellPr>
  </singleXmlCell>
  <singleXmlCell id="804" r="R136" connectionId="0">
    <xmlCellPr id="1" uniqueName="1">
      <xmlPr mapId="43" xpath="/ns1:Root/ns1:Prog/ns1:Achieved__P11" xmlDataType="string"/>
    </xmlCellPr>
  </singleXmlCell>
  <singleXmlCell id="805" r="S136" connectionId="0">
    <xmlCellPr id="1" uniqueName="1">
      <xmlPr mapId="43" xpath="/ns1:Root/ns1:Prog/ns1:Achieved__P12" xmlDataType="string"/>
    </xmlCellPr>
  </singleXmlCell>
  <singleXmlCell id="806" r="K119" connectionId="0">
    <xmlCellPr id="1" uniqueName="1">
      <xmlPr mapId="43" xpath="/ns1:Root/ns1:Prog/ns1:Target_P4_2" xmlDataType="double"/>
    </xmlCellPr>
  </singleXmlCell>
  <singleXmlCell id="807" r="B117" connectionId="0">
    <xmlCellPr id="1" uniqueName="1">
      <xmlPr mapId="43" xpath="/ns1:Root/ns1:P1" xmlDataType="string"/>
    </xmlCellPr>
  </singleXmlCell>
  <singleXmlCell id="808" r="E117" connectionId="0">
    <xmlCellPr id="1" uniqueName="1">
      <xmlPr mapId="43" xpath="/ns1:Root/ns1:P1_Code" xmlDataType="double"/>
    </xmlCellPr>
  </singleXmlCell>
  <singleXmlCell id="809" r="F117" connectionId="0">
    <xmlCellPr id="1" uniqueName="1">
      <xmlPr mapId="43" xpath="/ns1:Root/ns1:P1_Tied" xmlDataType="string"/>
    </xmlCellPr>
  </singleXmlCell>
  <singleXmlCell id="810" r="B119" connectionId="0">
    <xmlCellPr id="1" uniqueName="1">
      <xmlPr mapId="43" xpath="/ns1:Root/ns1:P2" xmlDataType="string"/>
    </xmlCellPr>
  </singleXmlCell>
  <singleXmlCell id="811" r="E119" connectionId="0">
    <xmlCellPr id="1" uniqueName="1">
      <xmlPr mapId="43" xpath="/ns1:Root/ns1:P2_Code" xmlDataType="double"/>
    </xmlCellPr>
  </singleXmlCell>
  <singleXmlCell id="812" r="F119" connectionId="0">
    <xmlCellPr id="1" uniqueName="1">
      <xmlPr mapId="43" xpath="/ns1:Root/ns1:P2_Tied" xmlDataType="string"/>
    </xmlCellPr>
  </singleXmlCell>
  <singleXmlCell id="813" r="B121" connectionId="0">
    <xmlCellPr id="1" uniqueName="1">
      <xmlPr mapId="43" xpath="/ns1:Root/ns1:P3" xmlDataType="string"/>
    </xmlCellPr>
  </singleXmlCell>
  <singleXmlCell id="814" r="E121" connectionId="0">
    <xmlCellPr id="1" uniqueName="1">
      <xmlPr mapId="43" xpath="/ns1:Root/ns1:P3_Code" xmlDataType="double"/>
    </xmlCellPr>
  </singleXmlCell>
  <singleXmlCell id="815" r="F121" connectionId="0">
    <xmlCellPr id="1" uniqueName="1">
      <xmlPr mapId="43" xpath="/ns1:Root/ns1:P3_Tied" xmlDataType="string"/>
    </xmlCellPr>
  </singleXmlCell>
  <singleXmlCell id="816" r="B123" connectionId="0">
    <xmlCellPr id="1" uniqueName="1">
      <xmlPr mapId="43" xpath="/ns1:Root/ns1:P4" xmlDataType="string"/>
    </xmlCellPr>
  </singleXmlCell>
  <singleXmlCell id="817" r="E123" connectionId="0">
    <xmlCellPr id="1" uniqueName="1">
      <xmlPr mapId="43" xpath="/ns1:Root/ns1:P4_Code" xmlDataType="double"/>
    </xmlCellPr>
  </singleXmlCell>
  <singleXmlCell id="818" r="F123" connectionId="0">
    <xmlCellPr id="1" uniqueName="1">
      <xmlPr mapId="43" xpath="/ns1:Root/ns1:P4_Tied" xmlDataType="string"/>
    </xmlCellPr>
  </singleXmlCell>
  <singleXmlCell id="819" r="B125" connectionId="0">
    <xmlCellPr id="1" uniqueName="1">
      <xmlPr mapId="43" xpath="/ns1:Root/ns1:P5" xmlDataType="string"/>
    </xmlCellPr>
  </singleXmlCell>
  <singleXmlCell id="820" r="E125" connectionId="0">
    <xmlCellPr id="1" uniqueName="1">
      <xmlPr mapId="43" xpath="/ns1:Root/ns1:P5_Code" xmlDataType="double"/>
    </xmlCellPr>
  </singleXmlCell>
  <singleXmlCell id="821" r="F125" connectionId="0">
    <xmlCellPr id="1" uniqueName="1">
      <xmlPr mapId="43" xpath="/ns1:Root/ns1:P5_Tied" xmlDataType="string"/>
    </xmlCellPr>
  </singleXmlCell>
  <singleXmlCell id="822" r="B127" connectionId="0">
    <xmlCellPr id="1" uniqueName="1">
      <xmlPr mapId="43" xpath="/ns1:Root/ns1:P6" xmlDataType="string"/>
    </xmlCellPr>
  </singleXmlCell>
  <singleXmlCell id="823" r="E127" connectionId="0">
    <xmlCellPr id="1" uniqueName="1">
      <xmlPr mapId="43" xpath="/ns1:Root/ns1:P6_Code" xmlDataType="double"/>
    </xmlCellPr>
  </singleXmlCell>
  <singleXmlCell id="824" r="F127" connectionId="0">
    <xmlCellPr id="1" uniqueName="1">
      <xmlPr mapId="43" xpath="/ns1:Root/ns1:P6_Tied" xmlDataType="string"/>
    </xmlCellPr>
  </singleXmlCell>
  <singleXmlCell id="825" r="B129" connectionId="0">
    <xmlCellPr id="1" uniqueName="1">
      <xmlPr mapId="43" xpath="/ns1:Root/ns1:P7" xmlDataType="string"/>
    </xmlCellPr>
  </singleXmlCell>
  <singleXmlCell id="826" r="E129" connectionId="0">
    <xmlCellPr id="1" uniqueName="1">
      <xmlPr mapId="43" xpath="/ns1:Root/ns1:P7_Code" xmlDataType="double"/>
    </xmlCellPr>
  </singleXmlCell>
  <singleXmlCell id="827" r="F129" connectionId="0">
    <xmlCellPr id="1" uniqueName="1">
      <xmlPr mapId="43" xpath="/ns1:Root/ns1:P7_Tied" xmlDataType="string"/>
    </xmlCellPr>
  </singleXmlCell>
  <singleXmlCell id="828" r="B131" connectionId="0">
    <xmlCellPr id="1" uniqueName="1">
      <xmlPr mapId="43" xpath="/ns1:Root/ns1:P8" xmlDataType="string"/>
    </xmlCellPr>
  </singleXmlCell>
  <singleXmlCell id="829" r="E131" connectionId="0">
    <xmlCellPr id="1" uniqueName="1">
      <xmlPr mapId="43" xpath="/ns1:Root/ns1:P8_Code" xmlDataType="double"/>
    </xmlCellPr>
  </singleXmlCell>
  <singleXmlCell id="830" r="F131" connectionId="0">
    <xmlCellPr id="1" uniqueName="1">
      <xmlPr mapId="43" xpath="/ns1:Root/ns1:P8_Tied" xmlDataType="string"/>
    </xmlCellPr>
  </singleXmlCell>
  <singleXmlCell id="831" r="B133" connectionId="0">
    <xmlCellPr id="1" uniqueName="1">
      <xmlPr mapId="43" xpath="/ns1:Root/ns1:P9" xmlDataType="string"/>
    </xmlCellPr>
  </singleXmlCell>
  <singleXmlCell id="832" r="E133" connectionId="0">
    <xmlCellPr id="1" uniqueName="1">
      <xmlPr mapId="43" xpath="/ns1:Root/ns1:P9_Code" xmlDataType="double"/>
    </xmlCellPr>
  </singleXmlCell>
  <singleXmlCell id="833" r="F133" connectionId="0">
    <xmlCellPr id="1" uniqueName="1">
      <xmlPr mapId="43" xpath="/ns1:Root/ns1:P9_Tied" xmlDataType="double"/>
    </xmlCellPr>
  </singleXmlCell>
  <singleXmlCell id="834" r="B135" connectionId="0">
    <xmlCellPr id="1" uniqueName="1">
      <xmlPr mapId="43" xpath="/ns1:Root/ns1:P10" xmlDataType="string"/>
    </xmlCellPr>
  </singleXmlCell>
  <singleXmlCell id="835" r="E135" connectionId="0">
    <xmlCellPr id="1" uniqueName="1">
      <xmlPr mapId="43" xpath="/ns1:Root/ns1:P10_Code" xmlDataType="double"/>
    </xmlCellPr>
  </singleXmlCell>
  <singleXmlCell id="836" r="F135"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30" t="str">
        <f>+'Grant Detail'!B3:J3</f>
        <v>Dashboard:  Georgia - HIV / AIDS</v>
      </c>
      <c r="C2" s="530"/>
      <c r="D2" s="530"/>
      <c r="E2" s="530"/>
      <c r="F2" s="530"/>
      <c r="G2" s="530"/>
      <c r="H2" s="530"/>
      <c r="I2" s="530"/>
      <c r="J2" s="530"/>
      <c r="K2" s="530"/>
      <c r="L2" s="530"/>
      <c r="M2" s="1"/>
      <c r="N2" s="1"/>
      <c r="O2" s="1"/>
    </row>
    <row r="4" spans="2:15" ht="21">
      <c r="B4" s="531" t="str">
        <f>+IF('Data Entry'!G6="Please Select", "",'Data Entry'!G6) &amp;"  "&amp;+IF('Data Entry'!G8="Please Select", "", 'Data Entry'!G8&amp;",  ")&amp;+IF('Data Entry'!I8="Please Select","",'Data Entry'!I8)</f>
        <v>HIV / AIDS  NFM,  N/A</v>
      </c>
      <c r="C4" s="531"/>
      <c r="D4" s="531"/>
      <c r="E4" s="532"/>
      <c r="F4" s="229"/>
      <c r="G4" s="229"/>
      <c r="H4" s="350" t="str">
        <f>+'Data Entry'!B6&amp;" "&amp;+'Data Entry'!C6</f>
        <v>Grant No.: GEO-H-NCDC</v>
      </c>
      <c r="I4" s="350"/>
      <c r="J4" s="228"/>
      <c r="K4" s="229"/>
      <c r="L4" s="229"/>
    </row>
    <row r="22" spans="2:12" ht="26.25">
      <c r="B22" s="533" t="s">
        <v>404</v>
      </c>
      <c r="C22" s="534"/>
      <c r="D22" s="534"/>
      <c r="E22" s="534"/>
      <c r="F22" s="534"/>
      <c r="G22" s="534"/>
      <c r="H22" s="534"/>
      <c r="I22" s="534"/>
      <c r="J22" s="534"/>
      <c r="K22" s="534"/>
      <c r="L22" s="534"/>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49" t="str">
        <f>+"Dashboard: "&amp;" "&amp;+IF('Data Entry'!C4="Please Select","",'Data Entry'!C4&amp;" - ")&amp;+IF('Data Entry'!G6="Please Select","",'Data Entry'!G6)</f>
        <v>Dashboard:  Georgia - HIV / AIDS</v>
      </c>
      <c r="C2" s="549"/>
      <c r="D2" s="549"/>
      <c r="E2" s="549"/>
      <c r="F2" s="549"/>
      <c r="G2" s="549"/>
      <c r="H2" s="549"/>
      <c r="I2" s="549"/>
      <c r="J2" s="549"/>
      <c r="K2" s="549"/>
      <c r="L2" s="549"/>
      <c r="M2" s="549"/>
    </row>
    <row r="3" spans="1:15" ht="15.75" customHeight="1">
      <c r="A3" s="3"/>
      <c r="B3" s="220"/>
      <c r="C3" s="220"/>
      <c r="D3" s="220"/>
      <c r="E3" s="220"/>
      <c r="F3" s="220"/>
      <c r="G3" s="220"/>
      <c r="H3" s="220"/>
      <c r="I3" s="220"/>
      <c r="J3" s="220"/>
      <c r="K3" s="221"/>
      <c r="L3" s="221"/>
      <c r="M3" s="3"/>
    </row>
    <row r="5" spans="1:15" ht="23.25">
      <c r="B5" s="548" t="s">
        <v>282</v>
      </c>
      <c r="C5" s="548"/>
      <c r="D5" s="548"/>
      <c r="E5" s="548"/>
      <c r="F5" s="548"/>
      <c r="G5" s="548"/>
      <c r="H5" s="548"/>
      <c r="I5" s="548"/>
      <c r="J5" s="548"/>
      <c r="K5" s="548"/>
      <c r="L5" s="548"/>
      <c r="M5" s="548"/>
      <c r="N5" s="548"/>
      <c r="O5" s="548"/>
    </row>
    <row r="7" spans="1:15" ht="21">
      <c r="B7" s="550" t="s">
        <v>271</v>
      </c>
      <c r="C7" s="551"/>
      <c r="D7" s="552"/>
      <c r="E7" s="550" t="s">
        <v>272</v>
      </c>
      <c r="F7" s="551"/>
      <c r="G7" s="551"/>
      <c r="H7" s="551"/>
      <c r="I7" s="552"/>
      <c r="J7" s="550" t="s">
        <v>273</v>
      </c>
      <c r="K7" s="551"/>
      <c r="L7" s="552"/>
      <c r="M7" s="550" t="s">
        <v>346</v>
      </c>
      <c r="N7" s="551"/>
      <c r="O7" s="552"/>
    </row>
    <row r="8" spans="1:15" ht="92.25" customHeight="1">
      <c r="B8" s="561" t="str">
        <f>+'Data Entry'!B27</f>
        <v>F1: Budget and disbursements by Global Fund</v>
      </c>
      <c r="C8" s="562"/>
      <c r="D8" s="563"/>
      <c r="E8" s="553" t="s">
        <v>392</v>
      </c>
      <c r="F8" s="554"/>
      <c r="G8" s="554"/>
      <c r="H8" s="554"/>
      <c r="I8" s="555"/>
      <c r="J8" s="536" t="s">
        <v>347</v>
      </c>
      <c r="K8" s="537"/>
      <c r="L8" s="538"/>
      <c r="M8" s="536" t="s">
        <v>393</v>
      </c>
      <c r="N8" s="537"/>
      <c r="O8" s="538"/>
    </row>
    <row r="9" spans="1:15" ht="117.75" customHeight="1">
      <c r="B9" s="561" t="str">
        <f>+'Data Entry'!B36</f>
        <v>F2: Budget and actual expenditures by Grant Objective</v>
      </c>
      <c r="C9" s="562"/>
      <c r="D9" s="563"/>
      <c r="E9" s="544" t="s">
        <v>355</v>
      </c>
      <c r="F9" s="545"/>
      <c r="G9" s="545"/>
      <c r="H9" s="545"/>
      <c r="I9" s="546"/>
      <c r="J9" s="536" t="s">
        <v>349</v>
      </c>
      <c r="K9" s="537"/>
      <c r="L9" s="538"/>
      <c r="M9" s="536" t="s">
        <v>393</v>
      </c>
      <c r="N9" s="537"/>
      <c r="O9" s="538"/>
    </row>
    <row r="10" spans="1:15" ht="152.25" customHeight="1">
      <c r="B10" s="556" t="str">
        <f>+'Data Entry'!B48</f>
        <v>F3: Disbursements and expenditures</v>
      </c>
      <c r="C10" s="559"/>
      <c r="D10" s="560"/>
      <c r="E10" s="544" t="s">
        <v>394</v>
      </c>
      <c r="F10" s="545"/>
      <c r="G10" s="545"/>
      <c r="H10" s="545"/>
      <c r="I10" s="546"/>
      <c r="J10" s="536" t="s">
        <v>356</v>
      </c>
      <c r="K10" s="537"/>
      <c r="L10" s="538"/>
      <c r="M10" s="536" t="s">
        <v>348</v>
      </c>
      <c r="N10" s="537"/>
      <c r="O10" s="538"/>
    </row>
    <row r="11" spans="1:15" ht="279.75" customHeight="1">
      <c r="B11" s="556" t="str">
        <f>+'Data Entry'!B57</f>
        <v>F4: Latest PR reporting and disbursement cycle</v>
      </c>
      <c r="C11" s="557"/>
      <c r="D11" s="558"/>
      <c r="E11" s="544" t="s">
        <v>405</v>
      </c>
      <c r="F11" s="545"/>
      <c r="G11" s="545"/>
      <c r="H11" s="545"/>
      <c r="I11" s="546"/>
      <c r="J11" s="536" t="s">
        <v>357</v>
      </c>
      <c r="K11" s="537"/>
      <c r="L11" s="538"/>
      <c r="M11" s="536" t="s">
        <v>276</v>
      </c>
      <c r="N11" s="537"/>
      <c r="O11" s="538"/>
    </row>
    <row r="12" spans="1:15" s="19" customFormat="1">
      <c r="B12" s="535"/>
      <c r="C12" s="535"/>
      <c r="D12" s="535"/>
      <c r="E12" s="539"/>
      <c r="F12" s="539"/>
      <c r="G12" s="539"/>
      <c r="H12" s="539"/>
      <c r="I12" s="539"/>
      <c r="J12" s="539"/>
      <c r="K12" s="539"/>
      <c r="L12" s="539"/>
      <c r="M12" s="539"/>
      <c r="N12" s="539"/>
      <c r="O12" s="539"/>
    </row>
    <row r="13" spans="1:15" s="19" customFormat="1">
      <c r="B13" s="547"/>
      <c r="C13" s="547"/>
      <c r="D13" s="547"/>
      <c r="E13" s="540"/>
      <c r="F13" s="540"/>
      <c r="G13" s="540"/>
      <c r="H13" s="540"/>
      <c r="I13" s="540"/>
      <c r="J13" s="540"/>
      <c r="K13" s="540"/>
      <c r="L13" s="540"/>
      <c r="M13" s="540"/>
      <c r="N13" s="540"/>
      <c r="O13" s="540"/>
    </row>
    <row r="14" spans="1:15" s="19" customFormat="1">
      <c r="B14" s="547"/>
      <c r="C14" s="547"/>
      <c r="D14" s="547"/>
      <c r="E14" s="540"/>
      <c r="F14" s="540"/>
      <c r="G14" s="540"/>
      <c r="H14" s="540"/>
      <c r="I14" s="540"/>
      <c r="J14" s="540"/>
      <c r="K14" s="540"/>
      <c r="L14" s="540"/>
      <c r="M14" s="540"/>
      <c r="N14" s="540"/>
      <c r="O14" s="540"/>
    </row>
    <row r="15" spans="1:15" s="19" customFormat="1">
      <c r="B15" s="547"/>
      <c r="C15" s="547"/>
      <c r="D15" s="547"/>
      <c r="E15" s="540"/>
      <c r="F15" s="540"/>
      <c r="G15" s="540"/>
      <c r="H15" s="540"/>
      <c r="I15" s="540"/>
      <c r="J15" s="540"/>
      <c r="K15" s="540"/>
      <c r="L15" s="540"/>
      <c r="M15" s="540"/>
      <c r="N15" s="540"/>
      <c r="O15" s="540"/>
    </row>
    <row r="16" spans="1:15" ht="23.25">
      <c r="B16" s="548" t="s">
        <v>283</v>
      </c>
      <c r="C16" s="548"/>
      <c r="D16" s="548"/>
      <c r="E16" s="548"/>
      <c r="F16" s="548"/>
      <c r="G16" s="548"/>
      <c r="H16" s="548"/>
      <c r="I16" s="548"/>
      <c r="J16" s="548"/>
      <c r="K16" s="548"/>
      <c r="L16" s="548"/>
      <c r="M16" s="548"/>
      <c r="N16" s="548"/>
      <c r="O16" s="548"/>
    </row>
    <row r="18" spans="1:15" ht="21">
      <c r="B18" s="541" t="s">
        <v>271</v>
      </c>
      <c r="C18" s="542"/>
      <c r="D18" s="543"/>
      <c r="E18" s="541" t="s">
        <v>272</v>
      </c>
      <c r="F18" s="542"/>
      <c r="G18" s="542"/>
      <c r="H18" s="542"/>
      <c r="I18" s="543"/>
      <c r="J18" s="541" t="s">
        <v>273</v>
      </c>
      <c r="K18" s="542"/>
      <c r="L18" s="543"/>
      <c r="M18" s="541" t="s">
        <v>274</v>
      </c>
      <c r="N18" s="542"/>
      <c r="O18" s="543"/>
    </row>
    <row r="19" spans="1:15" ht="114" customHeight="1">
      <c r="B19" s="561" t="str">
        <f>+'Data Entry'!B68</f>
        <v>M1: Status of Conditions Precedent (CPs) and Time Bound Actions (TBAs)</v>
      </c>
      <c r="C19" s="594"/>
      <c r="D19" s="595"/>
      <c r="E19" s="544" t="s">
        <v>281</v>
      </c>
      <c r="F19" s="545"/>
      <c r="G19" s="545"/>
      <c r="H19" s="545"/>
      <c r="I19" s="546"/>
      <c r="J19" s="536" t="s">
        <v>350</v>
      </c>
      <c r="K19" s="537"/>
      <c r="L19" s="538"/>
      <c r="M19" s="536" t="s">
        <v>351</v>
      </c>
      <c r="N19" s="537"/>
      <c r="O19" s="538"/>
    </row>
    <row r="20" spans="1:15" ht="102.75" customHeight="1">
      <c r="B20" s="561" t="str">
        <f>+'Data Entry'!B75</f>
        <v>M2: Status of key PR management positions</v>
      </c>
      <c r="C20" s="594"/>
      <c r="D20" s="595"/>
      <c r="E20" s="544" t="s">
        <v>395</v>
      </c>
      <c r="F20" s="545"/>
      <c r="G20" s="545"/>
      <c r="H20" s="545"/>
      <c r="I20" s="546"/>
      <c r="J20" s="536" t="s">
        <v>278</v>
      </c>
      <c r="K20" s="537"/>
      <c r="L20" s="538"/>
      <c r="M20" s="536" t="s">
        <v>277</v>
      </c>
      <c r="N20" s="537"/>
      <c r="O20" s="538"/>
    </row>
    <row r="21" spans="1:15" ht="111.75" customHeight="1">
      <c r="B21" s="561" t="str">
        <f>+'Data Entry'!B80</f>
        <v xml:space="preserve">M3: Contractual arrangements (SRs) </v>
      </c>
      <c r="C21" s="594"/>
      <c r="D21" s="595"/>
      <c r="E21" s="596" t="s">
        <v>0</v>
      </c>
      <c r="F21" s="545"/>
      <c r="G21" s="545"/>
      <c r="H21" s="545"/>
      <c r="I21" s="546"/>
      <c r="J21" s="536" t="s">
        <v>352</v>
      </c>
      <c r="K21" s="537"/>
      <c r="L21" s="538"/>
      <c r="M21" s="536" t="s">
        <v>353</v>
      </c>
      <c r="N21" s="537"/>
      <c r="O21" s="538"/>
    </row>
    <row r="22" spans="1:15" ht="74.25" customHeight="1">
      <c r="B22" s="561" t="str">
        <f>+'Data Entry'!B85</f>
        <v>M4: Number of complete reports received on time</v>
      </c>
      <c r="C22" s="594"/>
      <c r="D22" s="595"/>
      <c r="E22" s="596" t="s">
        <v>406</v>
      </c>
      <c r="F22" s="603"/>
      <c r="G22" s="603"/>
      <c r="H22" s="603"/>
      <c r="I22" s="604"/>
      <c r="J22" s="536" t="s">
        <v>358</v>
      </c>
      <c r="K22" s="537"/>
      <c r="L22" s="538"/>
      <c r="M22" s="536" t="s">
        <v>279</v>
      </c>
      <c r="N22" s="537"/>
      <c r="O22" s="538"/>
    </row>
    <row r="23" spans="1:15" ht="207.75" customHeight="1">
      <c r="B23" s="597" t="str">
        <f>+'Data Entry'!B91</f>
        <v>M5: Budget and Procurement of health products, health equipment, medicines and pharmaceuticals</v>
      </c>
      <c r="C23" s="598"/>
      <c r="D23" s="599"/>
      <c r="E23" s="605" t="s">
        <v>359</v>
      </c>
      <c r="F23" s="606"/>
      <c r="G23" s="606"/>
      <c r="H23" s="606"/>
      <c r="I23" s="607"/>
      <c r="J23" s="617" t="s">
        <v>275</v>
      </c>
      <c r="K23" s="618"/>
      <c r="L23" s="619"/>
      <c r="M23" s="617" t="s">
        <v>280</v>
      </c>
      <c r="N23" s="618"/>
      <c r="O23" s="619"/>
    </row>
    <row r="24" spans="1:15" ht="114.75" customHeight="1">
      <c r="B24" s="600"/>
      <c r="C24" s="601"/>
      <c r="D24" s="602"/>
      <c r="E24" s="608" t="s">
        <v>354</v>
      </c>
      <c r="F24" s="609"/>
      <c r="G24" s="609"/>
      <c r="H24" s="609"/>
      <c r="I24" s="610"/>
      <c r="J24" s="620"/>
      <c r="K24" s="621"/>
      <c r="L24" s="622"/>
      <c r="M24" s="620"/>
      <c r="N24" s="621"/>
      <c r="O24" s="622"/>
    </row>
    <row r="25" spans="1:15" ht="409.5" customHeight="1">
      <c r="B25" s="561" t="str">
        <f>+'Data Entry'!B104</f>
        <v>M6: Difference between current and safety stock</v>
      </c>
      <c r="C25" s="594"/>
      <c r="D25" s="595"/>
      <c r="E25" s="628" t="s">
        <v>407</v>
      </c>
      <c r="F25" s="629"/>
      <c r="G25" s="629"/>
      <c r="H25" s="629"/>
      <c r="I25" s="630"/>
      <c r="J25" s="614" t="s">
        <v>360</v>
      </c>
      <c r="K25" s="615"/>
      <c r="L25" s="616"/>
      <c r="M25" s="611" t="s">
        <v>365</v>
      </c>
      <c r="N25" s="612"/>
      <c r="O25" s="613"/>
    </row>
    <row r="29" spans="1:15" ht="18.75">
      <c r="B29" s="255"/>
    </row>
    <row r="30" spans="1:15" ht="23.25">
      <c r="B30" s="548" t="s">
        <v>296</v>
      </c>
      <c r="C30" s="548"/>
      <c r="D30" s="548"/>
      <c r="E30" s="548"/>
      <c r="F30" s="548"/>
      <c r="G30" s="548"/>
      <c r="H30" s="548"/>
      <c r="I30" s="548"/>
      <c r="J30" s="548"/>
      <c r="K30" s="548"/>
      <c r="L30" s="548"/>
      <c r="M30" s="548"/>
      <c r="N30" s="548"/>
      <c r="O30" s="548"/>
    </row>
    <row r="32" spans="1:15" ht="28.5" customHeight="1">
      <c r="A32" s="246"/>
      <c r="B32" s="567" t="s">
        <v>344</v>
      </c>
      <c r="C32" s="568"/>
      <c r="D32" s="569"/>
      <c r="E32" s="570" t="s">
        <v>302</v>
      </c>
      <c r="F32" s="571"/>
      <c r="G32" s="571"/>
      <c r="H32" s="571"/>
      <c r="I32" s="572"/>
      <c r="J32" s="570" t="s">
        <v>273</v>
      </c>
      <c r="K32" s="571"/>
      <c r="L32" s="572"/>
      <c r="M32" s="570" t="s">
        <v>274</v>
      </c>
      <c r="N32" s="571"/>
      <c r="O32" s="572"/>
    </row>
    <row r="33" spans="1:15" ht="47.25" customHeight="1">
      <c r="A33" s="247"/>
      <c r="B33" s="585"/>
      <c r="C33" s="586"/>
      <c r="D33" s="587"/>
      <c r="E33" s="588"/>
      <c r="F33" s="589"/>
      <c r="G33" s="589"/>
      <c r="H33" s="589"/>
      <c r="I33" s="590"/>
      <c r="J33" s="582"/>
      <c r="K33" s="583"/>
      <c r="L33" s="584"/>
      <c r="M33" s="582"/>
      <c r="N33" s="583"/>
      <c r="O33" s="584"/>
    </row>
    <row r="34" spans="1:15" ht="59.25" customHeight="1">
      <c r="A34" s="247"/>
      <c r="B34" s="585"/>
      <c r="C34" s="586"/>
      <c r="D34" s="587"/>
      <c r="E34" s="588"/>
      <c r="F34" s="589"/>
      <c r="G34" s="589"/>
      <c r="H34" s="589"/>
      <c r="I34" s="590"/>
      <c r="J34" s="582"/>
      <c r="K34" s="583"/>
      <c r="L34" s="584"/>
      <c r="M34" s="582"/>
      <c r="N34" s="583"/>
      <c r="O34" s="584"/>
    </row>
    <row r="35" spans="1:15" ht="57.75" customHeight="1">
      <c r="A35" s="247"/>
      <c r="B35" s="585"/>
      <c r="C35" s="586"/>
      <c r="D35" s="587"/>
      <c r="E35" s="582"/>
      <c r="F35" s="583"/>
      <c r="G35" s="583"/>
      <c r="H35" s="583"/>
      <c r="I35" s="584"/>
      <c r="J35" s="582"/>
      <c r="K35" s="583"/>
      <c r="L35" s="584"/>
      <c r="M35" s="582"/>
      <c r="N35" s="583"/>
      <c r="O35" s="584"/>
    </row>
    <row r="36" spans="1:15" ht="9.75" customHeight="1">
      <c r="A36" s="247"/>
      <c r="B36" s="625"/>
      <c r="C36" s="626"/>
      <c r="D36" s="627"/>
      <c r="E36" s="248"/>
      <c r="F36" s="249"/>
      <c r="G36" s="249"/>
      <c r="H36" s="249"/>
      <c r="I36" s="250"/>
      <c r="J36" s="268"/>
      <c r="K36" s="269"/>
      <c r="L36" s="270"/>
      <c r="M36" s="268"/>
      <c r="N36" s="269"/>
      <c r="O36" s="270"/>
    </row>
    <row r="37" spans="1:15" ht="46.5" customHeight="1">
      <c r="A37" s="247"/>
      <c r="B37" s="585"/>
      <c r="C37" s="586"/>
      <c r="D37" s="587"/>
      <c r="E37" s="582"/>
      <c r="F37" s="623"/>
      <c r="G37" s="623"/>
      <c r="H37" s="623"/>
      <c r="I37" s="624"/>
      <c r="J37" s="263"/>
      <c r="K37" s="264"/>
      <c r="L37" s="265"/>
      <c r="M37" s="263"/>
      <c r="N37" s="264"/>
      <c r="O37" s="265"/>
    </row>
    <row r="38" spans="1:15" ht="69" customHeight="1">
      <c r="A38" s="247"/>
      <c r="B38" s="585"/>
      <c r="C38" s="586"/>
      <c r="D38" s="587"/>
      <c r="E38" s="588"/>
      <c r="F38" s="589"/>
      <c r="G38" s="589"/>
      <c r="H38" s="589"/>
      <c r="I38" s="590"/>
      <c r="J38" s="582"/>
      <c r="K38" s="583"/>
      <c r="L38" s="584"/>
      <c r="M38" s="582"/>
      <c r="N38" s="583"/>
      <c r="O38" s="584"/>
    </row>
    <row r="39" spans="1:15" ht="64.5" customHeight="1">
      <c r="A39" s="247"/>
      <c r="B39" s="585"/>
      <c r="C39" s="586"/>
      <c r="D39" s="587"/>
      <c r="E39" s="582"/>
      <c r="F39" s="583"/>
      <c r="G39" s="583"/>
      <c r="H39" s="583"/>
      <c r="I39" s="584"/>
      <c r="J39" s="263"/>
      <c r="K39" s="264"/>
      <c r="L39" s="265"/>
      <c r="M39" s="263"/>
      <c r="N39" s="264"/>
      <c r="O39" s="265"/>
    </row>
    <row r="40" spans="1:15" ht="45" customHeight="1">
      <c r="A40" s="247"/>
      <c r="B40" s="634"/>
      <c r="C40" s="635"/>
      <c r="D40" s="636"/>
      <c r="E40" s="631"/>
      <c r="F40" s="632"/>
      <c r="G40" s="632"/>
      <c r="H40" s="632"/>
      <c r="I40" s="633"/>
      <c r="J40" s="582"/>
      <c r="K40" s="583"/>
      <c r="L40" s="584"/>
      <c r="M40" s="582"/>
      <c r="N40" s="583"/>
      <c r="O40" s="584"/>
    </row>
    <row r="41" spans="1:15" ht="62.25" customHeight="1">
      <c r="A41" s="247"/>
      <c r="B41" s="591"/>
      <c r="C41" s="592"/>
      <c r="D41" s="593"/>
      <c r="E41" s="588"/>
      <c r="F41" s="589"/>
      <c r="G41" s="589"/>
      <c r="H41" s="589"/>
      <c r="I41" s="590"/>
      <c r="J41" s="582"/>
      <c r="K41" s="583"/>
      <c r="L41" s="584"/>
      <c r="M41" s="582"/>
      <c r="N41" s="583"/>
      <c r="O41" s="584"/>
    </row>
    <row r="42" spans="1:15" ht="84" customHeight="1">
      <c r="A42" s="247"/>
      <c r="B42" s="591"/>
      <c r="C42" s="592"/>
      <c r="D42" s="593"/>
      <c r="E42" s="582"/>
      <c r="F42" s="583"/>
      <c r="G42" s="583"/>
      <c r="H42" s="583"/>
      <c r="I42" s="584"/>
      <c r="J42" s="263"/>
      <c r="K42" s="264"/>
      <c r="L42" s="265"/>
      <c r="M42" s="263"/>
      <c r="N42" s="264"/>
      <c r="O42" s="265"/>
    </row>
    <row r="43" spans="1:15" ht="45" customHeight="1">
      <c r="A43" s="247"/>
      <c r="B43" s="591"/>
      <c r="C43" s="592"/>
      <c r="D43" s="593"/>
      <c r="E43" s="588"/>
      <c r="F43" s="589"/>
      <c r="G43" s="589"/>
      <c r="H43" s="589"/>
      <c r="I43" s="590"/>
      <c r="J43" s="582"/>
      <c r="K43" s="583"/>
      <c r="L43" s="584"/>
      <c r="M43" s="263"/>
      <c r="N43" s="264"/>
      <c r="O43" s="265"/>
    </row>
    <row r="44" spans="1:15" ht="64.5" customHeight="1">
      <c r="A44" s="247"/>
      <c r="B44" s="634"/>
      <c r="C44" s="635"/>
      <c r="D44" s="636"/>
      <c r="E44" s="588"/>
      <c r="F44" s="589"/>
      <c r="G44" s="589"/>
      <c r="H44" s="589"/>
      <c r="I44" s="590"/>
      <c r="J44" s="582"/>
      <c r="K44" s="583"/>
      <c r="L44" s="584"/>
      <c r="M44" s="263"/>
      <c r="N44" s="264"/>
      <c r="O44" s="265"/>
    </row>
    <row r="45" spans="1:15" ht="49.5" customHeight="1">
      <c r="B45" s="634"/>
      <c r="C45" s="635"/>
      <c r="D45" s="636"/>
      <c r="E45" s="588"/>
      <c r="F45" s="589"/>
      <c r="G45" s="589"/>
      <c r="H45" s="589"/>
      <c r="I45" s="590"/>
      <c r="J45" s="582"/>
      <c r="K45" s="583"/>
      <c r="L45" s="584"/>
      <c r="M45" s="263"/>
      <c r="N45" s="264"/>
      <c r="O45" s="265"/>
    </row>
    <row r="46" spans="1:15" ht="30" customHeight="1">
      <c r="B46" s="637"/>
      <c r="C46" s="638"/>
      <c r="D46" s="639"/>
      <c r="E46" s="251"/>
      <c r="F46" s="252"/>
      <c r="G46" s="252"/>
      <c r="H46" s="252"/>
      <c r="I46" s="253"/>
      <c r="J46" s="263"/>
      <c r="K46" s="264"/>
      <c r="L46" s="265"/>
      <c r="M46" s="263"/>
      <c r="N46" s="264"/>
      <c r="O46" s="265"/>
    </row>
    <row r="47" spans="1:15" ht="44.25" customHeight="1">
      <c r="B47" s="576" t="s">
        <v>297</v>
      </c>
      <c r="C47" s="577"/>
      <c r="D47" s="578"/>
      <c r="E47" s="579" t="s">
        <v>272</v>
      </c>
      <c r="F47" s="580"/>
      <c r="G47" s="580"/>
      <c r="H47" s="580"/>
      <c r="I47" s="581"/>
      <c r="J47" s="579" t="s">
        <v>273</v>
      </c>
      <c r="K47" s="580"/>
      <c r="L47" s="581"/>
      <c r="M47" s="579" t="s">
        <v>274</v>
      </c>
      <c r="N47" s="580"/>
      <c r="O47" s="581"/>
    </row>
    <row r="48" spans="1:15" ht="33.75" customHeight="1">
      <c r="B48" s="242"/>
      <c r="C48" s="243"/>
      <c r="D48" s="243"/>
      <c r="E48" s="236"/>
      <c r="F48" s="238"/>
      <c r="G48" s="238"/>
      <c r="H48" s="238"/>
      <c r="I48" s="238"/>
      <c r="J48" s="236"/>
      <c r="K48" s="236"/>
      <c r="L48" s="237"/>
      <c r="M48" s="235"/>
      <c r="N48" s="236"/>
      <c r="O48" s="237"/>
    </row>
    <row r="49" spans="2:15" ht="15.75" customHeight="1">
      <c r="B49" s="573" t="s">
        <v>294</v>
      </c>
      <c r="C49" s="574"/>
      <c r="D49" s="574"/>
      <c r="E49" s="574"/>
      <c r="F49" s="574"/>
      <c r="G49" s="574"/>
      <c r="H49" s="574"/>
      <c r="I49" s="574"/>
      <c r="J49" s="574"/>
      <c r="K49" s="574"/>
      <c r="L49" s="575"/>
      <c r="M49" s="564" t="s">
        <v>284</v>
      </c>
      <c r="N49" s="565"/>
      <c r="O49" s="566"/>
    </row>
    <row r="50" spans="2:15">
      <c r="D50" s="222"/>
    </row>
    <row r="52" spans="2:15">
      <c r="D52" s="222"/>
    </row>
    <row r="53" spans="2:15">
      <c r="D53" s="222"/>
    </row>
  </sheetData>
  <mergeCells count="120">
    <mergeCell ref="B41:D41"/>
    <mergeCell ref="B40:D40"/>
    <mergeCell ref="E41:I41"/>
    <mergeCell ref="B46:D46"/>
    <mergeCell ref="J43:L43"/>
    <mergeCell ref="J44:L44"/>
    <mergeCell ref="J45:L45"/>
    <mergeCell ref="E44:I44"/>
    <mergeCell ref="B44:D44"/>
    <mergeCell ref="B45:D45"/>
    <mergeCell ref="E45:I45"/>
    <mergeCell ref="B43:D43"/>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1"/>
  <sheetViews>
    <sheetView showGridLines="0" tabSelected="1" zoomScale="70" zoomScaleNormal="70" zoomScalePageLayoutView="90" workbookViewId="0">
      <selection activeCell="C95" sqref="C95:C96"/>
    </sheetView>
  </sheetViews>
  <sheetFormatPr defaultColWidth="11" defaultRowHeight="15"/>
  <cols>
    <col min="1" max="1" width="2.7109375" customWidth="1"/>
    <col min="2" max="2" width="46.140625" customWidth="1"/>
    <col min="3" max="3" width="36"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87" t="s">
        <v>372</v>
      </c>
      <c r="C2" s="687"/>
      <c r="D2" s="687"/>
      <c r="E2" s="687"/>
      <c r="F2" s="687"/>
      <c r="G2" s="687"/>
      <c r="H2" s="687"/>
      <c r="I2" s="687"/>
      <c r="J2" s="687"/>
      <c r="K2" s="285"/>
      <c r="L2" s="285"/>
      <c r="M2" s="285"/>
    </row>
    <row r="3" spans="1:13" ht="4.5" customHeight="1">
      <c r="A3" s="3"/>
      <c r="B3" s="3"/>
      <c r="C3" s="3"/>
      <c r="D3" s="3"/>
      <c r="E3" s="3"/>
      <c r="F3" s="3"/>
      <c r="G3" s="3"/>
      <c r="H3" s="3"/>
      <c r="I3" s="3"/>
      <c r="J3" s="3"/>
      <c r="K3" s="3"/>
      <c r="L3" s="3"/>
      <c r="M3" s="3"/>
    </row>
    <row r="4" spans="1:13">
      <c r="A4" s="3"/>
      <c r="B4" s="283" t="s">
        <v>25</v>
      </c>
      <c r="C4" s="720" t="s">
        <v>176</v>
      </c>
      <c r="D4" s="721"/>
      <c r="E4" s="693" t="s">
        <v>11</v>
      </c>
      <c r="F4" s="693"/>
      <c r="G4" s="722" t="s">
        <v>437</v>
      </c>
      <c r="H4" s="723"/>
      <c r="I4" s="723"/>
      <c r="J4" s="724"/>
      <c r="K4" s="3"/>
      <c r="L4" s="3"/>
      <c r="M4" s="3"/>
    </row>
    <row r="5" spans="1:13" ht="3" customHeight="1">
      <c r="A5" s="3"/>
      <c r="B5" s="283"/>
      <c r="C5" s="3"/>
      <c r="D5" s="3"/>
      <c r="E5" s="286"/>
      <c r="F5" s="286"/>
      <c r="G5" s="3"/>
      <c r="H5" s="3"/>
      <c r="I5" s="3"/>
      <c r="J5" s="3"/>
      <c r="K5" s="3"/>
      <c r="L5" s="3"/>
      <c r="M5" s="3"/>
    </row>
    <row r="6" spans="1:13">
      <c r="A6" s="3"/>
      <c r="B6" s="283" t="s">
        <v>116</v>
      </c>
      <c r="C6" s="720" t="s">
        <v>412</v>
      </c>
      <c r="D6" s="721"/>
      <c r="E6" s="693" t="s">
        <v>26</v>
      </c>
      <c r="F6" s="693"/>
      <c r="G6" s="314" t="s">
        <v>27</v>
      </c>
      <c r="H6" s="283" t="s">
        <v>320</v>
      </c>
      <c r="I6" s="727">
        <v>9348442.7799999993</v>
      </c>
      <c r="J6" s="728"/>
      <c r="K6" s="3"/>
      <c r="L6" s="3"/>
      <c r="M6" s="3"/>
    </row>
    <row r="7" spans="1:13" ht="3" customHeight="1">
      <c r="A7" s="3"/>
      <c r="B7" s="283"/>
      <c r="C7" s="3"/>
      <c r="D7" s="3"/>
      <c r="E7" s="286"/>
      <c r="F7" s="286"/>
      <c r="G7" s="3"/>
      <c r="H7" s="283"/>
      <c r="I7" s="3"/>
      <c r="J7" s="3"/>
      <c r="K7" s="3"/>
      <c r="L7" s="3"/>
      <c r="M7" s="3"/>
    </row>
    <row r="8" spans="1:13">
      <c r="A8" s="3"/>
      <c r="B8" s="283" t="s">
        <v>268</v>
      </c>
      <c r="C8" s="720" t="s">
        <v>413</v>
      </c>
      <c r="D8" s="721"/>
      <c r="E8" s="287"/>
      <c r="F8" s="282" t="s">
        <v>322</v>
      </c>
      <c r="G8" s="528" t="s">
        <v>436</v>
      </c>
      <c r="H8" s="282" t="s">
        <v>321</v>
      </c>
      <c r="I8" s="731" t="s">
        <v>435</v>
      </c>
      <c r="J8" s="732"/>
      <c r="K8" s="3"/>
      <c r="L8" s="3"/>
      <c r="M8" s="3"/>
    </row>
    <row r="9" spans="1:13" ht="3" customHeight="1">
      <c r="A9" s="3"/>
      <c r="B9" s="286"/>
      <c r="C9" s="3"/>
      <c r="D9" s="3"/>
      <c r="E9" s="286"/>
      <c r="F9" s="286"/>
      <c r="G9" s="3"/>
      <c r="H9" s="3"/>
      <c r="I9" s="3"/>
      <c r="J9" s="3"/>
      <c r="K9" s="3"/>
      <c r="L9" s="3"/>
      <c r="M9" s="3"/>
    </row>
    <row r="10" spans="1:13">
      <c r="A10" s="3"/>
      <c r="B10" s="283" t="s">
        <v>401</v>
      </c>
      <c r="C10" s="733">
        <v>43647</v>
      </c>
      <c r="D10" s="734"/>
      <c r="E10" s="725" t="s">
        <v>30</v>
      </c>
      <c r="F10" s="726"/>
      <c r="G10" s="720" t="s">
        <v>262</v>
      </c>
      <c r="H10" s="730"/>
      <c r="I10" s="730"/>
      <c r="J10" s="721"/>
      <c r="K10" s="3"/>
      <c r="L10" s="3"/>
      <c r="M10" s="3"/>
    </row>
    <row r="11" spans="1:13" ht="5.25" customHeight="1">
      <c r="A11" s="3"/>
      <c r="B11" s="3"/>
      <c r="C11" s="3"/>
      <c r="D11" s="3"/>
      <c r="E11" s="3"/>
      <c r="F11" s="3"/>
      <c r="G11" s="3"/>
      <c r="H11" s="3"/>
      <c r="I11" s="3"/>
      <c r="J11" s="3"/>
      <c r="K11" s="3"/>
      <c r="L11" s="3"/>
      <c r="M11" s="3"/>
    </row>
    <row r="12" spans="1:13" ht="15" customHeight="1">
      <c r="A12" s="3"/>
      <c r="B12" s="283" t="s">
        <v>28</v>
      </c>
      <c r="C12" s="735" t="s">
        <v>46</v>
      </c>
      <c r="D12" s="735"/>
      <c r="E12" s="725" t="s">
        <v>288</v>
      </c>
      <c r="F12" s="693"/>
      <c r="G12" s="729" t="s">
        <v>443</v>
      </c>
      <c r="H12" s="729"/>
      <c r="I12" s="729"/>
      <c r="J12" s="729"/>
      <c r="K12" s="3"/>
      <c r="L12" s="3"/>
      <c r="M12" s="3"/>
    </row>
    <row r="13" spans="1:13" ht="5.25" customHeight="1">
      <c r="A13" s="3"/>
      <c r="B13" s="3"/>
      <c r="C13" s="3"/>
      <c r="D13" s="3"/>
      <c r="E13" s="3"/>
      <c r="F13" s="3"/>
      <c r="G13" s="3"/>
      <c r="H13" s="3"/>
      <c r="I13" s="3"/>
      <c r="J13" s="3"/>
      <c r="K13" s="3"/>
      <c r="L13" s="3"/>
      <c r="M13" s="3"/>
    </row>
    <row r="14" spans="1:13" ht="15.75" customHeight="1">
      <c r="A14" s="3"/>
      <c r="B14" s="687" t="s">
        <v>2</v>
      </c>
      <c r="C14" s="687"/>
      <c r="D14" s="687"/>
      <c r="E14" s="687"/>
      <c r="F14" s="687"/>
      <c r="G14" s="687"/>
      <c r="H14" s="687"/>
      <c r="I14" s="687"/>
      <c r="J14" s="687"/>
      <c r="K14" s="3"/>
      <c r="L14" s="3"/>
      <c r="M14" s="3"/>
    </row>
    <row r="15" spans="1:13" ht="3" customHeight="1">
      <c r="A15" s="3"/>
      <c r="B15" s="3"/>
      <c r="C15" s="3"/>
      <c r="D15" s="3"/>
      <c r="E15" s="3"/>
      <c r="F15" s="3"/>
      <c r="G15" s="3"/>
      <c r="H15" s="3"/>
      <c r="I15" s="3"/>
      <c r="J15" s="3"/>
      <c r="K15" s="3"/>
      <c r="L15" s="3"/>
      <c r="M15" s="3"/>
    </row>
    <row r="16" spans="1:13">
      <c r="A16" s="3"/>
      <c r="B16" s="283" t="s">
        <v>20</v>
      </c>
      <c r="C16" s="396" t="s">
        <v>105</v>
      </c>
      <c r="D16" s="282" t="s">
        <v>323</v>
      </c>
      <c r="E16" s="288">
        <v>43647</v>
      </c>
      <c r="F16" s="284" t="s">
        <v>8</v>
      </c>
      <c r="G16" s="288">
        <v>43738</v>
      </c>
      <c r="H16" s="725" t="s">
        <v>324</v>
      </c>
      <c r="I16" s="726"/>
      <c r="J16" s="529">
        <v>43780</v>
      </c>
      <c r="K16" s="3"/>
      <c r="L16" s="3"/>
      <c r="M16" s="3"/>
    </row>
    <row r="17" spans="1:35" ht="3" customHeight="1">
      <c r="A17" s="3"/>
      <c r="B17" s="3"/>
      <c r="C17" s="3"/>
      <c r="D17" s="3"/>
      <c r="E17" s="3"/>
      <c r="F17" s="3"/>
      <c r="G17" s="3"/>
      <c r="H17" s="3"/>
      <c r="I17" s="3"/>
      <c r="J17" s="3"/>
      <c r="K17" s="3"/>
      <c r="L17" s="3"/>
      <c r="M17" s="3"/>
    </row>
    <row r="18" spans="1:35">
      <c r="A18" s="3"/>
      <c r="B18" s="738" t="s">
        <v>31</v>
      </c>
      <c r="C18" s="726"/>
      <c r="D18" s="739" t="s">
        <v>442</v>
      </c>
      <c r="E18" s="739"/>
      <c r="F18" s="739"/>
      <c r="G18" s="289"/>
      <c r="H18" s="289"/>
      <c r="I18" s="289"/>
      <c r="J18" s="28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87" t="s">
        <v>361</v>
      </c>
      <c r="C21" s="687"/>
      <c r="D21" s="687"/>
      <c r="E21" s="687"/>
      <c r="F21" s="687"/>
      <c r="G21" s="687"/>
      <c r="H21" s="687"/>
      <c r="I21" s="687"/>
      <c r="J21" s="687"/>
      <c r="K21" s="3"/>
      <c r="L21" s="3"/>
      <c r="M21" s="3"/>
    </row>
    <row r="22" spans="1:35">
      <c r="A22" s="3"/>
      <c r="B22" s="286" t="s">
        <v>3</v>
      </c>
      <c r="C22" s="3"/>
      <c r="D22" s="3"/>
      <c r="E22" s="290"/>
      <c r="F22" s="290"/>
      <c r="G22" s="3"/>
      <c r="H22" s="3"/>
      <c r="I22" s="290"/>
      <c r="J22" s="290"/>
      <c r="K22" s="3"/>
      <c r="L22" s="3"/>
      <c r="M22" s="3"/>
    </row>
    <row r="23" spans="1:35" ht="3" customHeight="1">
      <c r="A23" s="3"/>
      <c r="B23" s="3"/>
      <c r="C23" s="3"/>
      <c r="D23" s="3"/>
      <c r="E23" s="3"/>
      <c r="F23" s="3"/>
      <c r="G23" s="3"/>
      <c r="H23" s="3"/>
      <c r="I23" s="3"/>
      <c r="J23" s="3"/>
      <c r="K23" s="3"/>
      <c r="L23" s="3"/>
      <c r="M23" s="3"/>
    </row>
    <row r="24" spans="1:35" ht="15.75" thickBot="1">
      <c r="A24" s="3"/>
      <c r="B24" s="283" t="s">
        <v>397</v>
      </c>
      <c r="C24" s="389"/>
      <c r="D24" s="693" t="s">
        <v>398</v>
      </c>
      <c r="E24" s="693"/>
      <c r="F24" s="390"/>
      <c r="G24" s="693" t="s">
        <v>399</v>
      </c>
      <c r="H24" s="693"/>
      <c r="I24" s="685"/>
      <c r="J24" s="686"/>
      <c r="K24" s="3"/>
      <c r="L24" s="3"/>
      <c r="M24" s="3"/>
      <c r="N24" s="20"/>
    </row>
    <row r="25" spans="1:35" ht="19.5" thickBot="1">
      <c r="A25" s="3"/>
      <c r="B25" s="87" t="s">
        <v>397</v>
      </c>
      <c r="C25" s="88"/>
      <c r="D25" s="88"/>
      <c r="E25" s="88"/>
      <c r="F25" s="88"/>
      <c r="G25" s="88"/>
      <c r="H25" s="271"/>
      <c r="I25" s="89"/>
      <c r="J25" s="89"/>
      <c r="K25" s="271" t="s">
        <v>325</v>
      </c>
      <c r="L25" s="88"/>
      <c r="M25" s="88"/>
      <c r="N25" s="397"/>
      <c r="O25" s="40"/>
      <c r="AI25" s="44"/>
    </row>
    <row r="26" spans="1:35">
      <c r="A26" s="3"/>
      <c r="B26" s="698" t="s">
        <v>368</v>
      </c>
      <c r="C26" s="699"/>
      <c r="D26" s="407" t="s">
        <v>18</v>
      </c>
      <c r="E26" s="91"/>
      <c r="F26" s="91"/>
      <c r="G26" s="91"/>
      <c r="H26" s="91"/>
      <c r="I26" s="91"/>
      <c r="J26" s="92"/>
      <c r="K26" s="91"/>
      <c r="L26" s="91"/>
      <c r="M26" s="91"/>
      <c r="N26" s="40"/>
      <c r="O26" s="40"/>
      <c r="AI26" s="44"/>
    </row>
    <row r="27" spans="1:35" ht="18.75">
      <c r="A27" s="3"/>
      <c r="B27" s="90" t="s">
        <v>378</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741" t="s">
        <v>59</v>
      </c>
      <c r="C29" s="742"/>
      <c r="D29" s="742"/>
      <c r="E29" s="742"/>
      <c r="F29" s="742"/>
      <c r="G29" s="742"/>
      <c r="H29" s="742"/>
      <c r="I29" s="742"/>
      <c r="J29" s="742"/>
      <c r="K29" s="742"/>
      <c r="L29" s="742"/>
      <c r="M29" s="742"/>
      <c r="N29" s="743"/>
      <c r="P29" s="207"/>
      <c r="Q29" s="208"/>
      <c r="R29" s="209">
        <f>+C33</f>
        <v>717729.52771723305</v>
      </c>
      <c r="S29" s="207"/>
    </row>
    <row r="30" spans="1:35">
      <c r="A30" s="3"/>
      <c r="B30" s="93" t="s">
        <v>267</v>
      </c>
      <c r="C30" s="368" t="s">
        <v>105</v>
      </c>
      <c r="D30" s="368" t="s">
        <v>106</v>
      </c>
      <c r="E30" s="368" t="s">
        <v>107</v>
      </c>
      <c r="F30" s="368" t="s">
        <v>108</v>
      </c>
      <c r="G30" s="368" t="s">
        <v>120</v>
      </c>
      <c r="H30" s="368" t="s">
        <v>121</v>
      </c>
      <c r="I30" s="368" t="s">
        <v>122</v>
      </c>
      <c r="J30" s="368" t="s">
        <v>123</v>
      </c>
      <c r="K30" s="368" t="s">
        <v>124</v>
      </c>
      <c r="L30" s="368" t="s">
        <v>125</v>
      </c>
      <c r="M30" s="368" t="s">
        <v>126</v>
      </c>
      <c r="N30" s="369" t="s">
        <v>286</v>
      </c>
      <c r="O30" s="370" t="s">
        <v>4</v>
      </c>
      <c r="P30" s="207"/>
      <c r="Q30" s="208"/>
      <c r="R30" s="209">
        <f>+D33</f>
        <v>1702547.4540092666</v>
      </c>
      <c r="S30" s="207"/>
    </row>
    <row r="31" spans="1:35">
      <c r="A31" s="3"/>
      <c r="B31" s="279" t="str">
        <f>CONCATENATE("Budget (in ",'Data Entry'!$D$26,")")</f>
        <v>Budget (in $)</v>
      </c>
      <c r="C31" s="380">
        <v>717729.52771723305</v>
      </c>
      <c r="D31" s="379">
        <v>984817.92629203352</v>
      </c>
      <c r="E31" s="379">
        <v>654349.8271338084</v>
      </c>
      <c r="F31" s="379">
        <v>916510.75545810768</v>
      </c>
      <c r="G31" s="379">
        <v>1019872.9413691912</v>
      </c>
      <c r="H31" s="379">
        <v>636751.33313835249</v>
      </c>
      <c r="I31" s="379">
        <v>599126.1573245622</v>
      </c>
      <c r="J31" s="379">
        <v>1200671.6601985595</v>
      </c>
      <c r="K31" s="379">
        <v>638323.88654436544</v>
      </c>
      <c r="L31" s="379">
        <v>545030.934423069</v>
      </c>
      <c r="M31" s="379">
        <v>755142.67589887255</v>
      </c>
      <c r="N31" s="379">
        <v>680115.15525378985</v>
      </c>
      <c r="O31" s="676">
        <f>+SUM(C35:N35)</f>
        <v>0.96892845165760133</v>
      </c>
      <c r="P31" s="207"/>
      <c r="Q31" s="208"/>
      <c r="R31" s="209">
        <f>+E33</f>
        <v>2356897.2811430749</v>
      </c>
      <c r="S31" s="207"/>
    </row>
    <row r="32" spans="1:35">
      <c r="A32" s="3"/>
      <c r="B32" s="93" t="str">
        <f>CONCATENATE("Disbursements by GF (in ", $D$26,")")</f>
        <v>Disbursements by GF (in $)</v>
      </c>
      <c r="C32" s="380">
        <v>695428.56</v>
      </c>
      <c r="D32" s="380"/>
      <c r="E32" s="380"/>
      <c r="F32" s="379"/>
      <c r="G32" s="380"/>
      <c r="H32" s="380"/>
      <c r="I32" s="379"/>
      <c r="J32" s="379"/>
      <c r="K32" s="379"/>
      <c r="L32" s="379"/>
      <c r="M32" s="379"/>
      <c r="N32" s="379"/>
      <c r="O32" s="677"/>
      <c r="P32" s="207"/>
      <c r="Q32" s="208"/>
      <c r="R32" s="209">
        <f>+F33</f>
        <v>3273408.0366011825</v>
      </c>
      <c r="S32" s="207"/>
    </row>
    <row r="33" spans="1:35">
      <c r="A33" s="3"/>
      <c r="B33" s="94" t="s">
        <v>384</v>
      </c>
      <c r="C33" s="381">
        <f>+C31</f>
        <v>717729.52771723305</v>
      </c>
      <c r="D33" s="381">
        <f>IF(AND(D31=0,D32=0),0,+C33+D31)</f>
        <v>1702547.4540092666</v>
      </c>
      <c r="E33" s="381">
        <f t="shared" ref="E33:N33" si="0">IF(AND(E31=0,E32=0),0,+D33+E31)</f>
        <v>2356897.2811430749</v>
      </c>
      <c r="F33" s="381">
        <f t="shared" si="0"/>
        <v>3273408.0366011825</v>
      </c>
      <c r="G33" s="381">
        <f t="shared" si="0"/>
        <v>4293280.9779703738</v>
      </c>
      <c r="H33" s="381">
        <f t="shared" si="0"/>
        <v>4930032.3111087261</v>
      </c>
      <c r="I33" s="381">
        <f t="shared" si="0"/>
        <v>5529158.4684332879</v>
      </c>
      <c r="J33" s="381">
        <f t="shared" si="0"/>
        <v>6729830.128631847</v>
      </c>
      <c r="K33" s="381">
        <f t="shared" si="0"/>
        <v>7368154.0151762124</v>
      </c>
      <c r="L33" s="381">
        <f t="shared" si="0"/>
        <v>7913184.949599281</v>
      </c>
      <c r="M33" s="381">
        <f t="shared" si="0"/>
        <v>8668327.6254981533</v>
      </c>
      <c r="N33" s="381">
        <f t="shared" si="0"/>
        <v>9348442.7807519436</v>
      </c>
      <c r="O33" s="677"/>
      <c r="P33" s="362"/>
      <c r="Q33" s="208"/>
      <c r="R33" s="209">
        <f>+G33</f>
        <v>4293280.9779703738</v>
      </c>
      <c r="S33" s="207"/>
    </row>
    <row r="34" spans="1:35" ht="15.75" thickBot="1">
      <c r="A34" s="3"/>
      <c r="B34" s="95" t="s">
        <v>385</v>
      </c>
      <c r="C34" s="382">
        <f>+C32</f>
        <v>695428.56</v>
      </c>
      <c r="D34" s="382">
        <f>IF(AND(D31=0,D32=0),0,+C34+D32)</f>
        <v>695428.56</v>
      </c>
      <c r="E34" s="382">
        <f t="shared" ref="E34:N34" si="1">IF(AND(E31=0,E32=0),0,+D34+E32)</f>
        <v>695428.56</v>
      </c>
      <c r="F34" s="382">
        <f t="shared" si="1"/>
        <v>695428.56</v>
      </c>
      <c r="G34" s="382">
        <f>IF(AND(G31=0,G32=0),0,+F34+G32)</f>
        <v>695428.56</v>
      </c>
      <c r="H34" s="382">
        <f t="shared" si="1"/>
        <v>695428.56</v>
      </c>
      <c r="I34" s="382">
        <f t="shared" si="1"/>
        <v>695428.56</v>
      </c>
      <c r="J34" s="382">
        <f t="shared" si="1"/>
        <v>695428.56</v>
      </c>
      <c r="K34" s="382">
        <f t="shared" si="1"/>
        <v>695428.56</v>
      </c>
      <c r="L34" s="382">
        <f t="shared" si="1"/>
        <v>695428.56</v>
      </c>
      <c r="M34" s="382">
        <f t="shared" si="1"/>
        <v>695428.56</v>
      </c>
      <c r="N34" s="382">
        <f t="shared" si="1"/>
        <v>695428.56</v>
      </c>
      <c r="O34" s="678"/>
      <c r="P34" s="362"/>
      <c r="Q34" s="208"/>
      <c r="R34" s="209">
        <f>+H33</f>
        <v>4930032.3111087261</v>
      </c>
      <c r="S34" s="207"/>
    </row>
    <row r="35" spans="1:35">
      <c r="A35" s="3"/>
      <c r="B35" s="3"/>
      <c r="C35" s="342">
        <f>+IF(AND(C30=$C$16,C33&lt;&gt;0),C34/C33,0)</f>
        <v>0.96892845165760133</v>
      </c>
      <c r="D35" s="342">
        <f t="shared" ref="D35:N35" si="2">+IF(AND(D30=$C$16,D33&lt;&gt;0),D34/D33,0)</f>
        <v>0</v>
      </c>
      <c r="E35" s="342">
        <f t="shared" si="2"/>
        <v>0</v>
      </c>
      <c r="F35" s="342">
        <f t="shared" si="2"/>
        <v>0</v>
      </c>
      <c r="G35" s="342">
        <f t="shared" si="2"/>
        <v>0</v>
      </c>
      <c r="H35" s="342">
        <f t="shared" si="2"/>
        <v>0</v>
      </c>
      <c r="I35" s="342">
        <f t="shared" si="2"/>
        <v>0</v>
      </c>
      <c r="J35" s="342">
        <f t="shared" si="2"/>
        <v>0</v>
      </c>
      <c r="K35" s="342">
        <f t="shared" si="2"/>
        <v>0</v>
      </c>
      <c r="L35" s="342">
        <f t="shared" si="2"/>
        <v>0</v>
      </c>
      <c r="M35" s="342">
        <f t="shared" si="2"/>
        <v>0</v>
      </c>
      <c r="N35" s="342">
        <f t="shared" si="2"/>
        <v>0</v>
      </c>
      <c r="O35" s="291"/>
      <c r="P35" s="210"/>
      <c r="Q35" s="211"/>
      <c r="R35" s="209">
        <f>+I33</f>
        <v>5529158.4684332879</v>
      </c>
      <c r="S35" s="207"/>
    </row>
    <row r="36" spans="1:35" ht="18.75">
      <c r="A36" s="3"/>
      <c r="B36" s="90" t="s">
        <v>377</v>
      </c>
      <c r="C36" s="3"/>
      <c r="D36" s="3"/>
      <c r="E36" s="356"/>
      <c r="F36" s="3"/>
      <c r="G36" s="262"/>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1" t="s">
        <v>400</v>
      </c>
      <c r="C38" s="392" t="str">
        <f>CONCATENATE("Cumulative Budget (in ",'Data Entry'!$D$26,")")</f>
        <v>Cumulative Budget (in $)</v>
      </c>
      <c r="D38" s="393" t="str">
        <f>CONCATENATE("Cumulative Expenditures (in ",'Data Entry'!$D$26,")")</f>
        <v>Cumulative Expenditures (in $)</v>
      </c>
      <c r="G38" s="3"/>
      <c r="H38" s="3"/>
      <c r="I38" s="3"/>
      <c r="J38" s="101"/>
      <c r="K38" s="42"/>
      <c r="N38"/>
      <c r="O38"/>
      <c r="AE38" s="20"/>
      <c r="AF38" s="36"/>
    </row>
    <row r="39" spans="1:35" ht="30" customHeight="1">
      <c r="A39" s="3"/>
      <c r="B39" s="394" t="s">
        <v>417</v>
      </c>
      <c r="C39" s="470">
        <v>142328.31488047715</v>
      </c>
      <c r="D39" s="471">
        <v>82049.951845754098</v>
      </c>
      <c r="G39" s="363"/>
      <c r="H39" s="3"/>
      <c r="I39" s="201"/>
      <c r="J39" s="102"/>
      <c r="K39" s="43"/>
      <c r="N39"/>
      <c r="O39"/>
      <c r="AE39" s="20"/>
      <c r="AF39" s="36"/>
    </row>
    <row r="40" spans="1:35" ht="27" customHeight="1">
      <c r="A40" s="3"/>
      <c r="B40" s="394" t="s">
        <v>418</v>
      </c>
      <c r="C40" s="470">
        <v>85786.368062317415</v>
      </c>
      <c r="D40" s="471">
        <v>56938.184427096392</v>
      </c>
      <c r="G40" s="363"/>
      <c r="H40" s="3"/>
      <c r="I40" s="201"/>
      <c r="J40" s="3"/>
      <c r="K40" s="43"/>
      <c r="N40"/>
      <c r="O40"/>
      <c r="AE40" s="20"/>
      <c r="AF40" s="36"/>
    </row>
    <row r="41" spans="1:35" ht="29.1" customHeight="1">
      <c r="A41" s="3"/>
      <c r="B41" s="394" t="s">
        <v>444</v>
      </c>
      <c r="C41" s="470">
        <v>147334.79030225266</v>
      </c>
      <c r="D41" s="471">
        <v>70725.041379740927</v>
      </c>
      <c r="G41" s="3"/>
      <c r="H41" s="3"/>
      <c r="I41" s="201"/>
      <c r="J41" s="3"/>
      <c r="K41" s="43"/>
      <c r="N41"/>
      <c r="O41"/>
      <c r="AE41" s="20"/>
      <c r="AF41" s="36"/>
    </row>
    <row r="42" spans="1:35" ht="30" customHeight="1">
      <c r="A42" s="3"/>
      <c r="B42" s="394" t="s">
        <v>445</v>
      </c>
      <c r="C42" s="470">
        <v>269009.63240494044</v>
      </c>
      <c r="D42" s="471">
        <v>172682.95005129979</v>
      </c>
      <c r="G42" s="3"/>
      <c r="H42" s="3"/>
      <c r="I42" s="201"/>
      <c r="J42" s="3"/>
      <c r="K42" s="20"/>
      <c r="N42"/>
      <c r="O42"/>
      <c r="AE42" s="20"/>
      <c r="AF42" s="36"/>
    </row>
    <row r="43" spans="1:35" ht="30">
      <c r="A43" s="3"/>
      <c r="B43" s="394" t="s">
        <v>446</v>
      </c>
      <c r="C43" s="470">
        <v>73270.422067245483</v>
      </c>
      <c r="D43" s="471">
        <v>39288.741147085871</v>
      </c>
      <c r="G43" s="3"/>
      <c r="H43" s="3"/>
      <c r="I43" s="201"/>
      <c r="J43" s="3"/>
      <c r="K43" s="20"/>
      <c r="N43"/>
      <c r="O43"/>
      <c r="AE43" s="20"/>
      <c r="AF43" s="36"/>
    </row>
    <row r="44" spans="1:35">
      <c r="A44" s="3"/>
      <c r="B44" s="394" t="s">
        <v>447</v>
      </c>
      <c r="C44" s="470">
        <v>0</v>
      </c>
      <c r="D44" s="471">
        <v>4261.7998282773588</v>
      </c>
      <c r="G44" s="3"/>
      <c r="H44" s="3"/>
      <c r="I44" s="201"/>
      <c r="J44" s="3"/>
      <c r="K44" s="20"/>
      <c r="N44"/>
      <c r="O44"/>
      <c r="AE44" s="20"/>
      <c r="AF44" s="36"/>
    </row>
    <row r="45" spans="1:35" ht="30.75" thickBot="1">
      <c r="A45" s="3"/>
      <c r="B45" s="394" t="s">
        <v>448</v>
      </c>
      <c r="C45" s="470">
        <v>0</v>
      </c>
      <c r="D45" s="471">
        <v>0</v>
      </c>
      <c r="G45" s="15"/>
      <c r="H45" s="15"/>
      <c r="I45" s="201"/>
      <c r="J45" s="15"/>
      <c r="K45" s="20"/>
      <c r="N45"/>
      <c r="O45"/>
      <c r="AE45" s="36"/>
      <c r="AF45" s="36"/>
    </row>
    <row r="46" spans="1:35" ht="15.75" thickBot="1">
      <c r="A46" s="3"/>
      <c r="B46" s="395" t="s">
        <v>58</v>
      </c>
      <c r="C46" s="472">
        <f>SUM(C39:C45)</f>
        <v>717729.52771723317</v>
      </c>
      <c r="D46" s="472">
        <f>SUM(D39:D45)</f>
        <v>425946.66867925448</v>
      </c>
      <c r="E46" s="291"/>
      <c r="F46" s="682" t="str">
        <f ca="1">+IF((ROUND(C46,0)=ROUND(OFFSET(B33,0,RIGHT('Data Entry'!$C$16,LEN('Data Entry'!$C$16)-1),1,1),0)),"OK: Data match","Warning: Data does not match")</f>
        <v>OK: Data match</v>
      </c>
      <c r="G46" s="683"/>
      <c r="H46" s="683"/>
      <c r="I46" s="684"/>
      <c r="J46" s="201"/>
      <c r="K46" s="201"/>
      <c r="L46" s="201"/>
      <c r="M46" s="210"/>
      <c r="N46" s="211"/>
      <c r="O46" s="209"/>
      <c r="P46" s="207"/>
      <c r="AE46" s="36"/>
      <c r="AF46" s="36"/>
    </row>
    <row r="47" spans="1:35">
      <c r="A47" s="3"/>
      <c r="B47" s="3"/>
      <c r="C47" s="201"/>
      <c r="D47" s="201"/>
      <c r="E47" s="274"/>
      <c r="F47" s="201"/>
      <c r="G47" s="201"/>
      <c r="H47" s="201"/>
      <c r="I47" s="201"/>
      <c r="J47" s="201"/>
      <c r="K47" s="201"/>
      <c r="L47" s="201"/>
      <c r="M47" s="201"/>
      <c r="N47" s="201"/>
      <c r="O47" s="201"/>
      <c r="P47" s="210"/>
      <c r="Q47" s="211"/>
      <c r="R47" s="209"/>
      <c r="S47" s="207"/>
    </row>
    <row r="48" spans="1:35" ht="18.75">
      <c r="A48" s="3"/>
      <c r="B48" s="90" t="s">
        <v>376</v>
      </c>
      <c r="C48" s="3"/>
      <c r="D48" s="3"/>
      <c r="E48" s="3"/>
      <c r="F48" s="3"/>
      <c r="G48" s="3"/>
      <c r="H48" s="3"/>
      <c r="I48" s="3"/>
      <c r="J48" s="3"/>
      <c r="K48" s="3"/>
      <c r="L48" s="3"/>
      <c r="M48" s="3"/>
      <c r="P48" s="207"/>
      <c r="Q48" s="208"/>
      <c r="R48" s="209">
        <f>+J33</f>
        <v>6729830.128631847</v>
      </c>
      <c r="S48" s="207"/>
    </row>
    <row r="49" spans="1:35" ht="15.75" thickBot="1">
      <c r="A49" s="3"/>
      <c r="B49" s="3"/>
      <c r="C49" s="3"/>
      <c r="D49" s="3"/>
      <c r="E49" s="3"/>
      <c r="F49" s="201"/>
      <c r="G49" s="3"/>
      <c r="H49" s="3"/>
      <c r="I49" s="3"/>
      <c r="J49" s="3"/>
      <c r="K49" s="3"/>
      <c r="L49" s="3"/>
      <c r="M49" s="3"/>
      <c r="P49" s="207"/>
      <c r="Q49" s="208"/>
      <c r="R49" s="209">
        <f>+K33</f>
        <v>7368154.0151762124</v>
      </c>
      <c r="S49" s="207"/>
    </row>
    <row r="50" spans="1:35" ht="35.25" customHeight="1">
      <c r="A50" s="3"/>
      <c r="B50" s="296"/>
      <c r="C50" s="297" t="s">
        <v>374</v>
      </c>
      <c r="D50" s="297" t="s">
        <v>375</v>
      </c>
      <c r="E50" s="403" t="str">
        <f>CONCATENATE("Total Spent and Disbursement (in ",D26,")")</f>
        <v>Total Spent and Disbursement (in $)</v>
      </c>
      <c r="F50" s="3"/>
      <c r="G50" s="300"/>
      <c r="H50" s="293"/>
      <c r="I50" s="280"/>
      <c r="J50" s="280"/>
      <c r="K50" s="280"/>
      <c r="L50" s="280"/>
      <c r="M50" s="22"/>
      <c r="N50" s="22"/>
      <c r="O50" s="207"/>
      <c r="P50" s="208"/>
      <c r="Q50" s="209">
        <f>+M33</f>
        <v>8668327.6254981533</v>
      </c>
      <c r="R50" s="207"/>
      <c r="AH50" s="20"/>
    </row>
    <row r="51" spans="1:35">
      <c r="A51" s="3"/>
      <c r="B51" s="294" t="s">
        <v>310</v>
      </c>
      <c r="C51" s="383">
        <v>0</v>
      </c>
      <c r="D51" s="384">
        <f>C32</f>
        <v>695428.56</v>
      </c>
      <c r="E51" s="385">
        <f>+D51+C51</f>
        <v>695428.56</v>
      </c>
      <c r="F51" s="3"/>
      <c r="G51" s="97"/>
      <c r="H51" s="298"/>
      <c r="I51" s="96"/>
      <c r="J51" s="204"/>
      <c r="K51" s="205"/>
      <c r="L51" s="98"/>
      <c r="M51" s="37"/>
      <c r="N51" s="37"/>
      <c r="O51" s="207"/>
      <c r="P51" s="207"/>
      <c r="Q51" s="207"/>
      <c r="R51" s="207"/>
      <c r="AH51" s="20"/>
    </row>
    <row r="52" spans="1:35">
      <c r="A52" s="3"/>
      <c r="B52" s="294" t="s">
        <v>289</v>
      </c>
      <c r="C52" s="384">
        <v>0</v>
      </c>
      <c r="D52" s="384">
        <v>359460.73743882385</v>
      </c>
      <c r="E52" s="385">
        <f>+D52+C52</f>
        <v>359460.73743882385</v>
      </c>
      <c r="F52" s="3"/>
      <c r="G52" s="256"/>
      <c r="H52" s="298"/>
      <c r="I52" s="96"/>
      <c r="J52" s="204"/>
      <c r="K52" s="204"/>
      <c r="L52" s="98"/>
      <c r="M52" s="38"/>
      <c r="N52" s="38"/>
      <c r="O52" s="207"/>
      <c r="P52" s="207"/>
      <c r="Q52" s="207"/>
      <c r="R52" s="207"/>
      <c r="AH52" s="20"/>
    </row>
    <row r="53" spans="1:35">
      <c r="A53" s="3"/>
      <c r="B53" s="294" t="s">
        <v>449</v>
      </c>
      <c r="C53" s="383">
        <v>0</v>
      </c>
      <c r="D53" s="384">
        <v>66485.931240430698</v>
      </c>
      <c r="E53" s="385">
        <f>+D53+C53</f>
        <v>66485.931240430698</v>
      </c>
      <c r="F53" s="201"/>
      <c r="G53" s="97"/>
      <c r="H53" s="298"/>
      <c r="I53" s="96"/>
      <c r="J53" s="204"/>
      <c r="K53" s="205"/>
      <c r="L53" s="98"/>
      <c r="M53" s="37"/>
      <c r="N53" s="37"/>
      <c r="O53"/>
      <c r="AH53" s="20"/>
    </row>
    <row r="54" spans="1:35" ht="15.75" thickBot="1">
      <c r="A54" s="3"/>
      <c r="B54" s="295" t="s">
        <v>269</v>
      </c>
      <c r="C54" s="383">
        <v>0</v>
      </c>
      <c r="D54" s="384">
        <v>100347</v>
      </c>
      <c r="E54" s="386">
        <f>+D54+C54</f>
        <v>100347</v>
      </c>
      <c r="F54" s="3"/>
      <c r="G54" s="257"/>
      <c r="H54" s="299"/>
      <c r="I54" s="99"/>
      <c r="J54" s="99"/>
      <c r="K54" s="99"/>
      <c r="L54" s="98"/>
      <c r="M54" s="38"/>
      <c r="N54" s="38"/>
      <c r="O54"/>
      <c r="AH54" s="20"/>
    </row>
    <row r="55" spans="1:35" ht="15.75" customHeight="1">
      <c r="A55" s="3"/>
      <c r="B55" s="3"/>
      <c r="C55" s="3"/>
      <c r="D55" s="3"/>
      <c r="E55" s="3"/>
      <c r="F55" s="3"/>
      <c r="G55" s="3"/>
      <c r="H55" s="3"/>
      <c r="I55" s="3"/>
      <c r="J55" s="3"/>
      <c r="K55" s="3"/>
      <c r="L55" s="3"/>
      <c r="M55" s="3"/>
      <c r="AI55" s="20"/>
    </row>
    <row r="56" spans="1:35">
      <c r="A56" s="3"/>
      <c r="B56" s="3"/>
      <c r="C56" s="3"/>
      <c r="D56" s="278"/>
      <c r="E56" s="3"/>
      <c r="F56" s="3"/>
      <c r="G56" s="3"/>
      <c r="H56" s="3"/>
      <c r="I56" s="3"/>
      <c r="J56" s="3"/>
      <c r="K56" s="3"/>
      <c r="L56" s="3"/>
      <c r="M56" s="3"/>
    </row>
    <row r="57" spans="1:35" ht="18.75">
      <c r="A57" s="3"/>
      <c r="B57" s="90" t="s">
        <v>379</v>
      </c>
      <c r="C57" s="3"/>
      <c r="D57" s="3"/>
      <c r="E57" s="3"/>
      <c r="F57" s="3"/>
      <c r="G57" s="3"/>
      <c r="H57" s="3"/>
      <c r="I57" s="3"/>
      <c r="J57" s="3"/>
      <c r="K57" s="3"/>
      <c r="L57" s="3"/>
      <c r="M57" s="3"/>
    </row>
    <row r="58" spans="1:35" ht="15.75" thickBot="1">
      <c r="A58" s="3"/>
      <c r="B58" s="3"/>
      <c r="C58" s="3"/>
      <c r="D58" s="3"/>
      <c r="E58" s="3"/>
      <c r="F58" s="3"/>
      <c r="G58" s="3"/>
      <c r="H58" s="3"/>
      <c r="I58" s="3"/>
      <c r="J58" s="3"/>
      <c r="K58" s="3"/>
      <c r="L58" s="3"/>
      <c r="M58" s="3"/>
    </row>
    <row r="59" spans="1:35">
      <c r="A59" s="3"/>
      <c r="B59" s="750" t="s">
        <v>345</v>
      </c>
      <c r="C59" s="751"/>
      <c r="D59" s="752"/>
      <c r="E59" s="3"/>
      <c r="F59" s="3"/>
      <c r="G59" s="3"/>
      <c r="H59" s="3"/>
      <c r="I59" s="3"/>
      <c r="J59" s="3"/>
      <c r="K59" s="3"/>
      <c r="L59" s="3"/>
      <c r="M59" s="36"/>
      <c r="O59"/>
    </row>
    <row r="60" spans="1:35">
      <c r="A60" s="3"/>
      <c r="B60" s="103"/>
      <c r="C60" s="302" t="s">
        <v>60</v>
      </c>
      <c r="D60" s="303" t="s">
        <v>61</v>
      </c>
      <c r="E60" s="3"/>
      <c r="F60" s="3"/>
      <c r="G60" s="3"/>
      <c r="H60" s="3"/>
      <c r="I60" s="3"/>
      <c r="J60" s="3"/>
      <c r="K60" s="3"/>
      <c r="L60" s="3"/>
      <c r="M60" s="36"/>
      <c r="O60"/>
    </row>
    <row r="61" spans="1:35">
      <c r="A61" s="3"/>
      <c r="B61" s="104" t="s">
        <v>1</v>
      </c>
      <c r="C61" s="364" t="s">
        <v>435</v>
      </c>
      <c r="D61" s="364" t="s">
        <v>435</v>
      </c>
      <c r="E61" s="3"/>
      <c r="F61" s="3"/>
      <c r="G61" s="3"/>
      <c r="H61" s="3"/>
      <c r="I61" s="3"/>
      <c r="J61" s="3"/>
      <c r="K61" s="3"/>
      <c r="L61" s="3"/>
      <c r="M61" s="36"/>
      <c r="O61"/>
    </row>
    <row r="62" spans="1:35">
      <c r="A62" s="3"/>
      <c r="B62" s="301" t="s">
        <v>362</v>
      </c>
      <c r="C62" s="364">
        <v>45</v>
      </c>
      <c r="D62" s="365" t="s">
        <v>435</v>
      </c>
      <c r="E62" s="3"/>
      <c r="F62" s="3"/>
      <c r="G62" s="3"/>
      <c r="H62" s="298"/>
      <c r="I62" s="298"/>
      <c r="J62" s="3"/>
      <c r="K62" s="3"/>
      <c r="L62" s="3"/>
      <c r="M62" s="36"/>
      <c r="O62"/>
    </row>
    <row r="63" spans="1:35" ht="15.75" thickBot="1">
      <c r="A63" s="3"/>
      <c r="B63" s="105" t="s">
        <v>363</v>
      </c>
      <c r="C63" s="366">
        <v>5</v>
      </c>
      <c r="D63" s="367">
        <v>5</v>
      </c>
      <c r="E63" s="3"/>
      <c r="F63" s="3"/>
      <c r="G63" s="3"/>
      <c r="H63" s="298"/>
      <c r="I63" s="298"/>
      <c r="J63" s="3"/>
      <c r="K63" s="3"/>
      <c r="L63" s="3"/>
      <c r="M63" s="36"/>
      <c r="O63"/>
    </row>
    <row r="64" spans="1:35">
      <c r="A64" s="3"/>
      <c r="B64" s="3"/>
      <c r="C64" s="3"/>
      <c r="D64" s="3"/>
      <c r="E64" s="3"/>
      <c r="F64" s="3"/>
      <c r="G64" s="3"/>
      <c r="H64" s="3"/>
      <c r="I64" s="3"/>
      <c r="J64" s="3"/>
      <c r="K64" s="3"/>
      <c r="L64" s="3"/>
      <c r="M64" s="3"/>
    </row>
    <row r="65" spans="1:30" ht="15.75" thickBot="1">
      <c r="A65" s="3"/>
      <c r="B65" s="3"/>
      <c r="C65" s="3"/>
      <c r="D65" s="3"/>
      <c r="E65" s="3"/>
      <c r="F65" s="3"/>
      <c r="G65" s="3"/>
      <c r="H65" s="3"/>
      <c r="I65" s="3"/>
      <c r="J65" s="3"/>
      <c r="K65" s="3"/>
      <c r="L65" s="399"/>
      <c r="M65" s="3"/>
      <c r="AC65" s="19"/>
      <c r="AD65" s="19"/>
    </row>
    <row r="66" spans="1:30" ht="19.5" thickBot="1">
      <c r="A66" s="3"/>
      <c r="B66" s="106" t="s">
        <v>263</v>
      </c>
      <c r="C66" s="107"/>
      <c r="D66" s="107"/>
      <c r="E66" s="107"/>
      <c r="F66" s="107"/>
      <c r="G66" s="107"/>
      <c r="H66" s="325" t="s">
        <v>303</v>
      </c>
      <c r="I66" s="107"/>
      <c r="J66" s="108"/>
      <c r="K66" s="108"/>
      <c r="L66" s="400"/>
      <c r="M66" s="401"/>
      <c r="N66" s="84"/>
      <c r="O66" s="84"/>
      <c r="P66" s="84"/>
      <c r="S66" s="44"/>
      <c r="AC66" s="19"/>
      <c r="AD66" s="19"/>
    </row>
    <row r="67" spans="1:30" ht="18.75">
      <c r="A67" s="3"/>
      <c r="B67" s="110"/>
      <c r="C67" s="109"/>
      <c r="D67" s="109"/>
      <c r="E67" s="109"/>
      <c r="F67" s="109"/>
      <c r="G67" s="109"/>
      <c r="H67" s="109"/>
      <c r="I67" s="109"/>
      <c r="J67" s="109"/>
      <c r="K67" s="111"/>
      <c r="L67" s="111"/>
      <c r="M67" s="109"/>
      <c r="N67" s="84"/>
      <c r="O67" s="84"/>
      <c r="P67" s="84"/>
      <c r="S67" s="44"/>
      <c r="AC67" s="19"/>
      <c r="AD67" s="19"/>
    </row>
    <row r="68" spans="1:30" ht="18.75" hidden="1">
      <c r="A68" s="3"/>
      <c r="B68" s="110" t="s">
        <v>380</v>
      </c>
      <c r="C68" s="109"/>
      <c r="D68" s="109"/>
      <c r="E68" s="109"/>
      <c r="F68" s="109"/>
      <c r="G68" s="109"/>
      <c r="H68" s="109"/>
      <c r="I68" s="109"/>
      <c r="J68" s="109"/>
      <c r="K68" s="111"/>
      <c r="L68" s="111"/>
      <c r="M68" s="109"/>
      <c r="N68" s="84"/>
      <c r="O68" s="84"/>
      <c r="P68" s="84"/>
      <c r="S68" s="44"/>
      <c r="AC68" s="19"/>
      <c r="AD68" s="19"/>
    </row>
    <row r="69" spans="1:30" ht="15.75" hidden="1" thickBot="1">
      <c r="A69" s="3"/>
      <c r="B69" s="2"/>
      <c r="C69" s="112"/>
      <c r="D69" s="112"/>
      <c r="E69" s="112"/>
      <c r="F69" s="112"/>
      <c r="G69" s="112"/>
      <c r="H69" s="2"/>
      <c r="I69" s="112"/>
      <c r="J69" s="2"/>
      <c r="K69" s="2"/>
      <c r="L69" s="2"/>
      <c r="M69" s="2"/>
      <c r="N69" s="20"/>
      <c r="O69" s="19"/>
      <c r="P69" s="19"/>
      <c r="Q69" s="19"/>
      <c r="R69" s="19"/>
      <c r="S69" s="19"/>
      <c r="AD69" s="19"/>
    </row>
    <row r="70" spans="1:30" ht="30" hidden="1">
      <c r="A70" s="3"/>
      <c r="B70" s="696"/>
      <c r="C70" s="697"/>
      <c r="D70" s="114" t="s">
        <v>117</v>
      </c>
      <c r="E70" s="115" t="s">
        <v>295</v>
      </c>
      <c r="F70" s="115" t="s">
        <v>118</v>
      </c>
      <c r="G70" s="116" t="s">
        <v>58</v>
      </c>
      <c r="H70" s="311"/>
      <c r="I70" s="312"/>
      <c r="J70" s="15"/>
      <c r="K70" s="2"/>
      <c r="L70" s="2"/>
      <c r="M70" s="2"/>
      <c r="N70" s="20"/>
      <c r="O70" s="19"/>
      <c r="P70" s="19"/>
      <c r="Q70" s="19"/>
      <c r="R70" s="19"/>
      <c r="S70" s="19"/>
    </row>
    <row r="71" spans="1:30" hidden="1">
      <c r="A71" s="3"/>
      <c r="B71" s="736" t="s">
        <v>438</v>
      </c>
      <c r="C71" s="737"/>
      <c r="D71" s="259"/>
      <c r="E71" s="259"/>
      <c r="F71" s="259"/>
      <c r="G71" s="117">
        <f>SUM(D71:F71)</f>
        <v>0</v>
      </c>
      <c r="H71" s="292"/>
      <c r="I71" s="310"/>
      <c r="J71" s="310"/>
      <c r="K71" s="2"/>
      <c r="L71" s="2"/>
      <c r="M71" s="2"/>
      <c r="N71" s="20"/>
      <c r="O71" s="19"/>
      <c r="P71" s="19"/>
      <c r="Q71" s="19"/>
      <c r="R71" s="19"/>
      <c r="S71" s="19"/>
    </row>
    <row r="72" spans="1:30" ht="15.75" hidden="1" thickBot="1">
      <c r="A72" s="3"/>
      <c r="B72" s="688"/>
      <c r="C72" s="689"/>
      <c r="D72" s="260"/>
      <c r="E72" s="260"/>
      <c r="F72" s="260"/>
      <c r="G72" s="118"/>
      <c r="H72" s="292"/>
      <c r="I72" s="15"/>
      <c r="J72" s="15"/>
      <c r="K72" s="2"/>
      <c r="L72" s="2"/>
      <c r="M72" s="2"/>
      <c r="N72" s="19"/>
      <c r="O72" s="19"/>
      <c r="P72" s="19"/>
      <c r="Q72" s="19"/>
      <c r="R72" s="19"/>
      <c r="S72" s="19"/>
    </row>
    <row r="73" spans="1:30">
      <c r="A73" s="3"/>
      <c r="B73" s="2"/>
      <c r="C73" s="2"/>
      <c r="D73" s="2"/>
      <c r="E73" s="2"/>
      <c r="F73" s="2"/>
      <c r="G73" s="2"/>
      <c r="H73" s="2"/>
      <c r="I73" s="2"/>
      <c r="J73" s="2"/>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S74" s="19"/>
    </row>
    <row r="75" spans="1:30" ht="18.75">
      <c r="A75" s="3"/>
      <c r="B75" s="110" t="s">
        <v>381</v>
      </c>
      <c r="C75" s="2"/>
      <c r="D75" s="2"/>
      <c r="E75" s="2"/>
      <c r="F75" s="2"/>
      <c r="G75" s="2"/>
      <c r="H75" s="2"/>
      <c r="I75" s="2"/>
      <c r="J75" s="2"/>
      <c r="K75" s="2"/>
      <c r="L75" s="2"/>
      <c r="M75" s="2"/>
      <c r="N75" s="19"/>
      <c r="O75" s="19"/>
      <c r="P75" s="19"/>
      <c r="S75" s="19"/>
    </row>
    <row r="76" spans="1:30" ht="15.75" thickBot="1">
      <c r="A76" s="3"/>
      <c r="B76" s="2"/>
      <c r="C76" s="2"/>
      <c r="D76" s="2"/>
      <c r="E76" s="2"/>
      <c r="F76" s="2"/>
      <c r="G76" s="2"/>
      <c r="H76" s="2"/>
      <c r="I76" s="2"/>
      <c r="J76" s="2"/>
      <c r="K76" s="2"/>
      <c r="L76" s="2"/>
      <c r="M76" s="2"/>
      <c r="N76" s="19"/>
      <c r="O76" s="19"/>
      <c r="P76" s="19"/>
      <c r="S76" s="19"/>
    </row>
    <row r="77" spans="1:30">
      <c r="A77" s="3"/>
      <c r="B77" s="119"/>
      <c r="C77" s="113" t="s">
        <v>63</v>
      </c>
      <c r="D77" s="113" t="s">
        <v>81</v>
      </c>
      <c r="E77" s="120" t="s">
        <v>64</v>
      </c>
      <c r="F77" s="15"/>
      <c r="G77" s="15"/>
      <c r="H77" s="15"/>
      <c r="I77" s="312"/>
      <c r="J77" s="2"/>
      <c r="K77" s="2"/>
      <c r="L77" s="2"/>
      <c r="M77" s="2"/>
      <c r="N77" s="19"/>
      <c r="O77" s="19"/>
      <c r="P77" s="19"/>
      <c r="S77" s="19"/>
    </row>
    <row r="78" spans="1:30" ht="15.75" thickBot="1">
      <c r="A78" s="3"/>
      <c r="B78" s="473" t="s">
        <v>311</v>
      </c>
      <c r="C78" s="357">
        <v>17</v>
      </c>
      <c r="D78" s="357">
        <v>17</v>
      </c>
      <c r="E78" s="358">
        <f>+C78-D78</f>
        <v>0</v>
      </c>
      <c r="F78" s="267"/>
      <c r="G78" s="275"/>
      <c r="H78" s="15"/>
      <c r="I78" s="310"/>
      <c r="J78" s="2"/>
      <c r="K78" s="2"/>
      <c r="L78" s="2"/>
      <c r="M78" s="2"/>
      <c r="N78" s="19"/>
      <c r="O78" s="19"/>
      <c r="P78" s="19"/>
      <c r="S78" s="19"/>
    </row>
    <row r="79" spans="1:30">
      <c r="A79" s="3"/>
      <c r="B79" s="2"/>
      <c r="C79" s="2"/>
      <c r="D79" s="2"/>
      <c r="E79" s="2"/>
      <c r="F79" s="2"/>
      <c r="G79" s="2"/>
      <c r="H79" s="2"/>
      <c r="I79" s="2"/>
      <c r="J79" s="2"/>
      <c r="K79" s="2"/>
      <c r="L79" s="2"/>
      <c r="M79" s="2"/>
      <c r="N79" s="19"/>
      <c r="O79" s="19"/>
      <c r="P79" s="19"/>
      <c r="S79" s="19"/>
    </row>
    <row r="80" spans="1:30" ht="18.75">
      <c r="A80" s="3"/>
      <c r="B80" s="110" t="s">
        <v>386</v>
      </c>
      <c r="C80" s="2"/>
      <c r="D80" s="2"/>
      <c r="E80" s="2"/>
      <c r="F80" s="2"/>
      <c r="G80" s="2"/>
      <c r="H80" s="2"/>
      <c r="I80" s="2"/>
      <c r="J80" s="15"/>
      <c r="K80" s="15"/>
      <c r="L80" s="2"/>
      <c r="M80" s="2"/>
      <c r="N80" s="19"/>
      <c r="O80" s="19"/>
      <c r="P80" s="19"/>
      <c r="S80" s="19"/>
    </row>
    <row r="81" spans="1:36" ht="15.75" thickBot="1">
      <c r="A81" s="3"/>
      <c r="B81" s="2"/>
      <c r="C81" s="2"/>
      <c r="D81" s="2"/>
      <c r="E81" s="2"/>
      <c r="F81" s="2"/>
      <c r="G81" s="2"/>
      <c r="H81" s="518"/>
      <c r="I81" s="518"/>
      <c r="J81" s="519"/>
      <c r="K81" s="519"/>
      <c r="L81" s="518"/>
      <c r="M81" s="518"/>
      <c r="N81" s="520"/>
      <c r="O81" s="19"/>
      <c r="P81" s="19"/>
      <c r="S81" s="19"/>
    </row>
    <row r="82" spans="1:36" ht="30">
      <c r="A82" s="3"/>
      <c r="B82" s="119"/>
      <c r="C82" s="113" t="s">
        <v>290</v>
      </c>
      <c r="D82" s="113" t="s">
        <v>67</v>
      </c>
      <c r="E82" s="113" t="s">
        <v>82</v>
      </c>
      <c r="F82" s="113" t="s">
        <v>68</v>
      </c>
      <c r="G82" s="149" t="s">
        <v>119</v>
      </c>
      <c r="H82" s="521"/>
      <c r="I82" s="522"/>
      <c r="J82" s="523"/>
      <c r="K82" s="523"/>
      <c r="L82" s="524"/>
      <c r="M82" s="524"/>
      <c r="N82" s="525"/>
      <c r="O82" s="19"/>
      <c r="P82" s="19"/>
      <c r="S82" s="19"/>
    </row>
    <row r="83" spans="1:36" ht="15.75" thickBot="1">
      <c r="A83" s="3"/>
      <c r="B83" s="473" t="s">
        <v>127</v>
      </c>
      <c r="C83" s="357">
        <v>6</v>
      </c>
      <c r="D83" s="357">
        <v>6</v>
      </c>
      <c r="E83" s="357">
        <v>6</v>
      </c>
      <c r="F83" s="357">
        <v>6</v>
      </c>
      <c r="G83" s="359">
        <v>6</v>
      </c>
      <c r="H83" s="526"/>
      <c r="I83" s="527"/>
      <c r="J83" s="523"/>
      <c r="K83" s="524"/>
      <c r="L83" s="524"/>
      <c r="M83" s="523"/>
      <c r="N83" s="523"/>
      <c r="O83" s="19"/>
      <c r="P83" s="19"/>
      <c r="S83" s="19"/>
    </row>
    <row r="84" spans="1:36">
      <c r="A84" s="3"/>
      <c r="B84" s="2"/>
      <c r="C84" s="2"/>
      <c r="D84" s="2"/>
      <c r="E84" s="2"/>
      <c r="F84" s="2"/>
      <c r="G84" s="2"/>
      <c r="H84" s="2"/>
      <c r="I84" s="15"/>
      <c r="J84" s="15"/>
      <c r="K84" s="2"/>
      <c r="L84" s="2"/>
      <c r="M84" s="2"/>
      <c r="N84" s="19"/>
      <c r="O84" s="19"/>
      <c r="P84" s="19"/>
      <c r="S84" s="19"/>
    </row>
    <row r="85" spans="1:36" ht="18.75">
      <c r="A85" s="3"/>
      <c r="B85" s="110" t="s">
        <v>382</v>
      </c>
      <c r="C85" s="2"/>
      <c r="D85" s="2"/>
      <c r="E85" s="2"/>
      <c r="F85" s="2"/>
      <c r="G85" s="2"/>
      <c r="H85" s="2"/>
      <c r="I85" s="15"/>
      <c r="J85" s="2"/>
      <c r="K85" s="2"/>
      <c r="L85" s="2"/>
      <c r="M85" s="2"/>
      <c r="N85" s="19"/>
      <c r="O85" s="19"/>
      <c r="P85" s="19"/>
      <c r="S85" s="19"/>
    </row>
    <row r="86" spans="1:36" ht="15.75" thickBot="1">
      <c r="A86" s="3"/>
      <c r="B86" s="2"/>
      <c r="C86" s="2"/>
      <c r="D86" s="2"/>
      <c r="E86" s="2"/>
      <c r="F86" s="2"/>
      <c r="G86" s="2"/>
      <c r="H86" s="2"/>
      <c r="I86" s="2"/>
      <c r="J86" s="2"/>
      <c r="K86" s="2"/>
      <c r="L86" s="2"/>
      <c r="M86" s="2"/>
      <c r="N86" s="19"/>
      <c r="O86" s="19"/>
      <c r="P86" s="19"/>
      <c r="S86" s="19"/>
    </row>
    <row r="87" spans="1:36">
      <c r="A87" s="3"/>
      <c r="B87" s="119"/>
      <c r="C87" s="121" t="s">
        <v>65</v>
      </c>
      <c r="D87" s="121" t="s">
        <v>66</v>
      </c>
      <c r="E87" s="122" t="s">
        <v>287</v>
      </c>
      <c r="F87" s="2"/>
      <c r="G87" s="2"/>
      <c r="H87" s="2"/>
      <c r="I87" s="2"/>
      <c r="J87" s="19"/>
      <c r="K87" s="19"/>
      <c r="L87" s="19"/>
      <c r="N87"/>
      <c r="O87" s="19"/>
      <c r="AG87" s="36"/>
      <c r="AJ87"/>
    </row>
    <row r="88" spans="1:36">
      <c r="A88" s="3"/>
      <c r="B88" s="474" t="s">
        <v>387</v>
      </c>
      <c r="C88" s="259">
        <v>165</v>
      </c>
      <c r="D88" s="261">
        <v>165</v>
      </c>
      <c r="E88" s="313">
        <f>C88-D88</f>
        <v>0</v>
      </c>
      <c r="F88" s="2"/>
      <c r="G88" s="2"/>
      <c r="H88" s="2"/>
      <c r="I88" s="2"/>
      <c r="J88" s="19"/>
      <c r="K88" s="19"/>
      <c r="L88" s="19"/>
      <c r="N88"/>
      <c r="O88" s="19"/>
      <c r="AG88" s="36"/>
      <c r="AJ88"/>
    </row>
    <row r="89" spans="1:36" ht="15.75" thickBot="1">
      <c r="A89" s="3"/>
      <c r="B89" s="475" t="s">
        <v>388</v>
      </c>
      <c r="C89" s="483">
        <v>21</v>
      </c>
      <c r="D89" s="484">
        <v>21</v>
      </c>
      <c r="E89" s="485">
        <f>C89-D89</f>
        <v>0</v>
      </c>
      <c r="F89" s="2"/>
      <c r="G89" s="2"/>
      <c r="H89" s="2"/>
      <c r="I89" s="2"/>
      <c r="J89" s="19"/>
      <c r="K89" s="19"/>
      <c r="L89" s="19"/>
      <c r="N89"/>
      <c r="O89" s="19"/>
      <c r="AG89" s="36"/>
      <c r="AJ89"/>
    </row>
    <row r="90" spans="1:36">
      <c r="A90" s="3"/>
      <c r="B90" s="2"/>
      <c r="C90" s="2"/>
      <c r="D90" s="2"/>
      <c r="E90" s="2"/>
      <c r="F90" s="2"/>
      <c r="G90" s="2"/>
      <c r="H90" s="2"/>
      <c r="I90" s="2"/>
      <c r="J90" s="2"/>
      <c r="K90" s="2"/>
      <c r="L90" s="2"/>
      <c r="M90" s="2"/>
      <c r="N90" s="19"/>
      <c r="O90" s="19"/>
      <c r="P90" s="19"/>
      <c r="S90" s="19"/>
    </row>
    <row r="91" spans="1:36" ht="18.75">
      <c r="A91" s="3"/>
      <c r="B91" s="110" t="s">
        <v>389</v>
      </c>
      <c r="C91" s="2"/>
      <c r="D91" s="2"/>
      <c r="E91" s="2"/>
      <c r="F91" s="2"/>
      <c r="G91" s="2"/>
      <c r="H91" s="2"/>
      <c r="I91" s="2"/>
      <c r="J91" s="2"/>
      <c r="K91" s="2"/>
      <c r="L91" s="2"/>
      <c r="M91" s="2"/>
      <c r="N91" s="19"/>
      <c r="O91" s="19"/>
      <c r="P91" s="19"/>
      <c r="S91" s="19"/>
    </row>
    <row r="92" spans="1:36" ht="15.75" thickBot="1">
      <c r="A92" s="3"/>
      <c r="B92" s="2"/>
      <c r="C92" s="2"/>
      <c r="D92" s="2"/>
      <c r="E92" s="2"/>
      <c r="F92" s="2"/>
      <c r="G92" s="2"/>
      <c r="H92" s="2"/>
      <c r="I92" s="15"/>
      <c r="J92" s="15"/>
      <c r="K92" s="15"/>
      <c r="L92" s="15"/>
      <c r="M92" s="15"/>
      <c r="N92" s="20"/>
      <c r="O92" s="20"/>
      <c r="P92" s="20"/>
      <c r="S92" s="19"/>
    </row>
    <row r="93" spans="1:36">
      <c r="A93" s="3"/>
      <c r="B93" s="219"/>
      <c r="C93" s="371" t="s">
        <v>105</v>
      </c>
      <c r="D93" s="371" t="s">
        <v>106</v>
      </c>
      <c r="E93" s="371" t="s">
        <v>107</v>
      </c>
      <c r="F93" s="371" t="s">
        <v>108</v>
      </c>
      <c r="G93" s="371" t="s">
        <v>120</v>
      </c>
      <c r="H93" s="371" t="s">
        <v>121</v>
      </c>
      <c r="I93" s="371" t="s">
        <v>122</v>
      </c>
      <c r="J93" s="371" t="s">
        <v>123</v>
      </c>
      <c r="K93" s="371" t="s">
        <v>124</v>
      </c>
      <c r="L93" s="371" t="s">
        <v>125</v>
      </c>
      <c r="M93" s="371" t="s">
        <v>126</v>
      </c>
      <c r="N93" s="372" t="s">
        <v>286</v>
      </c>
      <c r="O93" s="20"/>
      <c r="P93" s="20"/>
      <c r="S93" s="19"/>
    </row>
    <row r="94" spans="1:36" ht="15" customHeight="1">
      <c r="A94" s="3"/>
      <c r="B94" s="373" t="s">
        <v>366</v>
      </c>
      <c r="C94" s="360">
        <v>2103.213242453749</v>
      </c>
      <c r="D94" s="360">
        <v>192318.92243069134</v>
      </c>
      <c r="E94" s="360">
        <v>934.76144109055519</v>
      </c>
      <c r="F94" s="360">
        <v>233731.88520054528</v>
      </c>
      <c r="G94" s="360">
        <v>352347.92621665046</v>
      </c>
      <c r="H94" s="360">
        <v>467.3807205452776</v>
      </c>
      <c r="I94" s="360">
        <v>56884.099499999997</v>
      </c>
      <c r="J94" s="360">
        <v>596874.53764362214</v>
      </c>
      <c r="K94" s="360">
        <v>0</v>
      </c>
      <c r="L94" s="360">
        <v>944.8</v>
      </c>
      <c r="M94" s="360">
        <v>271139.69750000001</v>
      </c>
      <c r="N94" s="435">
        <v>169971.12</v>
      </c>
      <c r="O94" s="20"/>
      <c r="P94" s="20"/>
      <c r="S94" s="19"/>
    </row>
    <row r="95" spans="1:36" ht="15" customHeight="1">
      <c r="A95" s="3"/>
      <c r="B95" s="373" t="s">
        <v>364</v>
      </c>
      <c r="C95" s="360">
        <f>221242/2.9552</f>
        <v>74865.322144017322</v>
      </c>
      <c r="D95" s="360"/>
      <c r="E95" s="360"/>
      <c r="F95" s="360"/>
      <c r="G95" s="360"/>
      <c r="H95" s="360"/>
      <c r="I95" s="360"/>
      <c r="J95" s="360"/>
      <c r="K95" s="360"/>
      <c r="L95" s="360"/>
      <c r="M95" s="360"/>
      <c r="N95" s="435"/>
      <c r="O95" s="20"/>
      <c r="P95" s="20"/>
      <c r="S95" s="19"/>
    </row>
    <row r="96" spans="1:36" ht="15" customHeight="1">
      <c r="A96" s="3"/>
      <c r="B96" s="373" t="s">
        <v>312</v>
      </c>
      <c r="C96" s="360">
        <v>11777</v>
      </c>
      <c r="D96" s="360"/>
      <c r="E96" s="360"/>
      <c r="F96" s="360"/>
      <c r="G96" s="360"/>
      <c r="H96" s="360"/>
      <c r="I96" s="360"/>
      <c r="J96" s="360"/>
      <c r="K96" s="360"/>
      <c r="L96" s="360"/>
      <c r="M96" s="360"/>
      <c r="N96" s="435"/>
      <c r="O96" s="20"/>
      <c r="P96" s="20"/>
      <c r="S96" s="19"/>
    </row>
    <row r="97" spans="1:19" ht="15" customHeight="1">
      <c r="A97" s="3"/>
      <c r="B97" s="315" t="s">
        <v>408</v>
      </c>
      <c r="C97" s="361">
        <f>+C94</f>
        <v>2103.213242453749</v>
      </c>
      <c r="D97" s="361">
        <f>+C97+D94</f>
        <v>194422.13567314509</v>
      </c>
      <c r="E97" s="361">
        <f t="shared" ref="E97:N97" si="3">+D97+E94</f>
        <v>195356.89711423565</v>
      </c>
      <c r="F97" s="361">
        <f t="shared" si="3"/>
        <v>429088.78231478092</v>
      </c>
      <c r="G97" s="361">
        <f t="shared" si="3"/>
        <v>781436.70853143139</v>
      </c>
      <c r="H97" s="361">
        <f t="shared" si="3"/>
        <v>781904.08925197669</v>
      </c>
      <c r="I97" s="361">
        <f t="shared" si="3"/>
        <v>838788.1887519767</v>
      </c>
      <c r="J97" s="361">
        <f t="shared" si="3"/>
        <v>1435662.7263955988</v>
      </c>
      <c r="K97" s="361">
        <f t="shared" si="3"/>
        <v>1435662.7263955988</v>
      </c>
      <c r="L97" s="361">
        <f t="shared" si="3"/>
        <v>1436607.5263955989</v>
      </c>
      <c r="M97" s="361">
        <f t="shared" si="3"/>
        <v>1707747.2238955989</v>
      </c>
      <c r="N97" s="361">
        <f t="shared" si="3"/>
        <v>1877718.3438955988</v>
      </c>
      <c r="O97" s="20"/>
      <c r="P97" s="20"/>
      <c r="S97" s="19"/>
    </row>
    <row r="98" spans="1:19" ht="15" customHeight="1">
      <c r="A98" s="3"/>
      <c r="B98" s="315" t="s">
        <v>5</v>
      </c>
      <c r="C98" s="361">
        <f>+C95</f>
        <v>74865.322144017322</v>
      </c>
      <c r="D98" s="361">
        <f>+C98+D95</f>
        <v>74865.322144017322</v>
      </c>
      <c r="E98" s="361">
        <f t="shared" ref="E98:N98" si="4">+D98+E95</f>
        <v>74865.322144017322</v>
      </c>
      <c r="F98" s="361">
        <f t="shared" si="4"/>
        <v>74865.322144017322</v>
      </c>
      <c r="G98" s="361">
        <f t="shared" si="4"/>
        <v>74865.322144017322</v>
      </c>
      <c r="H98" s="361">
        <f t="shared" si="4"/>
        <v>74865.322144017322</v>
      </c>
      <c r="I98" s="361">
        <f t="shared" si="4"/>
        <v>74865.322144017322</v>
      </c>
      <c r="J98" s="361">
        <f t="shared" si="4"/>
        <v>74865.322144017322</v>
      </c>
      <c r="K98" s="361">
        <f t="shared" si="4"/>
        <v>74865.322144017322</v>
      </c>
      <c r="L98" s="361">
        <f t="shared" si="4"/>
        <v>74865.322144017322</v>
      </c>
      <c r="M98" s="361">
        <f t="shared" si="4"/>
        <v>74865.322144017322</v>
      </c>
      <c r="N98" s="361">
        <f t="shared" si="4"/>
        <v>74865.322144017322</v>
      </c>
      <c r="O98" s="20"/>
      <c r="P98" s="20"/>
      <c r="S98" s="19"/>
    </row>
    <row r="99" spans="1:19" ht="15.75" thickBot="1">
      <c r="A99" s="3"/>
      <c r="B99" s="432" t="s">
        <v>6</v>
      </c>
      <c r="C99" s="433">
        <f>+C96</f>
        <v>11777</v>
      </c>
      <c r="D99" s="434">
        <f>+C99+D96</f>
        <v>11777</v>
      </c>
      <c r="E99" s="434">
        <f t="shared" ref="E99:N99" si="5">+D99+E96</f>
        <v>11777</v>
      </c>
      <c r="F99" s="434">
        <f t="shared" si="5"/>
        <v>11777</v>
      </c>
      <c r="G99" s="434">
        <f t="shared" si="5"/>
        <v>11777</v>
      </c>
      <c r="H99" s="434">
        <f t="shared" si="5"/>
        <v>11777</v>
      </c>
      <c r="I99" s="434">
        <f t="shared" si="5"/>
        <v>11777</v>
      </c>
      <c r="J99" s="434">
        <f t="shared" si="5"/>
        <v>11777</v>
      </c>
      <c r="K99" s="434">
        <f t="shared" si="5"/>
        <v>11777</v>
      </c>
      <c r="L99" s="434">
        <f t="shared" si="5"/>
        <v>11777</v>
      </c>
      <c r="M99" s="434">
        <f t="shared" si="5"/>
        <v>11777</v>
      </c>
      <c r="N99" s="434">
        <f t="shared" si="5"/>
        <v>11777</v>
      </c>
      <c r="O99" s="20"/>
      <c r="P99" s="20"/>
      <c r="S99" s="19"/>
    </row>
    <row r="100" spans="1:19">
      <c r="A100" s="3"/>
      <c r="B100" s="3"/>
      <c r="C100" s="2"/>
      <c r="D100" s="2"/>
      <c r="E100" s="2"/>
      <c r="F100" s="2"/>
      <c r="G100" s="2"/>
      <c r="H100" s="2"/>
      <c r="I100" s="15"/>
      <c r="J100" s="123"/>
      <c r="K100" s="124"/>
      <c r="L100" s="15"/>
      <c r="M100" s="125"/>
      <c r="N100" s="20"/>
      <c r="O100" s="20"/>
      <c r="P100" s="20"/>
      <c r="S100" s="19"/>
    </row>
    <row r="101" spans="1:19">
      <c r="A101" s="3"/>
      <c r="B101" s="2" t="s">
        <v>402</v>
      </c>
      <c r="C101" s="2"/>
      <c r="D101" s="2"/>
      <c r="E101" s="2"/>
      <c r="F101" s="2"/>
      <c r="G101" s="2"/>
      <c r="H101" s="2"/>
      <c r="I101" s="15"/>
      <c r="J101" s="123"/>
      <c r="K101" s="124"/>
      <c r="L101" s="15"/>
      <c r="M101" s="125"/>
      <c r="N101" s="20"/>
      <c r="O101" s="20"/>
      <c r="P101" s="20"/>
      <c r="S101" s="19"/>
    </row>
    <row r="102" spans="1:19">
      <c r="A102" s="3"/>
      <c r="C102" s="2"/>
      <c r="D102" s="2"/>
      <c r="E102" s="2"/>
      <c r="F102" s="2"/>
      <c r="G102" s="2"/>
      <c r="H102" s="2"/>
      <c r="I102" s="15"/>
      <c r="J102" s="123"/>
      <c r="K102" s="125"/>
      <c r="L102" s="15"/>
      <c r="M102" s="125"/>
      <c r="N102" s="20"/>
      <c r="O102" s="20"/>
      <c r="P102" s="20"/>
      <c r="S102" s="19"/>
    </row>
    <row r="103" spans="1:19">
      <c r="A103" s="3"/>
      <c r="B103" s="3"/>
      <c r="C103" s="3"/>
      <c r="D103" s="3"/>
      <c r="E103" s="3"/>
      <c r="F103" s="3"/>
      <c r="G103" s="3"/>
      <c r="H103" s="3"/>
      <c r="I103" s="15"/>
      <c r="J103" s="15"/>
      <c r="K103" s="15"/>
      <c r="L103" s="15"/>
      <c r="M103" s="15"/>
      <c r="N103" s="20"/>
      <c r="O103" s="20"/>
      <c r="P103" s="20"/>
    </row>
    <row r="104" spans="1:19" ht="18.75">
      <c r="A104" s="3"/>
      <c r="B104" s="110" t="s">
        <v>383</v>
      </c>
      <c r="C104" s="3"/>
      <c r="D104" s="3"/>
      <c r="E104" s="3"/>
      <c r="F104" s="3"/>
      <c r="G104" s="3"/>
      <c r="H104" s="3"/>
      <c r="I104" s="15"/>
      <c r="J104" s="15"/>
      <c r="K104" s="15"/>
      <c r="L104" s="15"/>
      <c r="M104" s="15"/>
      <c r="N104" s="20"/>
      <c r="O104" s="20"/>
      <c r="P104" s="20"/>
    </row>
    <row r="105" spans="1:19" ht="15.75" thickBot="1">
      <c r="A105" s="3"/>
      <c r="B105" s="3"/>
      <c r="C105" s="15"/>
      <c r="D105" s="15"/>
      <c r="E105" s="15"/>
      <c r="F105" s="15"/>
      <c r="G105" s="2"/>
      <c r="H105" s="2"/>
      <c r="I105" s="2"/>
      <c r="J105" s="15"/>
      <c r="K105" s="2"/>
      <c r="L105" s="15"/>
      <c r="M105" s="15"/>
      <c r="N105" s="20"/>
      <c r="O105" s="20"/>
      <c r="P105" s="20"/>
      <c r="Q105" s="19"/>
      <c r="S105" s="20"/>
    </row>
    <row r="106" spans="1:19" ht="90.75" customHeight="1">
      <c r="A106" s="3"/>
      <c r="B106" s="316" t="s">
        <v>32</v>
      </c>
      <c r="C106" s="317" t="s">
        <v>79</v>
      </c>
      <c r="D106" s="319" t="s">
        <v>416</v>
      </c>
      <c r="E106" s="319" t="s">
        <v>335</v>
      </c>
      <c r="F106" s="318" t="s">
        <v>336</v>
      </c>
      <c r="G106" s="318" t="s">
        <v>337</v>
      </c>
      <c r="H106" s="319" t="s">
        <v>338</v>
      </c>
      <c r="I106" s="319" t="s">
        <v>339</v>
      </c>
      <c r="J106" s="319" t="s">
        <v>340</v>
      </c>
      <c r="K106" s="320" t="s">
        <v>341</v>
      </c>
      <c r="L106" s="2"/>
      <c r="M106" s="20"/>
      <c r="N106" s="20"/>
      <c r="O106" s="20"/>
      <c r="P106" s="19"/>
      <c r="R106" s="20"/>
    </row>
    <row r="107" spans="1:19">
      <c r="A107" s="3"/>
      <c r="B107" s="700" t="s">
        <v>371</v>
      </c>
      <c r="C107" s="506" t="s">
        <v>414</v>
      </c>
      <c r="D107" s="506">
        <v>2</v>
      </c>
      <c r="E107" s="445">
        <f>IF(ISBLANK(D107),"",D107*30)</f>
        <v>60</v>
      </c>
      <c r="F107" s="508">
        <v>679</v>
      </c>
      <c r="G107" s="445">
        <f>IF(AND(E107&gt;0,F107&gt;0),(F107*E107),"")</f>
        <v>40740</v>
      </c>
      <c r="H107" s="510">
        <v>412980</v>
      </c>
      <c r="I107" s="516">
        <f>IF(AND(G107&gt;0,H107&gt;0),H107/G107,"")</f>
        <v>10.136966126656848</v>
      </c>
      <c r="J107" s="510">
        <v>6</v>
      </c>
      <c r="K107" s="446">
        <f>IF(AND(I107&gt;0,J107&gt;0),I107-J107,"")</f>
        <v>4.1369661266568478</v>
      </c>
      <c r="L107" s="500"/>
      <c r="M107" s="20"/>
      <c r="N107" s="20"/>
      <c r="O107" s="20"/>
      <c r="P107" s="19"/>
      <c r="R107" s="20"/>
    </row>
    <row r="108" spans="1:19">
      <c r="A108" s="3"/>
      <c r="B108" s="701"/>
      <c r="C108" s="506" t="s">
        <v>415</v>
      </c>
      <c r="D108" s="506">
        <v>0.3</v>
      </c>
      <c r="E108" s="445">
        <f>IF(ISBLANK(D108),"",D108*30)</f>
        <v>9</v>
      </c>
      <c r="F108" s="508">
        <v>10000</v>
      </c>
      <c r="G108" s="445">
        <f>IF(AND(E108&gt;0,F108&gt;0),(F108*E108),"")</f>
        <v>90000</v>
      </c>
      <c r="H108" s="510">
        <v>817358</v>
      </c>
      <c r="I108" s="516">
        <f>IF(AND(G108&gt;0,H108&gt;0),H108/G108,"")</f>
        <v>9.0817555555555547</v>
      </c>
      <c r="J108" s="510">
        <v>3</v>
      </c>
      <c r="K108" s="446">
        <f>IF(AND(I108&gt;0,J108&gt;0),I108-J108,"")</f>
        <v>6.0817555555555547</v>
      </c>
      <c r="L108" s="2"/>
      <c r="M108" s="20"/>
      <c r="N108" s="20"/>
      <c r="O108" s="20"/>
      <c r="P108" s="19"/>
    </row>
    <row r="109" spans="1:19">
      <c r="A109" s="3"/>
      <c r="B109" s="701"/>
      <c r="C109" s="506" t="s">
        <v>439</v>
      </c>
      <c r="D109" s="506">
        <v>0.6</v>
      </c>
      <c r="E109" s="445">
        <f>IF(ISBLANK(D109),"",D109*30)</f>
        <v>18</v>
      </c>
      <c r="F109" s="508">
        <v>3710</v>
      </c>
      <c r="G109" s="445">
        <f>IF(AND(E109&gt;0,F109&gt;0),(F109*E109),"")</f>
        <v>66780</v>
      </c>
      <c r="H109" s="510">
        <v>427547</v>
      </c>
      <c r="I109" s="516">
        <f>IF(AND(G109&gt;0,H109&gt;0),H109/G109,"")</f>
        <v>6.4023210542078468</v>
      </c>
      <c r="J109" s="510">
        <v>3</v>
      </c>
      <c r="K109" s="446">
        <f>IF(AND(I109&gt;0,J109&gt;0),I109-J109,"")</f>
        <v>3.4023210542078468</v>
      </c>
      <c r="L109" s="500"/>
      <c r="M109" s="20"/>
      <c r="N109" s="20"/>
      <c r="O109" s="20"/>
      <c r="P109" s="19"/>
      <c r="R109" s="20"/>
    </row>
    <row r="110" spans="1:19" ht="15.75" thickBot="1">
      <c r="A110" s="3"/>
      <c r="B110" s="702"/>
      <c r="C110" s="506" t="s">
        <v>441</v>
      </c>
      <c r="D110" s="507">
        <v>0.18</v>
      </c>
      <c r="E110" s="443">
        <f>IF(ISBLANK(D110),"",D110*30)</f>
        <v>5.3999999999999995</v>
      </c>
      <c r="F110" s="509">
        <v>600</v>
      </c>
      <c r="G110" s="443">
        <f>IF(AND(E110&gt;0,F110&gt;0),(F110*E110),"")</f>
        <v>3239.9999999999995</v>
      </c>
      <c r="H110" s="509">
        <v>21984</v>
      </c>
      <c r="I110" s="517">
        <f>IF(AND(G110&gt;0,H110&gt;0),H110/G110,"")</f>
        <v>6.7851851851851865</v>
      </c>
      <c r="J110" s="510">
        <v>3</v>
      </c>
      <c r="K110" s="444">
        <f>IF(AND(I110&gt;0,J110&gt;0),I110-J110,"")</f>
        <v>3.7851851851851865</v>
      </c>
      <c r="L110" s="2"/>
      <c r="M110" s="20"/>
      <c r="N110" s="20"/>
      <c r="O110" s="20"/>
      <c r="P110" s="19"/>
      <c r="R110" s="20"/>
    </row>
    <row r="111" spans="1:19">
      <c r="A111" s="3"/>
      <c r="B111" s="3"/>
      <c r="C111" s="3"/>
      <c r="D111" s="3"/>
      <c r="E111" s="441"/>
      <c r="F111" s="442"/>
      <c r="G111" s="440"/>
      <c r="H111" s="2"/>
      <c r="I111" s="2"/>
      <c r="J111" s="3"/>
      <c r="K111" s="3"/>
      <c r="L111" s="2"/>
      <c r="M111" s="2"/>
      <c r="N111" s="20"/>
      <c r="O111" s="20"/>
      <c r="P111" s="20"/>
      <c r="Q111" s="19"/>
      <c r="S111" s="20"/>
    </row>
    <row r="112" spans="1:19" ht="15.75" thickBot="1">
      <c r="A112" s="3"/>
      <c r="B112" s="3"/>
      <c r="C112" s="3"/>
      <c r="D112" s="3"/>
      <c r="E112" s="3"/>
      <c r="F112" s="3"/>
      <c r="G112" s="201"/>
      <c r="H112" s="3"/>
      <c r="I112" s="2"/>
      <c r="J112" s="109"/>
      <c r="K112" s="109"/>
      <c r="L112" s="3"/>
      <c r="M112" s="3"/>
    </row>
    <row r="113" spans="1:20" ht="19.5" thickBot="1">
      <c r="A113" s="3"/>
      <c r="B113" s="239" t="s">
        <v>390</v>
      </c>
      <c r="C113" s="126"/>
      <c r="D113" s="126"/>
      <c r="E113" s="127"/>
      <c r="F113" s="127"/>
      <c r="G113" s="127"/>
      <c r="H113" s="254"/>
      <c r="I113" s="240"/>
      <c r="J113" s="338"/>
      <c r="K113" s="339" t="s">
        <v>369</v>
      </c>
      <c r="L113" s="127"/>
      <c r="M113" s="340"/>
      <c r="N113" s="341"/>
      <c r="O113" s="341"/>
      <c r="P113" s="398"/>
      <c r="Q113" s="36"/>
    </row>
    <row r="114" spans="1:20" ht="15.75" thickBot="1">
      <c r="A114" s="3"/>
      <c r="B114" s="3"/>
      <c r="C114" s="3"/>
      <c r="D114" s="3"/>
      <c r="E114" s="3"/>
      <c r="F114" s="3"/>
      <c r="G114" s="3"/>
      <c r="H114" s="3"/>
      <c r="I114" s="3"/>
      <c r="J114" s="3"/>
      <c r="K114" s="3"/>
      <c r="L114" s="3"/>
      <c r="M114" s="3"/>
      <c r="N114" s="3"/>
      <c r="O114" s="3"/>
      <c r="P114" s="515"/>
      <c r="Q114" s="36"/>
    </row>
    <row r="115" spans="1:20" ht="21.75" customHeight="1">
      <c r="A115" s="3"/>
      <c r="B115" s="690" t="s">
        <v>396</v>
      </c>
      <c r="C115" s="691"/>
      <c r="D115" s="692"/>
      <c r="E115" s="324" t="s">
        <v>326</v>
      </c>
      <c r="F115" s="281" t="s">
        <v>343</v>
      </c>
      <c r="G115" s="244"/>
      <c r="H115" s="387" t="s">
        <v>105</v>
      </c>
      <c r="I115" s="387" t="s">
        <v>106</v>
      </c>
      <c r="J115" s="387" t="s">
        <v>107</v>
      </c>
      <c r="K115" s="387" t="s">
        <v>108</v>
      </c>
      <c r="L115" s="387" t="s">
        <v>120</v>
      </c>
      <c r="M115" s="387" t="s">
        <v>121</v>
      </c>
      <c r="N115" s="387" t="s">
        <v>122</v>
      </c>
      <c r="O115" s="387" t="s">
        <v>123</v>
      </c>
      <c r="P115" s="387" t="s">
        <v>124</v>
      </c>
      <c r="Q115" s="387" t="s">
        <v>125</v>
      </c>
      <c r="R115" s="387" t="s">
        <v>126</v>
      </c>
      <c r="S115" s="388" t="s">
        <v>286</v>
      </c>
      <c r="T115" s="64"/>
    </row>
    <row r="116" spans="1:20" ht="21.75" customHeight="1">
      <c r="A116" s="3"/>
      <c r="B116" s="463"/>
      <c r="C116" s="464"/>
      <c r="D116" s="464"/>
      <c r="E116" s="465"/>
      <c r="F116" s="466"/>
      <c r="G116" s="467"/>
      <c r="H116" s="468"/>
      <c r="I116" s="468"/>
      <c r="J116" s="468"/>
      <c r="K116" s="468"/>
      <c r="L116" s="468"/>
      <c r="M116" s="468"/>
      <c r="N116" s="468"/>
      <c r="O116" s="468"/>
      <c r="P116" s="468"/>
      <c r="Q116" s="468"/>
      <c r="R116" s="468"/>
      <c r="S116" s="469"/>
      <c r="T116" s="64"/>
    </row>
    <row r="117" spans="1:20" ht="15" customHeight="1">
      <c r="A117" s="740" t="s">
        <v>373</v>
      </c>
      <c r="B117" s="744" t="s">
        <v>421</v>
      </c>
      <c r="C117" s="745"/>
      <c r="D117" s="746"/>
      <c r="E117" s="668" t="s">
        <v>422</v>
      </c>
      <c r="F117" s="679" t="s">
        <v>114</v>
      </c>
      <c r="G117" s="245" t="s">
        <v>85</v>
      </c>
      <c r="H117" s="449">
        <f>34125*3/4</f>
        <v>25593.75</v>
      </c>
      <c r="I117" s="449"/>
      <c r="J117" s="479"/>
      <c r="K117" s="493"/>
      <c r="L117" s="493"/>
      <c r="M117" s="493"/>
      <c r="N117" s="495"/>
      <c r="O117" s="495"/>
      <c r="P117" s="493"/>
      <c r="Q117" s="130"/>
      <c r="R117" s="130"/>
      <c r="S117" s="131"/>
      <c r="T117" s="64"/>
    </row>
    <row r="118" spans="1:20" ht="15" customHeight="1">
      <c r="A118" s="740"/>
      <c r="B118" s="747"/>
      <c r="C118" s="748"/>
      <c r="D118" s="749"/>
      <c r="E118" s="669"/>
      <c r="F118" s="679"/>
      <c r="G118" s="245" t="s">
        <v>86</v>
      </c>
      <c r="H118" s="458">
        <v>23876</v>
      </c>
      <c r="I118" s="449"/>
      <c r="J118" s="130"/>
      <c r="K118" s="276"/>
      <c r="L118" s="130"/>
      <c r="M118" s="130"/>
      <c r="N118" s="130"/>
      <c r="O118" s="276"/>
      <c r="P118" s="511"/>
      <c r="Q118" s="130"/>
      <c r="R118" s="130"/>
      <c r="S118" s="131"/>
      <c r="T118" s="64"/>
    </row>
    <row r="119" spans="1:20" ht="15" customHeight="1">
      <c r="A119" s="740"/>
      <c r="B119" s="753" t="s">
        <v>423</v>
      </c>
      <c r="C119" s="754"/>
      <c r="D119" s="755"/>
      <c r="E119" s="656" t="s">
        <v>424</v>
      </c>
      <c r="F119" s="680" t="s">
        <v>114</v>
      </c>
      <c r="G119" s="420" t="s">
        <v>85</v>
      </c>
      <c r="H119" s="451">
        <f>8325*3/4</f>
        <v>6243.75</v>
      </c>
      <c r="I119" s="451"/>
      <c r="J119" s="480"/>
      <c r="K119" s="494"/>
      <c r="L119" s="494"/>
      <c r="M119" s="494"/>
      <c r="N119" s="501"/>
      <c r="O119" s="501"/>
      <c r="P119" s="494"/>
      <c r="Q119" s="241"/>
      <c r="R119" s="241"/>
      <c r="S119" s="321"/>
      <c r="T119" s="64"/>
    </row>
    <row r="120" spans="1:20" ht="15" customHeight="1">
      <c r="A120" s="740"/>
      <c r="B120" s="756"/>
      <c r="C120" s="754"/>
      <c r="D120" s="755"/>
      <c r="E120" s="652"/>
      <c r="F120" s="681"/>
      <c r="G120" s="420" t="s">
        <v>86</v>
      </c>
      <c r="H120" s="459">
        <f>4910+1762</f>
        <v>6672</v>
      </c>
      <c r="I120" s="452"/>
      <c r="J120" s="322"/>
      <c r="K120" s="323"/>
      <c r="L120" s="322"/>
      <c r="M120" s="322"/>
      <c r="N120" s="322"/>
      <c r="O120" s="323"/>
      <c r="P120" s="512"/>
      <c r="Q120" s="241"/>
      <c r="R120" s="241"/>
      <c r="S120" s="321"/>
      <c r="T120" s="64"/>
    </row>
    <row r="121" spans="1:20" ht="15" customHeight="1">
      <c r="A121" s="740"/>
      <c r="B121" s="757" t="s">
        <v>433</v>
      </c>
      <c r="C121" s="748"/>
      <c r="D121" s="749"/>
      <c r="E121" s="668" t="s">
        <v>434</v>
      </c>
      <c r="F121" s="694" t="s">
        <v>114</v>
      </c>
      <c r="G121" s="245" t="s">
        <v>85</v>
      </c>
      <c r="H121" s="449">
        <v>5500</v>
      </c>
      <c r="I121" s="449"/>
      <c r="J121" s="130"/>
      <c r="K121" s="495"/>
      <c r="L121" s="495"/>
      <c r="M121" s="495"/>
      <c r="N121" s="495"/>
      <c r="O121" s="495"/>
      <c r="P121" s="493"/>
      <c r="Q121" s="130"/>
      <c r="R121" s="130"/>
      <c r="S121" s="131"/>
      <c r="T121" s="64"/>
    </row>
    <row r="122" spans="1:20" ht="15" customHeight="1">
      <c r="A122" s="740"/>
      <c r="B122" s="747"/>
      <c r="C122" s="748"/>
      <c r="D122" s="749"/>
      <c r="E122" s="669"/>
      <c r="F122" s="695"/>
      <c r="G122" s="245" t="s">
        <v>86</v>
      </c>
      <c r="H122" s="458">
        <v>4381</v>
      </c>
      <c r="I122" s="450"/>
      <c r="J122" s="130"/>
      <c r="K122" s="130"/>
      <c r="L122" s="130"/>
      <c r="M122" s="130"/>
      <c r="N122" s="130"/>
      <c r="O122" s="276"/>
      <c r="P122" s="511"/>
      <c r="Q122" s="130"/>
      <c r="R122" s="130"/>
      <c r="S122" s="131"/>
      <c r="T122" s="64"/>
    </row>
    <row r="123" spans="1:20" ht="15" customHeight="1">
      <c r="A123" s="3"/>
      <c r="B123" s="642" t="s">
        <v>419</v>
      </c>
      <c r="C123" s="643"/>
      <c r="D123" s="644"/>
      <c r="E123" s="656" t="s">
        <v>420</v>
      </c>
      <c r="F123" s="703" t="s">
        <v>114</v>
      </c>
      <c r="G123" s="420" t="s">
        <v>85</v>
      </c>
      <c r="H123" s="448">
        <f>36750*3/4</f>
        <v>27562.5</v>
      </c>
      <c r="I123" s="448"/>
      <c r="J123" s="480"/>
      <c r="K123" s="494"/>
      <c r="L123" s="494"/>
      <c r="M123" s="494"/>
      <c r="N123" s="501"/>
      <c r="O123" s="501"/>
      <c r="P123" s="494"/>
      <c r="Q123" s="241"/>
      <c r="R123" s="241"/>
      <c r="S123" s="321"/>
      <c r="T123" s="64"/>
    </row>
    <row r="124" spans="1:20" ht="15" customHeight="1">
      <c r="A124" s="3"/>
      <c r="B124" s="645"/>
      <c r="C124" s="646"/>
      <c r="D124" s="647"/>
      <c r="E124" s="652"/>
      <c r="F124" s="681"/>
      <c r="G124" s="420" t="s">
        <v>86</v>
      </c>
      <c r="H124" s="461">
        <v>30440</v>
      </c>
      <c r="I124" s="452"/>
      <c r="J124" s="241"/>
      <c r="K124" s="277"/>
      <c r="L124" s="241"/>
      <c r="M124" s="241"/>
      <c r="N124" s="241"/>
      <c r="O124" s="277"/>
      <c r="P124" s="512"/>
      <c r="Q124" s="241"/>
      <c r="R124" s="241"/>
      <c r="S124" s="321"/>
      <c r="T124" s="64"/>
    </row>
    <row r="125" spans="1:20" ht="15" customHeight="1">
      <c r="A125" s="3"/>
      <c r="B125" s="670" t="s">
        <v>425</v>
      </c>
      <c r="C125" s="671"/>
      <c r="D125" s="672"/>
      <c r="E125" s="668" t="s">
        <v>426</v>
      </c>
      <c r="F125" s="694" t="s">
        <v>114</v>
      </c>
      <c r="G125" s="421" t="s">
        <v>85</v>
      </c>
      <c r="H125" s="453">
        <f>5550*3/4</f>
        <v>4162.5</v>
      </c>
      <c r="I125" s="453"/>
      <c r="J125" s="481"/>
      <c r="K125" s="496"/>
      <c r="L125" s="496"/>
      <c r="M125" s="496"/>
      <c r="N125" s="502"/>
      <c r="O125" s="502"/>
      <c r="P125" s="496"/>
      <c r="Q125" s="422"/>
      <c r="R125" s="422"/>
      <c r="S125" s="424"/>
      <c r="T125" s="64"/>
    </row>
    <row r="126" spans="1:20" ht="15" customHeight="1">
      <c r="A126" s="3"/>
      <c r="B126" s="673"/>
      <c r="C126" s="674"/>
      <c r="D126" s="675"/>
      <c r="E126" s="669"/>
      <c r="F126" s="695"/>
      <c r="G126" s="421" t="s">
        <v>86</v>
      </c>
      <c r="H126" s="462">
        <f>2313+1857</f>
        <v>4170</v>
      </c>
      <c r="I126" s="453"/>
      <c r="J126" s="422"/>
      <c r="K126" s="423"/>
      <c r="L126" s="422"/>
      <c r="M126" s="422"/>
      <c r="N126" s="422"/>
      <c r="O126" s="423"/>
      <c r="P126" s="513"/>
      <c r="Q126" s="422"/>
      <c r="R126" s="422"/>
      <c r="S126" s="424"/>
      <c r="T126" s="64"/>
    </row>
    <row r="127" spans="1:20" ht="15" customHeight="1">
      <c r="A127" s="3"/>
      <c r="B127" s="642" t="s">
        <v>427</v>
      </c>
      <c r="C127" s="643"/>
      <c r="D127" s="644"/>
      <c r="E127" s="656" t="s">
        <v>428</v>
      </c>
      <c r="F127" s="703" t="s">
        <v>114</v>
      </c>
      <c r="G127" s="420" t="s">
        <v>85</v>
      </c>
      <c r="H127" s="448">
        <f>3900*3/4</f>
        <v>2925</v>
      </c>
      <c r="I127" s="448"/>
      <c r="J127" s="482"/>
      <c r="K127" s="497"/>
      <c r="L127" s="497"/>
      <c r="M127" s="497"/>
      <c r="N127" s="503"/>
      <c r="O127" s="503"/>
      <c r="P127" s="497"/>
      <c r="Q127" s="322"/>
      <c r="R127" s="322"/>
      <c r="S127" s="425"/>
      <c r="T127" s="64"/>
    </row>
    <row r="128" spans="1:20" ht="15" customHeight="1">
      <c r="A128" s="3"/>
      <c r="B128" s="645"/>
      <c r="C128" s="646"/>
      <c r="D128" s="647"/>
      <c r="E128" s="652"/>
      <c r="F128" s="681"/>
      <c r="G128" s="420" t="s">
        <v>86</v>
      </c>
      <c r="H128" s="461">
        <v>3824</v>
      </c>
      <c r="I128" s="452"/>
      <c r="J128" s="241"/>
      <c r="K128" s="277"/>
      <c r="L128" s="241"/>
      <c r="M128" s="241"/>
      <c r="N128" s="241"/>
      <c r="O128" s="277"/>
      <c r="P128" s="514"/>
      <c r="Q128" s="322"/>
      <c r="R128" s="322"/>
      <c r="S128" s="425"/>
      <c r="T128" s="64"/>
    </row>
    <row r="129" spans="1:21" ht="15" customHeight="1">
      <c r="A129" s="3"/>
      <c r="B129" s="670" t="s">
        <v>429</v>
      </c>
      <c r="C129" s="671"/>
      <c r="D129" s="672"/>
      <c r="E129" s="668" t="s">
        <v>430</v>
      </c>
      <c r="F129" s="679" t="s">
        <v>114</v>
      </c>
      <c r="G129" s="421" t="s">
        <v>85</v>
      </c>
      <c r="H129" s="453">
        <f>2925*3/4</f>
        <v>2193.75</v>
      </c>
      <c r="I129" s="453"/>
      <c r="J129" s="481"/>
      <c r="K129" s="496"/>
      <c r="L129" s="496"/>
      <c r="M129" s="496"/>
      <c r="N129" s="502"/>
      <c r="O129" s="502"/>
      <c r="P129" s="496"/>
      <c r="Q129" s="422"/>
      <c r="R129" s="422"/>
      <c r="S129" s="424"/>
      <c r="T129" s="64"/>
    </row>
    <row r="130" spans="1:21" ht="15" customHeight="1">
      <c r="A130" s="3"/>
      <c r="B130" s="673"/>
      <c r="C130" s="674"/>
      <c r="D130" s="675"/>
      <c r="E130" s="669"/>
      <c r="F130" s="679"/>
      <c r="G130" s="421" t="s">
        <v>86</v>
      </c>
      <c r="H130" s="462">
        <v>1997</v>
      </c>
      <c r="I130" s="454"/>
      <c r="J130" s="422"/>
      <c r="K130" s="423"/>
      <c r="L130" s="422"/>
      <c r="M130" s="422"/>
      <c r="N130" s="422"/>
      <c r="O130" s="423"/>
      <c r="P130" s="513"/>
      <c r="Q130" s="422"/>
      <c r="R130" s="422"/>
      <c r="S130" s="424"/>
      <c r="T130" s="64"/>
    </row>
    <row r="131" spans="1:21" ht="15" customHeight="1">
      <c r="A131" s="3"/>
      <c r="B131" s="642" t="s">
        <v>431</v>
      </c>
      <c r="C131" s="643"/>
      <c r="D131" s="644"/>
      <c r="E131" s="656" t="s">
        <v>432</v>
      </c>
      <c r="F131" s="654" t="s">
        <v>114</v>
      </c>
      <c r="G131" s="420" t="s">
        <v>85</v>
      </c>
      <c r="H131" s="461">
        <f>4690*3/4</f>
        <v>3517.5</v>
      </c>
      <c r="I131" s="461"/>
      <c r="J131" s="482"/>
      <c r="K131" s="497"/>
      <c r="L131" s="497"/>
      <c r="M131" s="497"/>
      <c r="N131" s="503"/>
      <c r="O131" s="503"/>
      <c r="P131" s="497"/>
      <c r="Q131" s="322"/>
      <c r="R131" s="322"/>
      <c r="S131" s="425"/>
      <c r="T131" s="64"/>
    </row>
    <row r="132" spans="1:21" ht="15" customHeight="1">
      <c r="A132" s="3"/>
      <c r="B132" s="645"/>
      <c r="C132" s="646"/>
      <c r="D132" s="647"/>
      <c r="E132" s="652"/>
      <c r="F132" s="654"/>
      <c r="G132" s="420" t="s">
        <v>86</v>
      </c>
      <c r="H132" s="461">
        <v>3955</v>
      </c>
      <c r="I132" s="447"/>
      <c r="J132" s="322"/>
      <c r="K132" s="322"/>
      <c r="L132" s="322"/>
      <c r="M132" s="322"/>
      <c r="N132" s="322"/>
      <c r="O132" s="323"/>
      <c r="P132" s="514"/>
      <c r="Q132" s="322"/>
      <c r="R132" s="322"/>
      <c r="S132" s="425"/>
      <c r="T132" s="64"/>
    </row>
    <row r="133" spans="1:21" ht="15" hidden="1" customHeight="1">
      <c r="A133" s="3"/>
      <c r="B133" s="713"/>
      <c r="C133" s="714"/>
      <c r="D133" s="715"/>
      <c r="E133" s="650"/>
      <c r="F133" s="651"/>
      <c r="G133" s="421" t="s">
        <v>85</v>
      </c>
      <c r="H133" s="477"/>
      <c r="I133" s="476"/>
      <c r="J133" s="422"/>
      <c r="K133" s="498"/>
      <c r="L133" s="422"/>
      <c r="M133" s="422"/>
      <c r="N133" s="422"/>
      <c r="O133" s="422"/>
      <c r="P133" s="422"/>
      <c r="Q133" s="422"/>
      <c r="R133" s="422"/>
      <c r="S133" s="424"/>
      <c r="T133" s="64"/>
    </row>
    <row r="134" spans="1:21" ht="15" hidden="1" customHeight="1">
      <c r="A134" s="3"/>
      <c r="B134" s="716"/>
      <c r="C134" s="717"/>
      <c r="D134" s="718"/>
      <c r="E134" s="650"/>
      <c r="F134" s="651"/>
      <c r="G134" s="421" t="s">
        <v>86</v>
      </c>
      <c r="H134" s="478"/>
      <c r="I134" s="455"/>
      <c r="J134" s="422"/>
      <c r="K134" s="422"/>
      <c r="L134" s="422"/>
      <c r="M134" s="422"/>
      <c r="N134" s="422"/>
      <c r="O134" s="422"/>
      <c r="P134" s="422"/>
      <c r="Q134" s="422"/>
      <c r="R134" s="422"/>
      <c r="S134" s="424"/>
      <c r="T134" s="64"/>
    </row>
    <row r="135" spans="1:21" ht="15" hidden="1" customHeight="1">
      <c r="A135" s="3"/>
      <c r="B135" s="663"/>
      <c r="C135" s="643"/>
      <c r="D135" s="644"/>
      <c r="E135" s="652"/>
      <c r="F135" s="654"/>
      <c r="G135" s="420" t="s">
        <v>85</v>
      </c>
      <c r="H135" s="448"/>
      <c r="I135" s="447"/>
      <c r="J135" s="322"/>
      <c r="K135" s="322"/>
      <c r="L135" s="322"/>
      <c r="M135" s="322"/>
      <c r="N135" s="322"/>
      <c r="O135" s="322"/>
      <c r="P135" s="322"/>
      <c r="Q135" s="322"/>
      <c r="R135" s="322"/>
      <c r="S135" s="425"/>
      <c r="T135" s="64"/>
    </row>
    <row r="136" spans="1:21" ht="15" hidden="1" customHeight="1" thickBot="1">
      <c r="A136" s="3"/>
      <c r="B136" s="664"/>
      <c r="C136" s="665"/>
      <c r="D136" s="666"/>
      <c r="E136" s="653"/>
      <c r="F136" s="655"/>
      <c r="G136" s="426" t="s">
        <v>86</v>
      </c>
      <c r="H136" s="456"/>
      <c r="I136" s="457"/>
      <c r="J136" s="427"/>
      <c r="K136" s="427"/>
      <c r="L136" s="427"/>
      <c r="M136" s="427"/>
      <c r="N136" s="427"/>
      <c r="O136" s="427"/>
      <c r="P136" s="427"/>
      <c r="Q136" s="427"/>
      <c r="R136" s="427"/>
      <c r="S136" s="428"/>
      <c r="T136" s="64"/>
    </row>
    <row r="137" spans="1:21">
      <c r="A137" s="3"/>
      <c r="B137" s="3"/>
      <c r="C137" s="3"/>
      <c r="D137" s="3"/>
      <c r="E137" s="3"/>
      <c r="F137" s="3"/>
      <c r="G137" s="2"/>
      <c r="H137" s="3"/>
      <c r="I137" s="3"/>
      <c r="J137" s="3"/>
      <c r="K137" s="3"/>
      <c r="L137" s="3"/>
      <c r="M137" s="3"/>
      <c r="N137" s="3"/>
      <c r="O137" s="3"/>
      <c r="R137" s="36"/>
      <c r="S137" s="36"/>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ht="16.5" thickBot="1">
      <c r="A140" s="3"/>
      <c r="B140" s="326"/>
      <c r="C140" s="3"/>
      <c r="D140" s="3"/>
      <c r="E140" s="3"/>
      <c r="F140" s="3"/>
      <c r="G140" s="2"/>
      <c r="H140" s="3"/>
      <c r="I140" s="3"/>
      <c r="J140" s="3"/>
      <c r="K140" s="3"/>
      <c r="L140" s="3"/>
      <c r="M140" s="3"/>
      <c r="N140" s="3"/>
      <c r="O140" s="3"/>
      <c r="R140" s="36"/>
      <c r="S140" s="36"/>
    </row>
    <row r="141" spans="1:21" ht="15.75" thickBot="1">
      <c r="A141" s="3"/>
      <c r="B141" s="3" t="s">
        <v>403</v>
      </c>
      <c r="C141" s="3"/>
      <c r="D141" s="3"/>
      <c r="E141" s="324" t="s">
        <v>326</v>
      </c>
      <c r="F141" s="281" t="s">
        <v>343</v>
      </c>
      <c r="G141" s="244"/>
      <c r="H141" s="387" t="str">
        <f t="shared" ref="H141:S141" si="6">C30</f>
        <v>P1</v>
      </c>
      <c r="I141" s="387" t="str">
        <f t="shared" si="6"/>
        <v>P2</v>
      </c>
      <c r="J141" s="387" t="str">
        <f t="shared" si="6"/>
        <v>P3</v>
      </c>
      <c r="K141" s="387" t="str">
        <f t="shared" si="6"/>
        <v>P4</v>
      </c>
      <c r="L141" s="387" t="str">
        <f t="shared" si="6"/>
        <v>P5</v>
      </c>
      <c r="M141" s="387" t="str">
        <f t="shared" si="6"/>
        <v>P6</v>
      </c>
      <c r="N141" s="387" t="str">
        <f t="shared" si="6"/>
        <v>P7</v>
      </c>
      <c r="O141" s="387" t="str">
        <f t="shared" si="6"/>
        <v>P8</v>
      </c>
      <c r="P141" s="387" t="str">
        <f t="shared" si="6"/>
        <v>P9</v>
      </c>
      <c r="Q141" s="387" t="str">
        <f t="shared" si="6"/>
        <v>P10</v>
      </c>
      <c r="R141" s="387" t="str">
        <f t="shared" si="6"/>
        <v>P11</v>
      </c>
      <c r="S141" s="388" t="str">
        <f t="shared" si="6"/>
        <v>P12</v>
      </c>
      <c r="T141" s="36"/>
      <c r="U141" s="36"/>
    </row>
    <row r="142" spans="1:21">
      <c r="A142" s="3"/>
      <c r="B142" s="704" t="str">
        <f>IF(ISBLANK(B117),"",(B117))</f>
        <v>Percentage of PWID that have received an HIV test during the reporting period and know their results</v>
      </c>
      <c r="C142" s="705"/>
      <c r="D142" s="706"/>
      <c r="E142" s="640" t="str">
        <f>IF(ISBLANK(E117),"",(E117))</f>
        <v>KP-3d</v>
      </c>
      <c r="F142" s="648" t="str">
        <f>IF(ISBLANK(F117),"",(F117))</f>
        <v>Yes</v>
      </c>
      <c r="G142" s="352" t="s">
        <v>85</v>
      </c>
      <c r="H142" s="405">
        <f t="shared" ref="H142:S142" si="7">H117</f>
        <v>25593.75</v>
      </c>
      <c r="I142" s="405">
        <f t="shared" si="7"/>
        <v>0</v>
      </c>
      <c r="J142" s="405">
        <f t="shared" si="7"/>
        <v>0</v>
      </c>
      <c r="K142" s="405">
        <f t="shared" si="7"/>
        <v>0</v>
      </c>
      <c r="L142" s="405">
        <f t="shared" si="7"/>
        <v>0</v>
      </c>
      <c r="M142" s="405">
        <f t="shared" si="7"/>
        <v>0</v>
      </c>
      <c r="N142" s="405">
        <f t="shared" si="7"/>
        <v>0</v>
      </c>
      <c r="O142" s="405">
        <f t="shared" si="7"/>
        <v>0</v>
      </c>
      <c r="P142" s="405">
        <f t="shared" si="7"/>
        <v>0</v>
      </c>
      <c r="Q142" s="405">
        <f t="shared" si="7"/>
        <v>0</v>
      </c>
      <c r="R142" s="405">
        <f t="shared" si="7"/>
        <v>0</v>
      </c>
      <c r="S142" s="436">
        <f t="shared" si="7"/>
        <v>0</v>
      </c>
      <c r="T142" s="36"/>
      <c r="U142" s="36"/>
    </row>
    <row r="143" spans="1:21">
      <c r="A143" s="3"/>
      <c r="B143" s="707"/>
      <c r="C143" s="708"/>
      <c r="D143" s="709"/>
      <c r="E143" s="640"/>
      <c r="F143" s="648"/>
      <c r="G143" s="128" t="s">
        <v>86</v>
      </c>
      <c r="H143" s="405">
        <f t="shared" ref="H143:K147" si="8">H118</f>
        <v>23876</v>
      </c>
      <c r="I143" s="405">
        <f t="shared" si="8"/>
        <v>0</v>
      </c>
      <c r="J143" s="405">
        <f t="shared" si="8"/>
        <v>0</v>
      </c>
      <c r="K143" s="405">
        <f t="shared" si="8"/>
        <v>0</v>
      </c>
      <c r="L143" s="405">
        <f t="shared" ref="L143:S143" si="9">L118</f>
        <v>0</v>
      </c>
      <c r="M143" s="405">
        <f t="shared" si="9"/>
        <v>0</v>
      </c>
      <c r="N143" s="405">
        <f t="shared" si="9"/>
        <v>0</v>
      </c>
      <c r="O143" s="405">
        <f t="shared" si="9"/>
        <v>0</v>
      </c>
      <c r="P143" s="405">
        <f t="shared" si="9"/>
        <v>0</v>
      </c>
      <c r="Q143" s="405">
        <f t="shared" si="9"/>
        <v>0</v>
      </c>
      <c r="R143" s="405">
        <f t="shared" si="9"/>
        <v>0</v>
      </c>
      <c r="S143" s="436">
        <f t="shared" si="9"/>
        <v>0</v>
      </c>
      <c r="T143" s="36"/>
      <c r="U143" s="36"/>
    </row>
    <row r="144" spans="1:21">
      <c r="A144" s="3"/>
      <c r="B144" s="710" t="str">
        <f>IF(ISBLANK(B119),"",(B119))</f>
        <v>Percentage of MSM reached with HIV prevention programs - defined package of services</v>
      </c>
      <c r="C144" s="711"/>
      <c r="D144" s="712"/>
      <c r="E144" s="667" t="str">
        <f>IF(ISBLANK(E119),"",(E119))</f>
        <v>KP-1a</v>
      </c>
      <c r="F144" s="719" t="str">
        <f>IF(ISBLANK(F119),"",(F119))</f>
        <v>Yes</v>
      </c>
      <c r="G144" s="429" t="s">
        <v>85</v>
      </c>
      <c r="H144" s="430">
        <f t="shared" si="8"/>
        <v>6243.75</v>
      </c>
      <c r="I144" s="430">
        <f>I119</f>
        <v>0</v>
      </c>
      <c r="J144" s="430">
        <f t="shared" si="8"/>
        <v>0</v>
      </c>
      <c r="K144" s="430">
        <f>K119</f>
        <v>0</v>
      </c>
      <c r="L144" s="430">
        <f t="shared" ref="L144:S144" si="10">L119</f>
        <v>0</v>
      </c>
      <c r="M144" s="430">
        <f t="shared" si="10"/>
        <v>0</v>
      </c>
      <c r="N144" s="430">
        <f t="shared" si="10"/>
        <v>0</v>
      </c>
      <c r="O144" s="430">
        <f t="shared" si="10"/>
        <v>0</v>
      </c>
      <c r="P144" s="430">
        <f t="shared" si="10"/>
        <v>0</v>
      </c>
      <c r="Q144" s="430">
        <f t="shared" si="10"/>
        <v>0</v>
      </c>
      <c r="R144" s="430">
        <f t="shared" si="10"/>
        <v>0</v>
      </c>
      <c r="S144" s="437">
        <f t="shared" si="10"/>
        <v>0</v>
      </c>
      <c r="T144" s="36"/>
      <c r="U144" s="36"/>
    </row>
    <row r="145" spans="1:21">
      <c r="A145" s="3"/>
      <c r="B145" s="710"/>
      <c r="C145" s="711"/>
      <c r="D145" s="712"/>
      <c r="E145" s="667"/>
      <c r="F145" s="719"/>
      <c r="G145" s="429" t="s">
        <v>86</v>
      </c>
      <c r="H145" s="430">
        <f t="shared" si="8"/>
        <v>6672</v>
      </c>
      <c r="I145" s="430">
        <f t="shared" si="8"/>
        <v>0</v>
      </c>
      <c r="J145" s="430">
        <f t="shared" si="8"/>
        <v>0</v>
      </c>
      <c r="K145" s="430">
        <f t="shared" si="8"/>
        <v>0</v>
      </c>
      <c r="L145" s="430">
        <f t="shared" ref="L145:S145" si="11">L120</f>
        <v>0</v>
      </c>
      <c r="M145" s="430">
        <f t="shared" si="11"/>
        <v>0</v>
      </c>
      <c r="N145" s="430">
        <f t="shared" si="11"/>
        <v>0</v>
      </c>
      <c r="O145" s="430">
        <f t="shared" si="11"/>
        <v>0</v>
      </c>
      <c r="P145" s="430">
        <f t="shared" si="11"/>
        <v>0</v>
      </c>
      <c r="Q145" s="430">
        <f t="shared" si="11"/>
        <v>0</v>
      </c>
      <c r="R145" s="430">
        <f t="shared" si="11"/>
        <v>0</v>
      </c>
      <c r="S145" s="437">
        <f t="shared" si="11"/>
        <v>0</v>
      </c>
      <c r="T145" s="36"/>
      <c r="U145" s="36"/>
    </row>
    <row r="146" spans="1:21">
      <c r="A146" s="3"/>
      <c r="B146" s="657" t="str">
        <f>IF(ISBLANK(B121),"",(B121))</f>
        <v xml:space="preserve">Percentage of people living with HIV currently receiving antiretroviral therapy </v>
      </c>
      <c r="C146" s="658"/>
      <c r="D146" s="659"/>
      <c r="E146" s="640" t="str">
        <f>IF(ISBLANK(E121),"",(E121))</f>
        <v>TCS-1</v>
      </c>
      <c r="F146" s="648" t="str">
        <f>IF(ISBLANK(F121),"",(F121))</f>
        <v>Yes</v>
      </c>
      <c r="G146" s="128" t="s">
        <v>85</v>
      </c>
      <c r="H146" s="405">
        <f t="shared" si="8"/>
        <v>5500</v>
      </c>
      <c r="I146" s="405">
        <f t="shared" si="8"/>
        <v>0</v>
      </c>
      <c r="J146" s="405">
        <f t="shared" si="8"/>
        <v>0</v>
      </c>
      <c r="K146" s="405">
        <f t="shared" si="8"/>
        <v>0</v>
      </c>
      <c r="L146" s="405">
        <f t="shared" ref="L146:S146" si="12">L121</f>
        <v>0</v>
      </c>
      <c r="M146" s="405">
        <f t="shared" si="12"/>
        <v>0</v>
      </c>
      <c r="N146" s="405">
        <f t="shared" si="12"/>
        <v>0</v>
      </c>
      <c r="O146" s="405">
        <f t="shared" si="12"/>
        <v>0</v>
      </c>
      <c r="P146" s="405">
        <f t="shared" si="12"/>
        <v>0</v>
      </c>
      <c r="Q146" s="405">
        <f t="shared" si="12"/>
        <v>0</v>
      </c>
      <c r="R146" s="405">
        <f t="shared" si="12"/>
        <v>0</v>
      </c>
      <c r="S146" s="436">
        <f t="shared" si="12"/>
        <v>0</v>
      </c>
      <c r="T146" s="36"/>
      <c r="U146" s="36"/>
    </row>
    <row r="147" spans="1:21" ht="15.75" thickBot="1">
      <c r="A147" s="3"/>
      <c r="B147" s="660"/>
      <c r="C147" s="661"/>
      <c r="D147" s="662"/>
      <c r="E147" s="641"/>
      <c r="F147" s="649"/>
      <c r="G147" s="129" t="s">
        <v>86</v>
      </c>
      <c r="H147" s="406">
        <f t="shared" si="8"/>
        <v>4381</v>
      </c>
      <c r="I147" s="406">
        <f t="shared" si="8"/>
        <v>0</v>
      </c>
      <c r="J147" s="406">
        <f t="shared" si="8"/>
        <v>0</v>
      </c>
      <c r="K147" s="406">
        <f t="shared" si="8"/>
        <v>0</v>
      </c>
      <c r="L147" s="406">
        <f t="shared" ref="L147:S147" si="13">L122</f>
        <v>0</v>
      </c>
      <c r="M147" s="406">
        <f t="shared" si="13"/>
        <v>0</v>
      </c>
      <c r="N147" s="406">
        <f t="shared" si="13"/>
        <v>0</v>
      </c>
      <c r="O147" s="406">
        <f t="shared" si="13"/>
        <v>0</v>
      </c>
      <c r="P147" s="406">
        <f t="shared" si="13"/>
        <v>0</v>
      </c>
      <c r="Q147" s="406">
        <f t="shared" si="13"/>
        <v>0</v>
      </c>
      <c r="R147" s="406">
        <f t="shared" si="13"/>
        <v>0</v>
      </c>
      <c r="S147" s="438">
        <f t="shared" si="13"/>
        <v>0</v>
      </c>
      <c r="T147" s="36"/>
      <c r="U147" s="36"/>
    </row>
    <row r="148" spans="1:21">
      <c r="A148" s="3"/>
      <c r="B148" s="3"/>
      <c r="C148" s="3"/>
      <c r="D148" s="3"/>
      <c r="E148" s="3"/>
      <c r="F148" s="3"/>
      <c r="G148" s="3"/>
      <c r="H148" s="3"/>
      <c r="I148" s="3"/>
      <c r="J148" s="3"/>
      <c r="K148" s="3"/>
      <c r="L148" s="3"/>
      <c r="M148" s="3"/>
      <c r="N148"/>
      <c r="O148"/>
      <c r="P148" s="36"/>
      <c r="Q148" s="36"/>
      <c r="S148" s="431"/>
    </row>
    <row r="149" spans="1:21">
      <c r="N149"/>
      <c r="O149"/>
      <c r="P149" s="36"/>
      <c r="Q149" s="36"/>
    </row>
    <row r="150" spans="1:21">
      <c r="N150"/>
      <c r="O150"/>
      <c r="P150" s="36"/>
      <c r="Q150" s="36"/>
    </row>
    <row r="151" spans="1:21">
      <c r="N151"/>
      <c r="O151"/>
      <c r="P151" s="36"/>
      <c r="Q151" s="36"/>
    </row>
  </sheetData>
  <mergeCells count="73">
    <mergeCell ref="A117:A122"/>
    <mergeCell ref="B29:N29"/>
    <mergeCell ref="B117:D118"/>
    <mergeCell ref="B59:D59"/>
    <mergeCell ref="F121:F122"/>
    <mergeCell ref="B119:D120"/>
    <mergeCell ref="B121:D122"/>
    <mergeCell ref="C12:D12"/>
    <mergeCell ref="G24:H24"/>
    <mergeCell ref="C6:D6"/>
    <mergeCell ref="E6:F6"/>
    <mergeCell ref="B71:C71"/>
    <mergeCell ref="B18:C18"/>
    <mergeCell ref="D18:F18"/>
    <mergeCell ref="F142:F143"/>
    <mergeCell ref="F144:F145"/>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2:D143"/>
    <mergeCell ref="B144:D145"/>
    <mergeCell ref="B127:D128"/>
    <mergeCell ref="B129:D130"/>
    <mergeCell ref="B131:D132"/>
    <mergeCell ref="B133:D134"/>
    <mergeCell ref="F131:F132"/>
    <mergeCell ref="F125:F126"/>
    <mergeCell ref="B70:C70"/>
    <mergeCell ref="B26:C26"/>
    <mergeCell ref="B107:B110"/>
    <mergeCell ref="F127:F128"/>
    <mergeCell ref="E129:E130"/>
    <mergeCell ref="F129:F130"/>
    <mergeCell ref="F123:F124"/>
    <mergeCell ref="I24:J24"/>
    <mergeCell ref="B21:J21"/>
    <mergeCell ref="B72:C72"/>
    <mergeCell ref="E121:E122"/>
    <mergeCell ref="B115:D115"/>
    <mergeCell ref="D24:E24"/>
    <mergeCell ref="O31:O34"/>
    <mergeCell ref="E117:E118"/>
    <mergeCell ref="F117:F118"/>
    <mergeCell ref="F119:F120"/>
    <mergeCell ref="E119:E120"/>
    <mergeCell ref="F46:I46"/>
    <mergeCell ref="E146:E147"/>
    <mergeCell ref="B123:D124"/>
    <mergeCell ref="F146:F147"/>
    <mergeCell ref="E133:E134"/>
    <mergeCell ref="F133:F134"/>
    <mergeCell ref="E135:E136"/>
    <mergeCell ref="F135:F136"/>
    <mergeCell ref="E142:E143"/>
    <mergeCell ref="E123:E124"/>
    <mergeCell ref="E127:E128"/>
    <mergeCell ref="B146:D147"/>
    <mergeCell ref="B135:D136"/>
    <mergeCell ref="E144:E145"/>
    <mergeCell ref="E125:E126"/>
    <mergeCell ref="B125:D126"/>
    <mergeCell ref="E131:E132"/>
  </mergeCells>
  <phoneticPr fontId="30" type="noConversion"/>
  <conditionalFormatting sqref="B34 B32 C32:D33 E32 E33:N33 C31">
    <cfRule type="expression" dxfId="38" priority="3" stopIfTrue="1">
      <formula>+AND(#REF!&gt;=#REF!,#REF!&lt;=#REF!)</formula>
    </cfRule>
  </conditionalFormatting>
  <conditionalFormatting sqref="C34:N34">
    <cfRule type="expression" dxfId="37" priority="4" stopIfTrue="1">
      <formula>+AND(#REF!&gt;=#REF!,#REF!&lt;=#REF!)</formula>
    </cfRule>
  </conditionalFormatting>
  <conditionalFormatting sqref="C30:N30 C93:N93">
    <cfRule type="cellIs" dxfId="36" priority="7" stopIfTrue="1" operator="equal">
      <formula>$C$16</formula>
    </cfRule>
  </conditionalFormatting>
  <conditionalFormatting sqref="C12:D12">
    <cfRule type="cellIs" dxfId="35" priority="9" stopIfTrue="1" operator="equal">
      <formula>"C"</formula>
    </cfRule>
    <cfRule type="cellIs" dxfId="34" priority="10" stopIfTrue="1" operator="equal">
      <formula>"B2"</formula>
    </cfRule>
    <cfRule type="cellIs" dxfId="33" priority="11" stopIfTrue="1" operator="equal">
      <formula>"B1"</formula>
    </cfRule>
  </conditionalFormatting>
  <conditionalFormatting sqref="H115:S116 H141:S141">
    <cfRule type="cellIs" dxfId="32" priority="18" stopIfTrue="1" operator="equal">
      <formula>$C$16</formula>
    </cfRule>
  </conditionalFormatting>
  <conditionalFormatting sqref="F46:I46">
    <cfRule type="expression" dxfId="31" priority="19" stopIfTrue="1">
      <formula>LEFT($F$46,2)="OK"</formula>
    </cfRule>
  </conditionalFormatting>
  <conditionalFormatting sqref="G32:H32">
    <cfRule type="expression" dxfId="30" priority="1" stopIfTrue="1">
      <formula>+AND(#REF!&gt;=#REF!,#REF!&lt;=#REF!)</formula>
    </cfRule>
  </conditionalFormatting>
  <dataValidations count="9">
    <dataValidation type="list" allowBlank="1" showInputMessage="1" showErrorMessage="1" sqref="B107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7:C110">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7" max="16383" man="1"/>
  </rowBreaks>
  <ignoredErrors>
    <ignoredError sqref="H141:S141 E142 D46 D51 C95"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SheetLayoutView="100" workbookViewId="0">
      <selection activeCell="E1" sqref="E1:E104857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3"/>
      <c r="H1" s="2"/>
      <c r="I1" s="2"/>
      <c r="J1" s="2"/>
    </row>
    <row r="2" spans="1:24" ht="25.5" customHeight="1"/>
    <row r="3" spans="1:24" ht="36">
      <c r="B3" s="763" t="str">
        <f>+"Dashboard: "&amp;" "&amp;+IF('Data Entry'!C4="Please Select","",'Data Entry'!C4&amp;" - ")&amp;+IF('Data Entry'!G6="Please Select","",'Data Entry'!G6)</f>
        <v>Dashboard:  Georgia - HIV / AIDS</v>
      </c>
      <c r="C3" s="763"/>
      <c r="D3" s="763"/>
      <c r="E3" s="763"/>
      <c r="F3" s="763"/>
      <c r="G3" s="763"/>
      <c r="H3" s="763"/>
      <c r="I3" s="763"/>
      <c r="J3" s="763"/>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25</v>
      </c>
      <c r="B6" s="764" t="str">
        <f>+IF('Data Entry'!C4="Please Select","",'Data Entry'!C4)</f>
        <v>Georgia</v>
      </c>
      <c r="C6" s="764"/>
      <c r="D6" s="767" t="s">
        <v>11</v>
      </c>
      <c r="E6" s="767"/>
      <c r="F6" s="768" t="str">
        <f>+'Data Entry'!G4</f>
        <v xml:space="preserve">Sustaining and Scaling up the Effective HIV/AIDS Prevention, Treatment and Care in Georgia </v>
      </c>
      <c r="G6" s="768"/>
      <c r="H6" s="768"/>
      <c r="I6" s="768"/>
      <c r="J6" s="768"/>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7" t="s">
        <v>26</v>
      </c>
      <c r="B9" s="343" t="str">
        <f>+IF('Data Entry'!G6="Please Select","",'Data Entry'!G6)</f>
        <v>HIV / AIDS</v>
      </c>
      <c r="C9" s="224" t="s">
        <v>327</v>
      </c>
      <c r="D9" s="344" t="str">
        <f>+'Data Entry'!C6</f>
        <v>GEO-H-NCDC</v>
      </c>
      <c r="E9" s="766" t="s">
        <v>12</v>
      </c>
      <c r="F9" s="766"/>
      <c r="G9" s="345">
        <f>+IF(ISBLANK('Data Entry'!C10),"",'Data Entry'!C10)</f>
        <v>43647</v>
      </c>
      <c r="H9" s="377" t="s">
        <v>328</v>
      </c>
      <c r="I9" s="765">
        <f>+IF(ISBLANK('Data Entry'!I6),"",'Data Entry'!I6)</f>
        <v>9348442.7799999993</v>
      </c>
      <c r="J9" s="765"/>
      <c r="K9" s="50"/>
      <c r="L9" s="50"/>
      <c r="M9" s="50"/>
      <c r="N9" s="50"/>
      <c r="O9" s="52"/>
      <c r="P9" s="51"/>
      <c r="Q9" s="52"/>
      <c r="R9" s="53"/>
      <c r="S9" s="17"/>
      <c r="T9" s="11"/>
      <c r="U9" s="11"/>
      <c r="V9" s="10"/>
      <c r="W9" s="10"/>
      <c r="X9" s="10"/>
    </row>
    <row r="10" spans="1:24" ht="25.5" customHeight="1">
      <c r="A10" s="377" t="s">
        <v>322</v>
      </c>
      <c r="B10" s="346" t="str">
        <f>+IF('Data Entry'!G8="Please Select","",'Data Entry'!G8)</f>
        <v>NFM</v>
      </c>
      <c r="C10" s="224" t="s">
        <v>321</v>
      </c>
      <c r="D10" s="347" t="str">
        <f>+IF('Data Entry'!I8="Please Select","",'Data Entry'!I8)</f>
        <v>N/A</v>
      </c>
      <c r="E10" s="759" t="s">
        <v>268</v>
      </c>
      <c r="F10" s="759"/>
      <c r="G10" s="758" t="str">
        <f>+'Data Entry'!C8</f>
        <v>NCDC</v>
      </c>
      <c r="H10" s="758"/>
      <c r="I10" s="758"/>
      <c r="J10" s="758"/>
      <c r="K10" s="54"/>
      <c r="L10" s="54"/>
      <c r="M10" s="50"/>
      <c r="N10" s="54"/>
      <c r="O10" s="52"/>
      <c r="P10" s="51"/>
      <c r="Q10" s="11"/>
      <c r="R10" s="53"/>
      <c r="S10" s="17"/>
      <c r="T10" s="11"/>
      <c r="U10" s="11"/>
    </row>
    <row r="11" spans="1:24" ht="25.5" customHeight="1">
      <c r="A11" s="377" t="s">
        <v>20</v>
      </c>
      <c r="B11" s="348" t="str">
        <f>+'Data Entry'!C16</f>
        <v>P1</v>
      </c>
      <c r="C11" s="329" t="s">
        <v>266</v>
      </c>
      <c r="D11" s="349">
        <f>+IF(ISBLANK('Data Entry'!E16),"",'Data Entry'!E16)</f>
        <v>43647</v>
      </c>
      <c r="E11" s="766" t="s">
        <v>21</v>
      </c>
      <c r="F11" s="766"/>
      <c r="G11" s="349">
        <f>+IF(ISBLANK('Data Entry'!G16),"",'Data Entry'!G16)</f>
        <v>43738</v>
      </c>
      <c r="H11" s="377" t="s">
        <v>28</v>
      </c>
      <c r="I11" s="760" t="str">
        <f>+IF('Data Entry'!C12="Please Select","",'Data Entry'!C12)</f>
        <v>B2</v>
      </c>
      <c r="J11" s="760"/>
      <c r="K11" s="272"/>
      <c r="L11" s="54"/>
      <c r="M11" s="50"/>
      <c r="N11" s="54"/>
      <c r="O11" s="54"/>
      <c r="P11" s="51"/>
      <c r="Q11" s="11"/>
      <c r="R11" s="53"/>
      <c r="S11" s="17"/>
      <c r="T11" s="12"/>
      <c r="U11" s="11"/>
    </row>
    <row r="12" spans="1:24" ht="25.5" customHeight="1">
      <c r="A12" s="377" t="s">
        <v>30</v>
      </c>
      <c r="B12" s="758" t="str">
        <f>+IF('Data Entry'!G10="Please Select","",'Data Entry'!G10)</f>
        <v>UNOPS</v>
      </c>
      <c r="C12" s="758"/>
      <c r="D12" s="758"/>
      <c r="E12" s="759" t="s">
        <v>288</v>
      </c>
      <c r="F12" s="759"/>
      <c r="G12" s="758" t="str">
        <f>+'Data Entry'!G12</f>
        <v>Tatyana Vinichenko</v>
      </c>
      <c r="H12" s="758"/>
      <c r="I12" s="758"/>
      <c r="J12" s="758"/>
      <c r="K12" s="54"/>
      <c r="L12" s="54"/>
      <c r="M12" s="50"/>
      <c r="N12" s="54"/>
      <c r="O12" s="17"/>
      <c r="P12" s="51"/>
      <c r="Q12" s="11"/>
      <c r="R12" s="53"/>
      <c r="S12" s="17"/>
      <c r="T12" s="11"/>
      <c r="U12" s="55"/>
      <c r="V12" s="11"/>
      <c r="W12" s="12"/>
      <c r="X12" s="11"/>
    </row>
    <row r="13" spans="1:24" ht="25.5" customHeight="1">
      <c r="A13" s="377" t="s">
        <v>31</v>
      </c>
      <c r="B13" s="758" t="str">
        <f>+'Data Entry'!D18</f>
        <v>Alexander Asatiani, Nino Vakhania</v>
      </c>
      <c r="C13" s="758"/>
      <c r="D13" s="758"/>
      <c r="E13" s="759" t="s">
        <v>29</v>
      </c>
      <c r="F13" s="759"/>
      <c r="G13" s="761">
        <f>+IF(ISBLANK('Data Entry'!J16),"",'Data Entry'!J16)</f>
        <v>43780</v>
      </c>
      <c r="H13" s="762"/>
      <c r="I13" s="762"/>
      <c r="J13" s="762"/>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7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10" zoomScaleNormal="110" zoomScalePageLayoutView="160" workbookViewId="0">
      <selection activeCell="N14" sqref="N14"/>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87" t="str">
        <f>+"Dashboard:  "&amp;"  "&amp;IF(+'Data Entry'!C4="Please Select","",'Data Entry'!C4&amp;" - ")&amp;IF('Data Entry'!G6="Please Select","",'Data Entry'!G6)</f>
        <v>Dashboard:    Georgia - HIV / AIDS</v>
      </c>
      <c r="C2" s="687"/>
      <c r="D2" s="687"/>
      <c r="E2" s="687"/>
      <c r="F2" s="687"/>
      <c r="G2" s="687"/>
      <c r="H2" s="687"/>
      <c r="I2" s="687"/>
      <c r="J2" s="687"/>
      <c r="K2" s="687"/>
      <c r="L2" s="1"/>
      <c r="M2" s="1"/>
      <c r="N2" s="1"/>
      <c r="O2" s="1"/>
    </row>
    <row r="3" spans="2:15">
      <c r="B3" s="132" t="str">
        <f>+IF('Data Entry'!G8="Please Select","",'Data Entry'!G8)</f>
        <v>NFM</v>
      </c>
      <c r="C3" s="784" t="str">
        <f>+IF('Data Entry'!I8="Please Select","",'Data Entry'!I8)</f>
        <v>N/A</v>
      </c>
      <c r="D3" s="784"/>
      <c r="E3" s="783"/>
      <c r="F3" s="783"/>
      <c r="G3" s="783"/>
      <c r="H3" s="783"/>
      <c r="I3" s="781" t="str">
        <f>+'Data Entry'!B16</f>
        <v>Report Period:</v>
      </c>
      <c r="J3" s="781"/>
      <c r="K3" s="197" t="str">
        <f>+'Data Entry'!C16</f>
        <v>P1</v>
      </c>
      <c r="L3" s="83"/>
    </row>
    <row r="4" spans="2:15">
      <c r="B4" s="132" t="str">
        <f>+'Data Entry'!B12</f>
        <v>Latest Rating:</v>
      </c>
      <c r="C4" s="785" t="str">
        <f>+IF('Data Entry'!C12="Please Select","",'Data Entry'!C12)</f>
        <v>B2</v>
      </c>
      <c r="D4" s="785"/>
      <c r="E4" s="783" t="str">
        <f>+'Data Entry'!C8</f>
        <v>NCDC</v>
      </c>
      <c r="F4" s="783"/>
      <c r="G4" s="783"/>
      <c r="H4" s="783"/>
      <c r="I4" s="781" t="str">
        <f>+'Data Entry'!D16</f>
        <v>From:</v>
      </c>
      <c r="J4" s="782"/>
      <c r="K4" s="199">
        <f>+IF(ISBLANK('Data Entry'!E16),"",'Data Entry'!E16)</f>
        <v>43647</v>
      </c>
    </row>
    <row r="5" spans="2:15" ht="18.75" customHeight="1">
      <c r="B5" s="132"/>
      <c r="C5" s="132"/>
      <c r="D5" s="780" t="str">
        <f>+'Data Entry'!G4</f>
        <v xml:space="preserve">Sustaining and Scaling up the Effective HIV/AIDS Prevention, Treatment and Care in Georgia </v>
      </c>
      <c r="E5" s="780"/>
      <c r="F5" s="780"/>
      <c r="G5" s="780"/>
      <c r="H5" s="780"/>
      <c r="I5" s="780"/>
      <c r="J5" s="132" t="str">
        <f>+'Data Entry'!F16</f>
        <v>To:</v>
      </c>
      <c r="K5" s="199">
        <f>+IF(ISBLANK('Data Entry'!G16),"",'Data Entry'!G16)</f>
        <v>43738</v>
      </c>
    </row>
    <row r="6" spans="2:15" ht="18.75">
      <c r="B6" s="136"/>
      <c r="C6" s="132"/>
      <c r="D6" s="133"/>
      <c r="E6" s="769" t="s">
        <v>62</v>
      </c>
      <c r="F6" s="769"/>
      <c r="G6" s="769"/>
      <c r="H6" s="769"/>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P1</v>
      </c>
      <c r="C8" s="142"/>
      <c r="D8" s="2"/>
      <c r="E8" s="2"/>
      <c r="F8" s="2"/>
      <c r="H8" s="202" t="str">
        <f>+'Data Entry'!B48&amp; " - in ("&amp;'Data Entry'!D26&amp;")         "&amp;+I3&amp;" "&amp;+K3</f>
        <v>F3: Disbursements and expenditures - in ($)         Report Period: P1</v>
      </c>
      <c r="I8" s="3"/>
      <c r="J8" s="3"/>
      <c r="K8" s="3"/>
    </row>
    <row r="9" spans="2:15">
      <c r="B9" s="353" t="s">
        <v>9</v>
      </c>
      <c r="C9" s="777"/>
      <c r="D9" s="778"/>
      <c r="E9" s="778"/>
      <c r="F9" s="779"/>
      <c r="H9" s="354" t="s">
        <v>9</v>
      </c>
      <c r="I9" s="786"/>
      <c r="J9" s="778"/>
      <c r="K9" s="779"/>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P1</v>
      </c>
      <c r="C22" s="2"/>
      <c r="D22" s="2"/>
      <c r="E22" s="2"/>
      <c r="F22" s="2"/>
      <c r="H22" s="203" t="str">
        <f>+'Data Entry'!B57&amp;"      "&amp;+I3&amp;" "&amp;+K3</f>
        <v>F4: Latest PR reporting and disbursement cycle      Report Period: P1</v>
      </c>
      <c r="J22" s="3"/>
      <c r="K22" s="3"/>
    </row>
    <row r="23" spans="1:11">
      <c r="B23" s="354" t="s">
        <v>10</v>
      </c>
      <c r="C23" s="786"/>
      <c r="D23" s="778"/>
      <c r="E23" s="778"/>
      <c r="F23" s="779"/>
      <c r="G23" s="374"/>
      <c r="H23" s="354" t="s">
        <v>9</v>
      </c>
      <c r="I23" s="786"/>
      <c r="J23" s="787"/>
      <c r="K23" s="788"/>
    </row>
    <row r="24" spans="1:11" ht="15.75" thickBot="1">
      <c r="B24" s="212"/>
      <c r="C24" s="212"/>
      <c r="D24" s="212"/>
      <c r="E24" s="212"/>
      <c r="F24" s="212"/>
      <c r="G24" s="212"/>
      <c r="H24" s="213"/>
      <c r="I24" s="213"/>
      <c r="J24" s="212"/>
      <c r="K24" s="212"/>
    </row>
    <row r="25" spans="1:11" ht="29.25" customHeight="1" thickBot="1">
      <c r="B25" s="3"/>
      <c r="C25" s="3"/>
      <c r="D25" s="3"/>
      <c r="E25" s="3"/>
      <c r="F25" s="3"/>
      <c r="G25" s="327"/>
      <c r="H25" s="770" t="s">
        <v>307</v>
      </c>
      <c r="I25" s="771"/>
      <c r="J25" s="771"/>
      <c r="K25" s="772"/>
    </row>
    <row r="26" spans="1:11" ht="24.75">
      <c r="B26" s="3"/>
      <c r="C26" s="3"/>
      <c r="D26" s="3"/>
      <c r="E26" s="3"/>
      <c r="F26" s="3"/>
      <c r="G26" s="289"/>
      <c r="H26" s="773"/>
      <c r="I26" s="774"/>
      <c r="J26" s="305" t="s">
        <v>60</v>
      </c>
      <c r="K26" s="306" t="s">
        <v>61</v>
      </c>
    </row>
    <row r="27" spans="1:11" ht="23.25" customHeight="1">
      <c r="B27" s="3"/>
      <c r="C27" s="3"/>
      <c r="D27" s="3"/>
      <c r="E27" s="3"/>
      <c r="F27" s="3"/>
      <c r="G27" s="328"/>
      <c r="H27" s="775" t="str">
        <f>'Data Entry'!B61</f>
        <v>Days taken to submit final PU/DR to LFA</v>
      </c>
      <c r="I27" s="776"/>
      <c r="J27" s="307" t="str">
        <f>+'Data Entry'!C61</f>
        <v>N/A</v>
      </c>
      <c r="K27" s="304" t="str">
        <f>+'Data Entry'!D61</f>
        <v>N/A</v>
      </c>
    </row>
    <row r="28" spans="1:11" ht="21" customHeight="1">
      <c r="B28" s="3"/>
      <c r="C28" s="3"/>
      <c r="D28" s="3"/>
      <c r="E28" s="3"/>
      <c r="F28" s="3"/>
      <c r="G28" s="328"/>
      <c r="H28" s="775" t="str">
        <f>'Data Entry'!B62</f>
        <v>Days taken for disbursement to reach PR</v>
      </c>
      <c r="I28" s="776"/>
      <c r="J28" s="307">
        <f>+'Data Entry'!C62</f>
        <v>45</v>
      </c>
      <c r="K28" s="304" t="str">
        <f>+'Data Entry'!D62</f>
        <v>N/A</v>
      </c>
    </row>
    <row r="29" spans="1:11" ht="21" customHeight="1" thickBot="1">
      <c r="B29" s="3"/>
      <c r="C29" s="3"/>
      <c r="D29" s="3"/>
      <c r="E29" s="3"/>
      <c r="F29" s="3"/>
      <c r="G29" s="328"/>
      <c r="H29" s="789" t="str">
        <f>'Data Entry'!B63</f>
        <v xml:space="preserve">Days taken for disbursement to reach SRs </v>
      </c>
      <c r="I29" s="790"/>
      <c r="J29" s="308">
        <f>+'Data Entry'!C63</f>
        <v>5</v>
      </c>
      <c r="K29" s="309">
        <f>+'Data Entry'!D63</f>
        <v>5</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 ref="I9:K9"/>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8" zoomScale="130" zoomScaleNormal="130" zoomScalePageLayoutView="130" workbookViewId="0">
      <selection activeCell="L33" sqref="L33"/>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13.42578125" customWidth="1"/>
    <col min="9" max="9" width="23.42578125" customWidth="1"/>
    <col min="10" max="10" width="13.7109375" customWidth="1"/>
    <col min="11" max="11" width="13.42578125" customWidth="1"/>
    <col min="12" max="12" width="14.140625" customWidth="1"/>
    <col min="13" max="13" width="37.7109375" customWidth="1"/>
  </cols>
  <sheetData>
    <row r="1" spans="1:16" ht="28.5" customHeight="1">
      <c r="C1" s="230"/>
      <c r="E1" s="231"/>
    </row>
    <row r="2" spans="1:16" ht="27.75" customHeight="1">
      <c r="B2" s="801" t="str">
        <f>+"Dashboard:  "&amp;"  "&amp;IF(+'Data Entry'!C4="Please Select","",'Data Entry'!C4&amp;" - ")&amp;IF('Data Entry'!G6="Please Select","",'Data Entry'!G6)</f>
        <v>Dashboard:    Georgia - HIV / AIDS</v>
      </c>
      <c r="C2" s="801"/>
      <c r="D2" s="801"/>
      <c r="E2" s="801"/>
      <c r="F2" s="801"/>
      <c r="G2" s="801"/>
      <c r="H2" s="801"/>
      <c r="I2" s="801"/>
      <c r="J2" s="801"/>
      <c r="K2" s="801"/>
      <c r="L2" s="801"/>
      <c r="M2" s="26"/>
      <c r="N2" s="26"/>
      <c r="O2" s="26"/>
      <c r="P2" s="26"/>
    </row>
    <row r="3" spans="1:16">
      <c r="B3" s="24" t="str">
        <f>+IF('Data Entry'!G8="Please Select","",'Data Entry'!G8)</f>
        <v>NFM</v>
      </c>
      <c r="C3" s="800" t="str">
        <f>+IF('Data Entry'!I8="Please Select","",'Data Entry'!I8)</f>
        <v>N/A</v>
      </c>
      <c r="D3" s="800"/>
      <c r="E3" s="798"/>
      <c r="F3" s="798"/>
      <c r="G3" s="798"/>
      <c r="H3" s="798"/>
      <c r="I3" s="798"/>
      <c r="J3" s="794" t="str">
        <f>+'Data Entry'!B16</f>
        <v>Report Period:</v>
      </c>
      <c r="K3" s="794"/>
      <c r="L3" s="197" t="str">
        <f>+'Data Entry'!C16</f>
        <v>P1</v>
      </c>
    </row>
    <row r="4" spans="1:16">
      <c r="B4" s="24" t="str">
        <f>+'Data Entry'!B12</f>
        <v>Latest Rating:</v>
      </c>
      <c r="C4" s="785" t="str">
        <f>+IF('Data Entry'!C12="Please Select","",'Data Entry'!C12)</f>
        <v>B2</v>
      </c>
      <c r="D4" s="785"/>
      <c r="E4" s="798" t="str">
        <f>+'Data Entry'!C8</f>
        <v>NCDC</v>
      </c>
      <c r="F4" s="798"/>
      <c r="G4" s="798"/>
      <c r="H4" s="798"/>
      <c r="I4" s="798"/>
      <c r="J4" s="794" t="str">
        <f>+'Data Entry'!D16</f>
        <v>From:</v>
      </c>
      <c r="K4" s="795"/>
      <c r="L4" s="199">
        <f>+IF(ISBLANK('Data Entry'!E16),"",'Data Entry'!E16)</f>
        <v>43647</v>
      </c>
    </row>
    <row r="5" spans="1:16" ht="18.75" customHeight="1">
      <c r="B5" s="24"/>
      <c r="C5" s="24"/>
      <c r="D5" s="798" t="str">
        <f>+'Data Entry'!G4</f>
        <v xml:space="preserve">Sustaining and Scaling up the Effective HIV/AIDS Prevention, Treatment and Care in Georgia </v>
      </c>
      <c r="E5" s="798"/>
      <c r="F5" s="798"/>
      <c r="G5" s="798"/>
      <c r="H5" s="798"/>
      <c r="I5" s="798"/>
      <c r="J5" s="798"/>
      <c r="K5" s="24" t="str">
        <f>+'Data Entry'!F16</f>
        <v>To:</v>
      </c>
      <c r="L5" s="199">
        <f>+IF(ISBLANK('Data Entry'!G16),"",'Data Entry'!G16)</f>
        <v>43738</v>
      </c>
    </row>
    <row r="6" spans="1:16" ht="18.75">
      <c r="B6" s="23"/>
      <c r="C6" s="24"/>
      <c r="D6" s="25"/>
      <c r="E6" s="802" t="s">
        <v>69</v>
      </c>
      <c r="F6" s="802"/>
      <c r="G6" s="802"/>
      <c r="H6" s="802"/>
      <c r="I6" s="802"/>
    </row>
    <row r="7" spans="1:16">
      <c r="B7" s="375" t="str">
        <f>+'Data Entry'!B68&amp;"                "&amp;+J3&amp;" "&amp;+L3</f>
        <v>M1: Status of Conditions Precedent (CPs) and Time Bound Actions (TBAs)                Report Period: P1</v>
      </c>
      <c r="C7" s="21"/>
      <c r="H7" s="375" t="str">
        <f>+'Data Entry'!B75&amp;"                                                                             "&amp;+J3&amp;"  "&amp;+L3</f>
        <v>M2: Status of key PR management positions                                                                             Report Period:  P1</v>
      </c>
    </row>
    <row r="8" spans="1:16">
      <c r="B8" s="355" t="s">
        <v>9</v>
      </c>
      <c r="C8" s="786"/>
      <c r="D8" s="787"/>
      <c r="E8" s="787"/>
      <c r="F8" s="788"/>
      <c r="G8" s="376"/>
      <c r="H8" s="354" t="s">
        <v>9</v>
      </c>
      <c r="I8" s="786"/>
      <c r="J8" s="796"/>
      <c r="K8" s="796"/>
      <c r="L8" s="797"/>
    </row>
    <row r="9" spans="1:16">
      <c r="B9" s="19"/>
      <c r="C9" s="19"/>
      <c r="D9" s="19"/>
      <c r="E9" s="19"/>
      <c r="F9" s="19"/>
      <c r="G9" s="19"/>
      <c r="H9" s="19"/>
    </row>
    <row r="10" spans="1:16">
      <c r="A10" s="47"/>
      <c r="B10" s="19"/>
      <c r="C10" s="19"/>
      <c r="D10" s="799"/>
      <c r="E10" s="547"/>
      <c r="F10" s="547"/>
      <c r="G10" s="206"/>
      <c r="H10" s="19"/>
      <c r="N10" s="49"/>
      <c r="O10" s="49"/>
      <c r="P10" s="48"/>
    </row>
    <row r="11" spans="1:16">
      <c r="B11" s="19"/>
      <c r="C11" s="28"/>
      <c r="D11" s="799"/>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5" t="str">
        <f>+'Data Entry'!B80&amp;"                                                                                                  "&amp;+J3&amp;" "&amp;+L3</f>
        <v>M3: Contractual arrangements (SRs)                                                                                                   Report Period: P1</v>
      </c>
      <c r="H15" s="375" t="str">
        <f>+'Data Entry'!B85&amp;"                                                             "&amp;+J3&amp;" "&amp;+L3</f>
        <v>M4: Number of complete reports received on time                                                             Report Period: P1</v>
      </c>
    </row>
    <row r="16" spans="1:16">
      <c r="B16" s="355" t="s">
        <v>9</v>
      </c>
      <c r="C16" s="786"/>
      <c r="D16" s="796"/>
      <c r="E16" s="796"/>
      <c r="F16" s="797"/>
      <c r="G16" s="376"/>
      <c r="H16" s="354" t="s">
        <v>9</v>
      </c>
      <c r="I16" s="786"/>
      <c r="J16" s="787"/>
      <c r="K16" s="787"/>
      <c r="L16" s="788"/>
    </row>
    <row r="17" spans="2:13">
      <c r="B17" s="29"/>
      <c r="H17" s="30"/>
    </row>
    <row r="18" spans="2:13">
      <c r="M18" s="83"/>
    </row>
    <row r="26" spans="2:13">
      <c r="B26" s="375" t="str">
        <f>+'Data Entry'!B91</f>
        <v>M5: Budget and Procurement of health products, health equipment, medicines and pharmaceuticals</v>
      </c>
      <c r="H26" s="375" t="str">
        <f>+'Data Entry'!B104&amp;"                                                                "&amp;+J3&amp;"  "&amp;+L3</f>
        <v>M6: Difference between current and safety stock                                                                Report Period:  P1</v>
      </c>
    </row>
    <row r="27" spans="2:13">
      <c r="B27" s="353" t="s">
        <v>9</v>
      </c>
      <c r="C27" s="777"/>
      <c r="D27" s="796"/>
      <c r="E27" s="796"/>
      <c r="F27" s="797"/>
      <c r="G27" s="376"/>
      <c r="H27" s="354" t="s">
        <v>9</v>
      </c>
      <c r="I27" s="786"/>
      <c r="J27" s="787"/>
      <c r="K27" s="787"/>
      <c r="L27" s="788"/>
    </row>
    <row r="28" spans="2:13" ht="15.75" thickBot="1"/>
    <row r="29" spans="2:13" ht="55.5" customHeight="1">
      <c r="F29" s="334"/>
      <c r="G29" s="334"/>
      <c r="H29" s="218" t="s">
        <v>32</v>
      </c>
      <c r="I29" s="330" t="s">
        <v>79</v>
      </c>
      <c r="J29" s="351" t="s">
        <v>342</v>
      </c>
      <c r="K29" s="217" t="s">
        <v>330</v>
      </c>
      <c r="L29" s="331" t="s">
        <v>329</v>
      </c>
    </row>
    <row r="30" spans="2:13" ht="25.5" customHeight="1">
      <c r="F30" s="334"/>
      <c r="G30" s="334"/>
      <c r="H30" s="791" t="str">
        <f>+'Data Entry'!B107</f>
        <v>Please Select</v>
      </c>
      <c r="I30" s="332" t="str">
        <f>+'Data Entry'!C107</f>
        <v>Zidovudine/Lamivudine</v>
      </c>
      <c r="J30" s="489">
        <f>+'Data Entry'!I107</f>
        <v>10.136966126656848</v>
      </c>
      <c r="K30" s="490">
        <f>+'Data Entry'!J107</f>
        <v>6</v>
      </c>
      <c r="L30" s="487">
        <f>J30-K30</f>
        <v>4.1369661266568478</v>
      </c>
      <c r="M30" s="505"/>
    </row>
    <row r="31" spans="2:13">
      <c r="F31" s="334"/>
      <c r="G31" s="334"/>
      <c r="H31" s="792"/>
      <c r="I31" s="332" t="str">
        <f>+'Data Entry'!C108</f>
        <v>Syringes (1ml)</v>
      </c>
      <c r="J31" s="489">
        <f>+'Data Entry'!I108</f>
        <v>9.0817555555555547</v>
      </c>
      <c r="K31" s="490">
        <f>+'Data Entry'!J108</f>
        <v>3</v>
      </c>
      <c r="L31" s="504">
        <f t="shared" ref="L31:L33" si="0">J31-K31</f>
        <v>6.0817555555555547</v>
      </c>
      <c r="M31" s="505"/>
    </row>
    <row r="32" spans="2:13">
      <c r="F32" s="334"/>
      <c r="G32" s="334"/>
      <c r="H32" s="792"/>
      <c r="I32" s="332" t="str">
        <f>+'Data Entry'!C109</f>
        <v>Condoms (Tanadgoma)</v>
      </c>
      <c r="J32" s="489">
        <f>+'Data Entry'!I109</f>
        <v>6.4023210542078468</v>
      </c>
      <c r="K32" s="490">
        <f>+'Data Entry'!J109</f>
        <v>3</v>
      </c>
      <c r="L32" s="488">
        <f t="shared" si="0"/>
        <v>3.4023210542078468</v>
      </c>
      <c r="M32" s="505"/>
    </row>
    <row r="33" spans="2:13" ht="15.75" thickBot="1">
      <c r="F33" s="334"/>
      <c r="G33" s="334"/>
      <c r="H33" s="793"/>
      <c r="I33" s="333" t="str">
        <f>+'Data Entry'!C110</f>
        <v>Condoms (EM)</v>
      </c>
      <c r="J33" s="491">
        <f>+'Data Entry'!I110</f>
        <v>6.7851851851851865</v>
      </c>
      <c r="K33" s="492">
        <f>+'Data Entry'!J110</f>
        <v>3</v>
      </c>
      <c r="L33" s="488">
        <f t="shared" si="0"/>
        <v>3.7851851851851865</v>
      </c>
      <c r="M33" s="505"/>
    </row>
    <row r="34" spans="2:13" ht="24.75" customHeight="1">
      <c r="B34" s="803" t="str">
        <f>+'Data Entry'!B101</f>
        <v>* Includes only EFR category 4 and 5  (Health products and health equipment &amp; Medicines and Pharmaceuticals)</v>
      </c>
      <c r="C34" s="803"/>
      <c r="D34" s="803"/>
      <c r="E34" s="803"/>
      <c r="F34" s="19"/>
      <c r="G34" s="19"/>
      <c r="H34" s="214"/>
      <c r="I34" s="215"/>
      <c r="J34" s="216"/>
      <c r="K34" s="206"/>
      <c r="L34" s="20"/>
    </row>
    <row r="35" spans="2:13">
      <c r="F35" s="19"/>
      <c r="G35" s="19"/>
      <c r="H35" s="19"/>
      <c r="I35" s="19"/>
      <c r="J35" s="19"/>
      <c r="K35" s="19"/>
      <c r="L35" s="19"/>
    </row>
  </sheetData>
  <mergeCells count="19">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C16:F16"/>
    <mergeCell ref="E10:F10"/>
    <mergeCell ref="C8:F8"/>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workbookViewId="0">
      <selection activeCell="G22" sqref="G22:K22"/>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8.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807" t="str">
        <f>+"Dashboard:  "&amp;"  "&amp;IF(+'Data Entry'!C4="Please Select","",'Data Entry'!C4&amp;" - ")&amp;IF('Data Entry'!G6="Please Select","",'Data Entry'!G6)</f>
        <v>Dashboard:    Georgia - HIV / AIDS</v>
      </c>
      <c r="C2" s="807"/>
      <c r="D2" s="807"/>
      <c r="E2" s="807"/>
      <c r="F2" s="807"/>
      <c r="G2" s="807"/>
      <c r="H2" s="807"/>
      <c r="I2" s="807"/>
      <c r="J2" s="807"/>
      <c r="K2" s="807"/>
      <c r="L2" s="807"/>
      <c r="M2" s="807"/>
      <c r="N2" s="807"/>
      <c r="O2" s="807"/>
      <c r="P2" s="807"/>
      <c r="Q2" s="807"/>
    </row>
    <row r="3" spans="1:35" ht="18.75">
      <c r="A3" s="3"/>
      <c r="B3" s="132" t="str">
        <f>+IF('Data Entry'!G8="Please Select","",'Data Entry'!G8)</f>
        <v>NFM</v>
      </c>
      <c r="C3" s="784" t="str">
        <f>+IF('Data Entry'!I8="Please Select","",'Data Entry'!I8)</f>
        <v>N/A</v>
      </c>
      <c r="D3" s="784"/>
      <c r="E3" s="783"/>
      <c r="F3" s="783"/>
      <c r="G3" s="783"/>
      <c r="H3" s="783"/>
      <c r="I3" s="810"/>
      <c r="J3" s="810"/>
      <c r="K3" s="810"/>
      <c r="L3" s="3"/>
      <c r="M3" s="3"/>
      <c r="O3" s="781" t="str">
        <f>+'Data Entry'!B16</f>
        <v>Report Period:</v>
      </c>
      <c r="P3" s="781"/>
      <c r="Q3" s="198" t="str">
        <f>+'Data Entry'!C16</f>
        <v>P1</v>
      </c>
    </row>
    <row r="4" spans="1:35" ht="12" customHeight="1">
      <c r="A4" s="3"/>
      <c r="B4" s="132" t="str">
        <f>+'Data Entry'!B12</f>
        <v>Latest Rating:</v>
      </c>
      <c r="C4" s="811" t="str">
        <f>+IF('Data Entry'!C12="Please Select","",'Data Entry'!C12)</f>
        <v>B2</v>
      </c>
      <c r="D4" s="811"/>
      <c r="E4" s="783" t="str">
        <f>+'Data Entry'!C8</f>
        <v>NCDC</v>
      </c>
      <c r="F4" s="783"/>
      <c r="G4" s="783"/>
      <c r="H4" s="783"/>
      <c r="I4" s="783"/>
      <c r="J4" s="783"/>
      <c r="K4" s="783"/>
      <c r="L4" s="783"/>
      <c r="M4" s="3"/>
      <c r="O4" s="336"/>
      <c r="P4" s="132" t="str">
        <f>+'Data Entry'!D16</f>
        <v>From:</v>
      </c>
      <c r="Q4" s="337">
        <f>+IF(ISBLANK('Data Entry'!E16),"",'Data Entry'!E16)</f>
        <v>43647</v>
      </c>
      <c r="Y4" s="71"/>
      <c r="Z4" s="71"/>
      <c r="AA4" s="71"/>
      <c r="AB4" s="71"/>
      <c r="AC4" s="71"/>
    </row>
    <row r="5" spans="1:35" ht="15.75" customHeight="1">
      <c r="A5" s="3"/>
      <c r="B5" s="132"/>
      <c r="C5" s="132"/>
      <c r="D5" s="783" t="str">
        <f>+'Data Entry'!G4</f>
        <v xml:space="preserve">Sustaining and Scaling up the Effective HIV/AIDS Prevention, Treatment and Care in Georgia </v>
      </c>
      <c r="E5" s="783"/>
      <c r="F5" s="783"/>
      <c r="G5" s="783"/>
      <c r="H5" s="783"/>
      <c r="I5" s="783"/>
      <c r="J5" s="783"/>
      <c r="K5" s="783"/>
      <c r="L5" s="783"/>
      <c r="M5" s="783"/>
      <c r="N5" s="783"/>
      <c r="P5" s="132" t="str">
        <f>+'Data Entry'!F16</f>
        <v>To:</v>
      </c>
      <c r="Q5" s="337">
        <f>+IF(ISBLANK('Data Entry'!G16),"",'Data Entry'!G16)</f>
        <v>43738</v>
      </c>
      <c r="S5" s="225"/>
      <c r="T5" s="225"/>
      <c r="U5" s="225"/>
      <c r="V5" s="225"/>
      <c r="W5" s="225"/>
      <c r="X5" s="225"/>
      <c r="Y5" s="71"/>
      <c r="Z5" s="71"/>
      <c r="AA5" s="71" t="s">
        <v>42</v>
      </c>
      <c r="AB5" s="71"/>
      <c r="AC5" s="71" t="s">
        <v>264</v>
      </c>
      <c r="AD5" s="225"/>
      <c r="AE5" s="225"/>
      <c r="AF5" s="225"/>
      <c r="AG5" s="225"/>
      <c r="AH5" s="225"/>
      <c r="AI5" s="225"/>
    </row>
    <row r="6" spans="1:35" ht="15.75" customHeight="1">
      <c r="A6" s="3"/>
      <c r="B6" s="132"/>
      <c r="C6" s="132"/>
      <c r="D6" s="223"/>
      <c r="E6" s="223"/>
      <c r="F6" s="809" t="s">
        <v>391</v>
      </c>
      <c r="G6" s="809"/>
      <c r="H6" s="809"/>
      <c r="I6" s="809"/>
      <c r="J6" s="809"/>
      <c r="K6" s="809"/>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808" t="str">
        <f>+'Data Entry'!B117</f>
        <v>Percentage of PWID that have received an HIV test during the reporting period and know their results</v>
      </c>
      <c r="C8" s="808"/>
      <c r="D8" s="808"/>
      <c r="E8" s="808"/>
      <c r="F8" s="808" t="str">
        <f>+'Data Entry'!B119</f>
        <v>Percentage of MSM reached with HIV prevention programs - defined package of services</v>
      </c>
      <c r="G8" s="808"/>
      <c r="H8" s="808"/>
      <c r="I8" s="808"/>
      <c r="J8" s="808"/>
      <c r="K8" s="808"/>
      <c r="L8" s="808" t="str">
        <f>+'Data Entry'!B121</f>
        <v xml:space="preserve">Percentage of people living with HIV currently receiving antiretroviral therapy </v>
      </c>
      <c r="M8" s="808"/>
      <c r="N8" s="808"/>
      <c r="O8" s="808"/>
      <c r="P8" s="808"/>
      <c r="Q8" s="808"/>
      <c r="S8" s="225"/>
      <c r="T8" s="225"/>
      <c r="U8" s="225"/>
      <c r="V8" s="225"/>
      <c r="W8" s="225"/>
      <c r="X8" s="225"/>
      <c r="Y8" s="71"/>
      <c r="Z8" s="71"/>
      <c r="AA8" s="71"/>
      <c r="AB8" s="71"/>
      <c r="AC8" s="71"/>
      <c r="AD8" s="225"/>
      <c r="AE8" s="225"/>
      <c r="AF8" s="225"/>
      <c r="AG8" s="225"/>
      <c r="AH8" s="225"/>
      <c r="AI8" s="225"/>
    </row>
    <row r="9" spans="1:35" ht="24" customHeight="1">
      <c r="A9" s="3"/>
      <c r="B9" s="439" t="s">
        <v>409</v>
      </c>
      <c r="C9" s="833"/>
      <c r="D9" s="836"/>
      <c r="E9" s="837"/>
      <c r="F9" s="439" t="s">
        <v>410</v>
      </c>
      <c r="G9" s="833"/>
      <c r="H9" s="838"/>
      <c r="I9" s="838"/>
      <c r="J9" s="838"/>
      <c r="K9" s="839"/>
      <c r="L9" s="439" t="s">
        <v>411</v>
      </c>
      <c r="M9" s="833"/>
      <c r="N9" s="834"/>
      <c r="O9" s="834"/>
      <c r="P9" s="834"/>
      <c r="Q9" s="835"/>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844"/>
      <c r="F18" s="844"/>
      <c r="G18" s="844"/>
      <c r="H18" s="844"/>
      <c r="I18" s="844"/>
      <c r="J18" s="844"/>
      <c r="K18" s="844"/>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845" t="s">
        <v>88</v>
      </c>
      <c r="C19" s="845"/>
      <c r="D19" s="845"/>
      <c r="E19" s="143" t="s">
        <v>85</v>
      </c>
      <c r="F19" s="143" t="s">
        <v>89</v>
      </c>
      <c r="G19" s="840" t="s">
        <v>331</v>
      </c>
      <c r="H19" s="841"/>
      <c r="I19" s="842" t="s">
        <v>332</v>
      </c>
      <c r="J19" s="843"/>
      <c r="K19" s="335" t="s">
        <v>333</v>
      </c>
      <c r="L19" s="846" t="s">
        <v>92</v>
      </c>
      <c r="M19" s="847"/>
      <c r="N19" s="847"/>
      <c r="O19" s="847"/>
      <c r="P19" s="847"/>
      <c r="Q19" s="848"/>
      <c r="S19" s="65" t="s">
        <v>90</v>
      </c>
      <c r="T19" s="66">
        <v>0</v>
      </c>
      <c r="U19" s="67">
        <v>0.3</v>
      </c>
      <c r="V19" s="67">
        <v>0.6</v>
      </c>
      <c r="W19" s="67">
        <v>0.9</v>
      </c>
      <c r="X19" s="67">
        <v>1</v>
      </c>
      <c r="Y19" s="71"/>
      <c r="Z19" s="71"/>
      <c r="AA19" s="65" t="s">
        <v>90</v>
      </c>
      <c r="AB19" s="66">
        <v>0</v>
      </c>
      <c r="AC19" s="67">
        <v>0.2</v>
      </c>
      <c r="AD19" s="67">
        <v>0.4</v>
      </c>
      <c r="AE19" s="67">
        <v>0.6</v>
      </c>
      <c r="AF19" s="67">
        <v>0.8</v>
      </c>
      <c r="AG19" s="71"/>
      <c r="AH19" s="71"/>
      <c r="AI19" s="71"/>
    </row>
    <row r="20" spans="1:35" ht="76.5" customHeight="1">
      <c r="A20" s="3"/>
      <c r="B20" s="816" t="str">
        <f>+'Data Entry'!B117</f>
        <v>Percentage of PWID that have received an HIV test during the reporting period and know their results</v>
      </c>
      <c r="C20" s="816"/>
      <c r="D20" s="816"/>
      <c r="E20" s="460">
        <f ca="1">OFFSET('Data Entry'!$G$116,1,RIGHT('Data Entry'!$C$16,LEN('Data Entry'!$C$16)-1),1,1)</f>
        <v>25593.75</v>
      </c>
      <c r="F20" s="460">
        <f ca="1">OFFSET('Data Entry'!$G$116,2,RIGHT('Data Entry'!$C$16,LEN('Data Entry'!$C$16)-1),1,1)</f>
        <v>23876</v>
      </c>
      <c r="G20" s="804">
        <f t="shared" ref="G20:G27" ca="1" si="0">+IF(ISERROR(F20/E20),0,F20/E20)</f>
        <v>0.93288400488400491</v>
      </c>
      <c r="H20" s="805"/>
      <c r="I20" s="805"/>
      <c r="J20" s="805"/>
      <c r="K20" s="806"/>
      <c r="L20" s="825"/>
      <c r="M20" s="826"/>
      <c r="N20" s="826"/>
      <c r="O20" s="826"/>
      <c r="P20" s="826"/>
      <c r="Q20" s="827"/>
      <c r="S20" s="65" t="s">
        <v>91</v>
      </c>
      <c r="T20" s="68">
        <v>0.3</v>
      </c>
      <c r="U20" s="67">
        <v>0.6</v>
      </c>
      <c r="V20" s="67">
        <v>0.9</v>
      </c>
      <c r="W20" s="67">
        <v>1</v>
      </c>
      <c r="X20" s="67">
        <v>2</v>
      </c>
      <c r="Y20" s="71"/>
      <c r="Z20" s="71"/>
      <c r="AA20" s="65" t="s">
        <v>91</v>
      </c>
      <c r="AB20" s="68">
        <v>0.2</v>
      </c>
      <c r="AC20" s="67">
        <v>0.4</v>
      </c>
      <c r="AD20" s="67">
        <v>0.6</v>
      </c>
      <c r="AE20" s="67">
        <v>0.8</v>
      </c>
      <c r="AF20" s="67">
        <v>1</v>
      </c>
      <c r="AG20" s="71"/>
      <c r="AH20" s="71"/>
      <c r="AI20" s="71"/>
    </row>
    <row r="21" spans="1:35" ht="92.25" customHeight="1">
      <c r="A21" s="3"/>
      <c r="B21" s="816" t="str">
        <f>+'Data Entry'!B119</f>
        <v>Percentage of MSM reached with HIV prevention programs - defined package of services</v>
      </c>
      <c r="C21" s="816"/>
      <c r="D21" s="816"/>
      <c r="E21" s="460">
        <f ca="1">OFFSET('Data Entry'!$G$116,3,RIGHT('Data Entry'!$C$16,LEN('Data Entry'!$C$16)-1),1,1)</f>
        <v>6243.75</v>
      </c>
      <c r="F21" s="460">
        <f ca="1">OFFSET('Data Entry'!$G$116,4,RIGHT('Data Entry'!$C$16,LEN('Data Entry'!$C$16)-1),1,1)</f>
        <v>6672</v>
      </c>
      <c r="G21" s="804">
        <f t="shared" ca="1" si="0"/>
        <v>1.0685885885885886</v>
      </c>
      <c r="H21" s="805"/>
      <c r="I21" s="805"/>
      <c r="J21" s="805"/>
      <c r="K21" s="806"/>
      <c r="L21" s="825"/>
      <c r="M21" s="826"/>
      <c r="N21" s="826"/>
      <c r="O21" s="826"/>
      <c r="P21" s="826"/>
      <c r="Q21" s="827"/>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60.75" customHeight="1">
      <c r="A22" s="3"/>
      <c r="B22" s="816" t="str">
        <f>+'Data Entry'!B121</f>
        <v xml:space="preserve">Percentage of people living with HIV currently receiving antiretroviral therapy </v>
      </c>
      <c r="C22" s="816"/>
      <c r="D22" s="816"/>
      <c r="E22" s="460">
        <f ca="1">OFFSET('Data Entry'!$G$116,5,RIGHT('Data Entry'!$C$16,LEN('Data Entry'!$C$16)-1),1,1)</f>
        <v>5500</v>
      </c>
      <c r="F22" s="460">
        <f ca="1">OFFSET('Data Entry'!$G$116,6,RIGHT('Data Entry'!$C$16,LEN('Data Entry'!$C$16)-1),1,1)</f>
        <v>4381</v>
      </c>
      <c r="G22" s="804">
        <f t="shared" ca="1" si="0"/>
        <v>0.79654545454545456</v>
      </c>
      <c r="H22" s="805"/>
      <c r="I22" s="805"/>
      <c r="J22" s="805"/>
      <c r="K22" s="806"/>
      <c r="L22" s="825"/>
      <c r="M22" s="826"/>
      <c r="N22" s="826"/>
      <c r="O22" s="826"/>
      <c r="P22" s="826"/>
      <c r="Q22" s="827"/>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72.75" customHeight="1">
      <c r="A23" s="3"/>
      <c r="B23" s="813" t="str">
        <f>+'Data Entry'!B123</f>
        <v>Percentage of PWID reached with HIV prevention programs - defined package of services</v>
      </c>
      <c r="C23" s="814"/>
      <c r="D23" s="815"/>
      <c r="E23" s="460">
        <f ca="1">OFFSET('Data Entry'!$G$116,7,RIGHT('Data Entry'!$C$16,LEN('Data Entry'!$C$16)-1),1,1)</f>
        <v>27562.5</v>
      </c>
      <c r="F23" s="460">
        <f ca="1">OFFSET('Data Entry'!$G$116,8,RIGHT('Data Entry'!$C$16,LEN('Data Entry'!$C$16)-1),1,1)</f>
        <v>30440</v>
      </c>
      <c r="G23" s="804">
        <f t="shared" ca="1" si="0"/>
        <v>1.1043990929705216</v>
      </c>
      <c r="H23" s="805"/>
      <c r="I23" s="805"/>
      <c r="J23" s="805"/>
      <c r="K23" s="806"/>
      <c r="L23" s="829"/>
      <c r="M23" s="830"/>
      <c r="N23" s="830"/>
      <c r="O23" s="830"/>
      <c r="P23" s="830"/>
      <c r="Q23" s="831"/>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81.75" customHeight="1">
      <c r="A24" s="3"/>
      <c r="B24" s="816" t="str">
        <f>+'Data Entry'!B125</f>
        <v>Percentage of MSM that have received an HIV test during the reporting period and know their results</v>
      </c>
      <c r="C24" s="816"/>
      <c r="D24" s="816"/>
      <c r="E24" s="460">
        <f ca="1">OFFSET('Data Entry'!$G$116,9,RIGHT('Data Entry'!$C$16,LEN('Data Entry'!$C$16)-1),1,1)</f>
        <v>4162.5</v>
      </c>
      <c r="F24" s="460">
        <f ca="1">OFFSET('Data Entry'!$G$116,10,RIGHT('Data Entry'!$C$16,LEN('Data Entry'!$C$16)-1),1,1)</f>
        <v>4170</v>
      </c>
      <c r="G24" s="817">
        <f t="shared" ca="1" si="0"/>
        <v>1.0018018018018018</v>
      </c>
      <c r="H24" s="818"/>
      <c r="I24" s="818"/>
      <c r="J24" s="818"/>
      <c r="K24" s="819"/>
      <c r="L24" s="825"/>
      <c r="M24" s="826"/>
      <c r="N24" s="826"/>
      <c r="O24" s="826"/>
      <c r="P24" s="826"/>
      <c r="Q24" s="827"/>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51" customHeight="1">
      <c r="A25" s="3"/>
      <c r="B25" s="816" t="str">
        <f>+'Data Entry'!B127</f>
        <v>Percentage of sex workers reached with HIV prevention programs - defined package of services</v>
      </c>
      <c r="C25" s="816"/>
      <c r="D25" s="816"/>
      <c r="E25" s="460">
        <f ca="1">OFFSET('Data Entry'!$G$116,11,RIGHT('Data Entry'!$C$16,LEN('Data Entry'!$C$16)-1),1,1)</f>
        <v>2925</v>
      </c>
      <c r="F25" s="460">
        <f ca="1">OFFSET('Data Entry'!$G$116,12,RIGHT('Data Entry'!$C$16,LEN('Data Entry'!$C$16)-1),1,1)</f>
        <v>3824</v>
      </c>
      <c r="G25" s="804">
        <f t="shared" ca="1" si="0"/>
        <v>1.3073504273504273</v>
      </c>
      <c r="H25" s="805"/>
      <c r="I25" s="805"/>
      <c r="J25" s="805"/>
      <c r="K25" s="806"/>
      <c r="L25" s="825"/>
      <c r="M25" s="826"/>
      <c r="N25" s="826"/>
      <c r="O25" s="826"/>
      <c r="P25" s="826"/>
      <c r="Q25" s="827"/>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58.5" customHeight="1">
      <c r="A26" s="3"/>
      <c r="B26" s="816" t="str">
        <f>+'Data Entry'!B129</f>
        <v>Percentage of sex workers that have received an HIV test during the reporting period and know their results</v>
      </c>
      <c r="C26" s="816"/>
      <c r="D26" s="816"/>
      <c r="E26" s="460">
        <f ca="1">OFFSET('Data Entry'!$G$116,13,RIGHT('Data Entry'!$C$16,LEN('Data Entry'!$C$16)-1),1,1)</f>
        <v>2193.75</v>
      </c>
      <c r="F26" s="460">
        <f ca="1">OFFSET('Data Entry'!$G$116,14,RIGHT('Data Entry'!$C$16,LEN('Data Entry'!$C$16)-1),1,1)</f>
        <v>1997</v>
      </c>
      <c r="G26" s="804">
        <f t="shared" ca="1" si="0"/>
        <v>0.91031339031339031</v>
      </c>
      <c r="H26" s="805"/>
      <c r="I26" s="805"/>
      <c r="J26" s="805"/>
      <c r="K26" s="806"/>
      <c r="L26" s="825"/>
      <c r="M26" s="826"/>
      <c r="N26" s="826"/>
      <c r="O26" s="826"/>
      <c r="P26" s="826"/>
      <c r="Q26" s="827"/>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61.5" customHeight="1">
      <c r="A27" s="3"/>
      <c r="B27" s="816" t="str">
        <f>+'Data Entry'!B131</f>
        <v>Percentage of other vulnerable populations (prisoners) that have received an HIV test during the reporting period and know their results</v>
      </c>
      <c r="C27" s="816"/>
      <c r="D27" s="816"/>
      <c r="E27" s="460">
        <f ca="1">OFFSET('Data Entry'!$G$116,15,RIGHT('Data Entry'!$C$16,LEN('Data Entry'!$C$16)-1),1,1)</f>
        <v>3517.5</v>
      </c>
      <c r="F27" s="460">
        <f ca="1">OFFSET('Data Entry'!$G$116,16,RIGHT('Data Entry'!$C$16,LEN('Data Entry'!$C$16)-1),1,1)</f>
        <v>3955</v>
      </c>
      <c r="G27" s="804">
        <f t="shared" ca="1" si="0"/>
        <v>1.1243781094527363</v>
      </c>
      <c r="H27" s="805"/>
      <c r="I27" s="805"/>
      <c r="J27" s="805"/>
      <c r="K27" s="806"/>
      <c r="L27" s="825"/>
      <c r="M27" s="826"/>
      <c r="N27" s="826"/>
      <c r="O27" s="826"/>
      <c r="P27" s="826"/>
      <c r="Q27" s="827"/>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84.75" hidden="1" customHeight="1">
      <c r="A28" s="499"/>
      <c r="B28" s="824" t="s">
        <v>440</v>
      </c>
      <c r="C28" s="824"/>
      <c r="D28" s="824"/>
      <c r="E28" s="486"/>
      <c r="F28" s="486"/>
      <c r="G28" s="832" t="e">
        <f>F28/E28</f>
        <v>#DIV/0!</v>
      </c>
      <c r="H28" s="832"/>
      <c r="I28" s="832"/>
      <c r="J28" s="832"/>
      <c r="K28" s="832"/>
      <c r="L28" s="828"/>
      <c r="M28" s="828"/>
      <c r="N28" s="828"/>
      <c r="O28" s="828"/>
      <c r="P28" s="828"/>
      <c r="Q28" s="828"/>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customHeight="1">
      <c r="A29" s="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20"/>
      <c r="C31" s="820"/>
      <c r="D31" s="820"/>
      <c r="E31" s="821"/>
      <c r="F31" s="822"/>
      <c r="G31" s="823"/>
      <c r="H31" s="823"/>
      <c r="I31" s="823"/>
      <c r="J31" s="823"/>
      <c r="K31" s="821"/>
      <c r="L31" s="822"/>
      <c r="M31" s="823"/>
      <c r="N31" s="823"/>
      <c r="O31" s="823"/>
      <c r="P31" s="823"/>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12"/>
      <c r="C33" s="812"/>
      <c r="D33" s="812"/>
      <c r="E33" s="812"/>
      <c r="F33" s="812"/>
      <c r="G33" s="812"/>
      <c r="H33" s="812"/>
      <c r="I33" s="812"/>
      <c r="J33" s="812"/>
      <c r="K33" s="812"/>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12"/>
      <c r="C34" s="812"/>
      <c r="D34" s="812"/>
      <c r="E34" s="812"/>
      <c r="F34" s="812"/>
      <c r="G34" s="812"/>
      <c r="H34" s="812"/>
      <c r="I34" s="812"/>
      <c r="J34" s="812"/>
      <c r="K34" s="812"/>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2">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 ref="L31:P31"/>
    <mergeCell ref="L20:Q20"/>
    <mergeCell ref="L21:Q21"/>
    <mergeCell ref="L22:Q22"/>
    <mergeCell ref="L28:Q28"/>
    <mergeCell ref="L23:Q23"/>
    <mergeCell ref="L24:Q24"/>
    <mergeCell ref="L25:Q25"/>
    <mergeCell ref="L26:Q26"/>
    <mergeCell ref="L27:Q27"/>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G20:K20"/>
    <mergeCell ref="G21:K21"/>
    <mergeCell ref="G22:K22"/>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B27" zoomScale="130" zoomScaleNormal="130" zoomScalePageLayoutView="130" workbookViewId="0">
      <selection activeCell="D40" sqref="D40:G40"/>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07" t="str">
        <f>+"Dashboard:  "&amp;"  "&amp;IF(+'Data Entry'!C4="Please Select","",'Data Entry'!C4&amp;" - ")&amp;IF('Data Entry'!G6="Please Select","",'Data Entry'!G6)</f>
        <v>Dashboard:    Georgia - HIV / AIDS</v>
      </c>
      <c r="C2" s="807"/>
      <c r="D2" s="807"/>
      <c r="E2" s="807"/>
      <c r="F2" s="807"/>
      <c r="G2" s="807"/>
      <c r="H2" s="807"/>
      <c r="I2" s="807"/>
      <c r="J2" s="807"/>
      <c r="K2" s="807"/>
      <c r="L2" s="807"/>
      <c r="M2" s="807"/>
      <c r="N2" s="807"/>
      <c r="O2" s="73"/>
    </row>
    <row r="3" spans="1:15" customFormat="1" ht="18.75">
      <c r="A3" s="3"/>
      <c r="B3" s="132" t="str">
        <f>+IF('Data Entry'!G8="Please Select","",'Data Entry'!G8)</f>
        <v>NFM</v>
      </c>
      <c r="C3" s="784" t="str">
        <f>+IF('Data Entry'!I8="Please Select","",'Data Entry'!I8)</f>
        <v>N/A</v>
      </c>
      <c r="D3" s="784"/>
      <c r="E3" s="810"/>
      <c r="F3" s="810"/>
      <c r="G3" s="810"/>
      <c r="H3" s="810"/>
      <c r="I3" s="810"/>
      <c r="J3" s="810"/>
      <c r="K3" s="810"/>
      <c r="L3" s="132" t="str">
        <f>+'Data Entry'!B16</f>
        <v>Report Period:</v>
      </c>
      <c r="M3" s="198" t="str">
        <f>+'Data Entry'!C16</f>
        <v>P1</v>
      </c>
      <c r="N3" s="198"/>
      <c r="O3" s="31"/>
    </row>
    <row r="4" spans="1:15" customFormat="1" ht="15">
      <c r="A4" s="3"/>
      <c r="B4" s="132" t="str">
        <f>+'Data Entry'!B12</f>
        <v>Latest Rating:</v>
      </c>
      <c r="C4" s="811" t="str">
        <f>+IF('Data Entry'!C12="Please Select","",'Data Entry'!C12)</f>
        <v>B2</v>
      </c>
      <c r="D4" s="811"/>
      <c r="E4" s="783" t="str">
        <f>+'Data Entry'!C8</f>
        <v>NCDC</v>
      </c>
      <c r="F4" s="783"/>
      <c r="G4" s="783"/>
      <c r="H4" s="783"/>
      <c r="I4" s="783"/>
      <c r="J4" s="783"/>
      <c r="K4" s="783"/>
      <c r="L4" s="132" t="str">
        <f>+'Data Entry'!D16</f>
        <v>From:</v>
      </c>
      <c r="M4" s="199">
        <f>+IF(ISBLANK('Data Entry'!E16),"",'Data Entry'!E16)</f>
        <v>43647</v>
      </c>
      <c r="N4" s="199"/>
      <c r="O4" s="31"/>
    </row>
    <row r="5" spans="1:15" customFormat="1" ht="18.75" customHeight="1">
      <c r="A5" s="3"/>
      <c r="B5" s="132"/>
      <c r="C5" s="132"/>
      <c r="D5" s="133"/>
      <c r="E5" s="783" t="str">
        <f>+'Data Entry'!G4</f>
        <v xml:space="preserve">Sustaining and Scaling up the Effective HIV/AIDS Prevention, Treatment and Care in Georgia </v>
      </c>
      <c r="F5" s="783"/>
      <c r="G5" s="783"/>
      <c r="H5" s="783"/>
      <c r="I5" s="783"/>
      <c r="J5" s="783"/>
      <c r="K5" s="783"/>
      <c r="L5" s="132" t="str">
        <f>+'Data Entry'!F16</f>
        <v>To:</v>
      </c>
      <c r="M5" s="199">
        <f>+IF(ISBLANK('Data Entry'!G16),"",'Data Entry'!G16)</f>
        <v>43738</v>
      </c>
      <c r="N5" s="199"/>
    </row>
    <row r="6" spans="1:15" customFormat="1" ht="22.5" customHeight="1">
      <c r="A6" s="3"/>
      <c r="B6" s="137"/>
      <c r="C6" s="138"/>
      <c r="D6" s="139"/>
      <c r="E6" s="888" t="s">
        <v>314</v>
      </c>
      <c r="F6" s="888"/>
      <c r="G6" s="888"/>
      <c r="H6" s="888"/>
      <c r="I6" s="888"/>
      <c r="J6" s="888"/>
      <c r="K6" s="888"/>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52" t="s">
        <v>98</v>
      </c>
      <c r="C8" s="852"/>
      <c r="D8" s="852"/>
      <c r="E8" s="852"/>
      <c r="F8" s="852"/>
      <c r="G8" s="852"/>
      <c r="H8" s="852"/>
      <c r="I8" s="852"/>
      <c r="J8" s="852"/>
      <c r="K8" s="852"/>
      <c r="L8" s="852"/>
      <c r="M8" s="852"/>
      <c r="N8" s="852"/>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73" t="s">
        <v>93</v>
      </c>
      <c r="C10" s="865"/>
      <c r="D10" s="853" t="s">
        <v>97</v>
      </c>
      <c r="E10" s="854"/>
      <c r="F10" s="854"/>
      <c r="G10" s="855"/>
      <c r="H10" s="159"/>
      <c r="I10" s="853" t="s">
        <v>314</v>
      </c>
      <c r="J10" s="854"/>
      <c r="K10" s="854"/>
      <c r="L10" s="854"/>
      <c r="M10" s="854"/>
      <c r="N10" s="855"/>
    </row>
    <row r="11" spans="1:15" s="34" customFormat="1" ht="28.5" customHeight="1">
      <c r="A11" s="156"/>
      <c r="B11" s="410" t="s">
        <v>101</v>
      </c>
      <c r="C11" s="176"/>
      <c r="D11" s="876" t="str">
        <f>IF(ISBLANK(Finance!C9),"",(Finance!C9))</f>
        <v/>
      </c>
      <c r="E11" s="876"/>
      <c r="F11" s="876"/>
      <c r="G11" s="877"/>
      <c r="H11" s="182"/>
      <c r="I11" s="879"/>
      <c r="J11" s="880"/>
      <c r="K11" s="880"/>
      <c r="L11" s="880"/>
      <c r="M11" s="880"/>
      <c r="N11" s="881"/>
    </row>
    <row r="12" spans="1:15" s="34" customFormat="1" ht="27.75" customHeight="1">
      <c r="A12" s="156"/>
      <c r="B12" s="411" t="s">
        <v>102</v>
      </c>
      <c r="C12" s="177"/>
      <c r="D12" s="876" t="str">
        <f>IF(ISBLANK(Finance!C23),"",(Finance!C23))</f>
        <v/>
      </c>
      <c r="E12" s="876"/>
      <c r="F12" s="876"/>
      <c r="G12" s="877"/>
      <c r="H12" s="182"/>
      <c r="I12" s="867"/>
      <c r="J12" s="868"/>
      <c r="K12" s="868"/>
      <c r="L12" s="868"/>
      <c r="M12" s="868"/>
      <c r="N12" s="869"/>
    </row>
    <row r="13" spans="1:15" s="34" customFormat="1" ht="26.25" customHeight="1">
      <c r="A13" s="156"/>
      <c r="B13" s="411" t="s">
        <v>103</v>
      </c>
      <c r="C13" s="177"/>
      <c r="D13" s="876" t="str">
        <f>IF(ISBLANK(Finance!I9),"",(Finance!I9))</f>
        <v/>
      </c>
      <c r="E13" s="876"/>
      <c r="F13" s="876"/>
      <c r="G13" s="877"/>
      <c r="H13" s="182"/>
      <c r="I13" s="867"/>
      <c r="J13" s="868"/>
      <c r="K13" s="868"/>
      <c r="L13" s="868"/>
      <c r="M13" s="868"/>
      <c r="N13" s="869"/>
    </row>
    <row r="14" spans="1:15" s="34" customFormat="1" ht="28.5" customHeight="1" thickBot="1">
      <c r="A14" s="156"/>
      <c r="B14" s="412" t="s">
        <v>104</v>
      </c>
      <c r="C14" s="178"/>
      <c r="D14" s="874" t="str">
        <f>IF(ISBLANK(Finance!I23),"",(Finance!I23))</f>
        <v/>
      </c>
      <c r="E14" s="874"/>
      <c r="F14" s="874"/>
      <c r="G14" s="875"/>
      <c r="H14" s="182"/>
      <c r="I14" s="870"/>
      <c r="J14" s="871"/>
      <c r="K14" s="871"/>
      <c r="L14" s="871"/>
      <c r="M14" s="871"/>
      <c r="N14" s="872"/>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52" t="s">
        <v>100</v>
      </c>
      <c r="C16" s="852"/>
      <c r="D16" s="852"/>
      <c r="E16" s="852"/>
      <c r="F16" s="852"/>
      <c r="G16" s="852"/>
      <c r="H16" s="852"/>
      <c r="I16" s="852"/>
      <c r="J16" s="852"/>
      <c r="K16" s="852"/>
      <c r="L16" s="852"/>
      <c r="M16" s="852"/>
      <c r="N16" s="852"/>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865" t="s">
        <v>94</v>
      </c>
      <c r="C18" s="866"/>
      <c r="D18" s="885" t="s">
        <v>97</v>
      </c>
      <c r="E18" s="886"/>
      <c r="F18" s="886"/>
      <c r="G18" s="887"/>
      <c r="H18" s="159"/>
      <c r="I18" s="882" t="s">
        <v>314</v>
      </c>
      <c r="J18" s="883"/>
      <c r="K18" s="883"/>
      <c r="L18" s="883"/>
      <c r="M18" s="884"/>
      <c r="N18" s="884"/>
    </row>
    <row r="19" spans="1:15" s="34" customFormat="1" ht="21.75" customHeight="1">
      <c r="A19" s="156"/>
      <c r="B19" s="413" t="s">
        <v>109</v>
      </c>
      <c r="C19" s="184"/>
      <c r="D19" s="892" t="str">
        <f>IF(ISBLANK(Management!C8),"",(Management!C8))</f>
        <v/>
      </c>
      <c r="E19" s="892"/>
      <c r="F19" s="892"/>
      <c r="G19" s="893"/>
      <c r="H19" s="185"/>
      <c r="I19" s="856"/>
      <c r="J19" s="857"/>
      <c r="K19" s="857"/>
      <c r="L19" s="857"/>
      <c r="M19" s="857"/>
      <c r="N19" s="858"/>
    </row>
    <row r="20" spans="1:15" ht="24.75" customHeight="1">
      <c r="A20" s="150"/>
      <c r="B20" s="414" t="s">
        <v>110</v>
      </c>
      <c r="C20" s="186"/>
      <c r="D20" s="876" t="str">
        <f>IF(ISBLANK(Management!I8),"",(Management!I8))</f>
        <v/>
      </c>
      <c r="E20" s="876" t="e">
        <f>+'Data Entry'!D72/'Data Entry'!G72</f>
        <v>#DIV/0!</v>
      </c>
      <c r="F20" s="876" t="e">
        <f>+('Data Entry'!E72+'Data Entry'!F72)/'Data Entry'!G72</f>
        <v>#DIV/0!</v>
      </c>
      <c r="G20" s="878"/>
      <c r="H20" s="185"/>
      <c r="I20" s="862"/>
      <c r="J20" s="863"/>
      <c r="K20" s="863"/>
      <c r="L20" s="863"/>
      <c r="M20" s="863"/>
      <c r="N20" s="864"/>
      <c r="O20" s="35"/>
    </row>
    <row r="21" spans="1:15" ht="29.25" customHeight="1">
      <c r="A21" s="150"/>
      <c r="B21" s="415" t="s">
        <v>111</v>
      </c>
      <c r="C21" s="186"/>
      <c r="D21" s="876" t="str">
        <f>IF(ISBLANK(Management!C16),"",(Management!C16))</f>
        <v/>
      </c>
      <c r="E21" s="876"/>
      <c r="F21" s="876"/>
      <c r="G21" s="878"/>
      <c r="H21" s="185"/>
      <c r="I21" s="862"/>
      <c r="J21" s="863"/>
      <c r="K21" s="863"/>
      <c r="L21" s="863"/>
      <c r="M21" s="863"/>
      <c r="N21" s="864"/>
      <c r="O21" s="35"/>
    </row>
    <row r="22" spans="1:15" ht="26.25" customHeight="1">
      <c r="A22" s="150"/>
      <c r="B22" s="415" t="s">
        <v>112</v>
      </c>
      <c r="C22" s="186"/>
      <c r="D22" s="876" t="str">
        <f>IF(ISBLANK(Management!I16),"",(Management!I16))</f>
        <v/>
      </c>
      <c r="E22" s="876"/>
      <c r="F22" s="876"/>
      <c r="G22" s="878"/>
      <c r="H22" s="185"/>
      <c r="I22" s="862"/>
      <c r="J22" s="863"/>
      <c r="K22" s="863"/>
      <c r="L22" s="863"/>
      <c r="M22" s="863"/>
      <c r="N22" s="864"/>
      <c r="O22" s="35"/>
    </row>
    <row r="23" spans="1:15" ht="24.75" customHeight="1">
      <c r="A23" s="150"/>
      <c r="B23" s="415" t="s">
        <v>113</v>
      </c>
      <c r="C23" s="186"/>
      <c r="D23" s="876" t="str">
        <f>IF(ISBLANK(Management!C27),"",(Management!C27))</f>
        <v/>
      </c>
      <c r="E23" s="876"/>
      <c r="F23" s="876"/>
      <c r="G23" s="878"/>
      <c r="H23" s="185"/>
      <c r="I23" s="862"/>
      <c r="J23" s="863"/>
      <c r="K23" s="863"/>
      <c r="L23" s="863"/>
      <c r="M23" s="863"/>
      <c r="N23" s="864"/>
      <c r="O23" s="35"/>
    </row>
    <row r="24" spans="1:15" ht="27" customHeight="1" thickBot="1">
      <c r="A24" s="150"/>
      <c r="B24" s="416" t="s">
        <v>115</v>
      </c>
      <c r="C24" s="187"/>
      <c r="D24" s="895" t="str">
        <f>IF(ISBLANK(Management!I27),"",(Management!I27))</f>
        <v/>
      </c>
      <c r="E24" s="895"/>
      <c r="F24" s="895"/>
      <c r="G24" s="896"/>
      <c r="H24" s="185"/>
      <c r="I24" s="859"/>
      <c r="J24" s="860"/>
      <c r="K24" s="860"/>
      <c r="L24" s="860"/>
      <c r="M24" s="860"/>
      <c r="N24" s="861"/>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52" t="s">
        <v>99</v>
      </c>
      <c r="C26" s="852"/>
      <c r="D26" s="852"/>
      <c r="E26" s="852"/>
      <c r="F26" s="852"/>
      <c r="G26" s="852"/>
      <c r="H26" s="852"/>
      <c r="I26" s="852"/>
      <c r="J26" s="852"/>
      <c r="K26" s="852"/>
      <c r="L26" s="852"/>
      <c r="M26" s="852"/>
      <c r="N26" s="852"/>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73" t="s">
        <v>7</v>
      </c>
      <c r="C28" s="866"/>
      <c r="D28" s="900" t="s">
        <v>97</v>
      </c>
      <c r="E28" s="901"/>
      <c r="F28" s="901"/>
      <c r="G28" s="902"/>
      <c r="H28" s="159"/>
      <c r="I28" s="900" t="s">
        <v>314</v>
      </c>
      <c r="J28" s="901"/>
      <c r="K28" s="901"/>
      <c r="L28" s="901"/>
      <c r="M28" s="901"/>
      <c r="N28" s="902"/>
      <c r="O28" s="35"/>
    </row>
    <row r="29" spans="1:15" ht="29.25" customHeight="1">
      <c r="A29" s="150"/>
      <c r="B29" s="417" t="s">
        <v>315</v>
      </c>
      <c r="C29" s="188"/>
      <c r="D29" s="903" t="str">
        <f>IF(ISBLANK(Programmatic!C9),"",(Programmatic!C9))</f>
        <v/>
      </c>
      <c r="E29" s="904"/>
      <c r="F29" s="904"/>
      <c r="G29" s="905"/>
      <c r="H29" s="185"/>
      <c r="I29" s="897"/>
      <c r="J29" s="898"/>
      <c r="K29" s="898"/>
      <c r="L29" s="898"/>
      <c r="M29" s="898"/>
      <c r="N29" s="899"/>
      <c r="O29" s="35"/>
    </row>
    <row r="30" spans="1:15" ht="21.75" customHeight="1">
      <c r="A30" s="150"/>
      <c r="B30" s="418" t="s">
        <v>316</v>
      </c>
      <c r="C30" s="189"/>
      <c r="D30" s="894" t="str">
        <f>IF(ISBLANK(Programmatic!G9),"",(Programmatic!G9))</f>
        <v/>
      </c>
      <c r="E30" s="890"/>
      <c r="F30" s="890"/>
      <c r="G30" s="891"/>
      <c r="H30" s="185"/>
      <c r="I30" s="849"/>
      <c r="J30" s="850"/>
      <c r="K30" s="850"/>
      <c r="L30" s="850"/>
      <c r="M30" s="850"/>
      <c r="N30" s="851"/>
      <c r="O30" s="35"/>
    </row>
    <row r="31" spans="1:15" ht="21.75" customHeight="1">
      <c r="A31" s="150"/>
      <c r="B31" s="418" t="s">
        <v>317</v>
      </c>
      <c r="C31" s="189"/>
      <c r="D31" s="894" t="str">
        <f>IF(ISBLANK(Programmatic!M9),"",(Programmatic!M9))</f>
        <v/>
      </c>
      <c r="E31" s="890"/>
      <c r="F31" s="890"/>
      <c r="G31" s="891"/>
      <c r="H31" s="185"/>
      <c r="I31" s="849"/>
      <c r="J31" s="850"/>
      <c r="K31" s="850"/>
      <c r="L31" s="850"/>
      <c r="M31" s="850"/>
      <c r="N31" s="851"/>
      <c r="O31" s="35"/>
    </row>
    <row r="32" spans="1:15" ht="21.75" customHeight="1">
      <c r="A32" s="150"/>
      <c r="B32" s="419" t="s">
        <v>105</v>
      </c>
      <c r="C32" s="189"/>
      <c r="D32" s="889" t="str">
        <f>IF(ISBLANK(Programmatic!L20),"",(Programmatic!L20))</f>
        <v/>
      </c>
      <c r="E32" s="890"/>
      <c r="F32" s="890"/>
      <c r="G32" s="891"/>
      <c r="H32" s="185"/>
      <c r="I32" s="849"/>
      <c r="J32" s="850"/>
      <c r="K32" s="850"/>
      <c r="L32" s="850"/>
      <c r="M32" s="850"/>
      <c r="N32" s="851"/>
      <c r="O32" s="35"/>
    </row>
    <row r="33" spans="1:15" ht="27" customHeight="1">
      <c r="A33" s="150"/>
      <c r="B33" s="419" t="s">
        <v>106</v>
      </c>
      <c r="C33" s="189"/>
      <c r="D33" s="889" t="str">
        <f>IF(ISBLANK(Programmatic!L21),"",(Programmatic!L21))</f>
        <v/>
      </c>
      <c r="E33" s="890"/>
      <c r="F33" s="890"/>
      <c r="G33" s="891"/>
      <c r="H33" s="185"/>
      <c r="I33" s="849"/>
      <c r="J33" s="850"/>
      <c r="K33" s="850"/>
      <c r="L33" s="850"/>
      <c r="M33" s="850"/>
      <c r="N33" s="851"/>
      <c r="O33" s="35"/>
    </row>
    <row r="34" spans="1:15" ht="21.75" customHeight="1">
      <c r="A34" s="150"/>
      <c r="B34" s="419" t="s">
        <v>107</v>
      </c>
      <c r="C34" s="189"/>
      <c r="D34" s="889" t="str">
        <f>IF(ISBLANK(Programmatic!L22),"",(Programmatic!L22))</f>
        <v/>
      </c>
      <c r="E34" s="890"/>
      <c r="F34" s="890"/>
      <c r="G34" s="891"/>
      <c r="H34" s="185"/>
      <c r="I34" s="849"/>
      <c r="J34" s="850"/>
      <c r="K34" s="850"/>
      <c r="L34" s="850"/>
      <c r="M34" s="850"/>
      <c r="N34" s="851"/>
      <c r="O34" s="35"/>
    </row>
    <row r="35" spans="1:15" ht="21.75" customHeight="1">
      <c r="A35" s="150"/>
      <c r="B35" s="419" t="s">
        <v>108</v>
      </c>
      <c r="C35" s="232"/>
      <c r="D35" s="889" t="str">
        <f>IF(ISBLANK(Programmatic!L23),"",(Programmatic!L23))</f>
        <v/>
      </c>
      <c r="E35" s="890"/>
      <c r="F35" s="890"/>
      <c r="G35" s="891"/>
      <c r="H35" s="185"/>
      <c r="I35" s="849"/>
      <c r="J35" s="850"/>
      <c r="K35" s="850"/>
      <c r="L35" s="850"/>
      <c r="M35" s="850"/>
      <c r="N35" s="851"/>
      <c r="O35" s="35"/>
    </row>
    <row r="36" spans="1:15" ht="21.75" customHeight="1">
      <c r="A36" s="150"/>
      <c r="B36" s="419" t="s">
        <v>120</v>
      </c>
      <c r="C36" s="232"/>
      <c r="D36" s="889" t="str">
        <f>IF(ISBLANK(Programmatic!L24),"",(Programmatic!L24))</f>
        <v/>
      </c>
      <c r="E36" s="890"/>
      <c r="F36" s="890"/>
      <c r="G36" s="891"/>
      <c r="H36" s="185"/>
      <c r="I36" s="849"/>
      <c r="J36" s="850"/>
      <c r="K36" s="850"/>
      <c r="L36" s="850"/>
      <c r="M36" s="850"/>
      <c r="N36" s="851"/>
      <c r="O36" s="35"/>
    </row>
    <row r="37" spans="1:15" ht="21.75" customHeight="1">
      <c r="A37" s="150"/>
      <c r="B37" s="419" t="s">
        <v>121</v>
      </c>
      <c r="C37" s="232"/>
      <c r="D37" s="889" t="str">
        <f>IF(ISBLANK(Programmatic!L25),"",(Programmatic!L25))</f>
        <v/>
      </c>
      <c r="E37" s="890"/>
      <c r="F37" s="890"/>
      <c r="G37" s="891"/>
      <c r="H37" s="185"/>
      <c r="I37" s="849"/>
      <c r="J37" s="850"/>
      <c r="K37" s="850"/>
      <c r="L37" s="850"/>
      <c r="M37" s="850"/>
      <c r="N37" s="851"/>
      <c r="O37" s="35"/>
    </row>
    <row r="38" spans="1:15" ht="21.75" customHeight="1">
      <c r="A38" s="150"/>
      <c r="B38" s="419" t="s">
        <v>122</v>
      </c>
      <c r="C38" s="232"/>
      <c r="D38" s="889" t="str">
        <f>IF(ISBLANK(Programmatic!L26),"",(Programmatic!L26))</f>
        <v/>
      </c>
      <c r="E38" s="890"/>
      <c r="F38" s="890"/>
      <c r="G38" s="891"/>
      <c r="H38" s="185"/>
      <c r="I38" s="849"/>
      <c r="J38" s="850"/>
      <c r="K38" s="850"/>
      <c r="L38" s="850"/>
      <c r="M38" s="850"/>
      <c r="N38" s="851"/>
      <c r="O38" s="35"/>
    </row>
    <row r="39" spans="1:15" ht="21.75" customHeight="1">
      <c r="A39" s="150"/>
      <c r="B39" s="419" t="s">
        <v>123</v>
      </c>
      <c r="C39" s="232"/>
      <c r="D39" s="889" t="str">
        <f>IF(ISBLANK(Programmatic!L27),"",(Programmatic!L27))</f>
        <v/>
      </c>
      <c r="E39" s="890"/>
      <c r="F39" s="890"/>
      <c r="G39" s="891"/>
      <c r="H39" s="185"/>
      <c r="I39" s="849"/>
      <c r="J39" s="850"/>
      <c r="K39" s="850"/>
      <c r="L39" s="850"/>
      <c r="M39" s="850"/>
      <c r="N39" s="851"/>
      <c r="O39" s="35"/>
    </row>
    <row r="40" spans="1:15" ht="21.75" customHeight="1">
      <c r="A40" s="150"/>
      <c r="B40" s="419" t="s">
        <v>124</v>
      </c>
      <c r="C40" s="232"/>
      <c r="D40" s="889" t="str">
        <f>IF(ISBLANK(Programmatic!L28),"",(Programmatic!L28))</f>
        <v/>
      </c>
      <c r="E40" s="890"/>
      <c r="F40" s="890"/>
      <c r="G40" s="891"/>
      <c r="H40" s="185"/>
      <c r="I40" s="849"/>
      <c r="J40" s="850"/>
      <c r="K40" s="850"/>
      <c r="L40" s="850"/>
      <c r="M40" s="850"/>
      <c r="N40" s="851"/>
      <c r="O40" s="35"/>
    </row>
    <row r="41" spans="1:15" ht="21.75" customHeight="1" thickBot="1">
      <c r="A41" s="150"/>
      <c r="B41" s="419" t="s">
        <v>125</v>
      </c>
      <c r="C41" s="190"/>
      <c r="D41" s="889" t="str">
        <f>IF(ISBLANK(Programmatic!L29),"",(Programmatic!L29))</f>
        <v/>
      </c>
      <c r="E41" s="890"/>
      <c r="F41" s="890"/>
      <c r="G41" s="891"/>
      <c r="H41" s="185"/>
      <c r="I41" s="906"/>
      <c r="J41" s="907"/>
      <c r="K41" s="907"/>
      <c r="L41" s="907"/>
      <c r="M41" s="907"/>
      <c r="N41" s="908"/>
      <c r="O41" s="35"/>
    </row>
    <row r="42" spans="1:15" ht="14.25">
      <c r="A42" s="150"/>
      <c r="B42" s="191"/>
      <c r="C42" s="191"/>
      <c r="D42" s="192"/>
      <c r="E42" s="150"/>
      <c r="F42" s="191"/>
      <c r="G42" s="191"/>
      <c r="H42" s="150"/>
      <c r="I42" s="193"/>
      <c r="J42" s="150"/>
      <c r="K42" s="194"/>
      <c r="L42" s="194"/>
      <c r="M42" s="194"/>
      <c r="N42" s="194"/>
      <c r="O42" s="35"/>
    </row>
  </sheetData>
  <sheetProtection password="CFC9" sheet="1"/>
  <mergeCells count="65">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B26:N26"/>
    <mergeCell ref="D23:G23"/>
    <mergeCell ref="D12:G12"/>
    <mergeCell ref="I12:N12"/>
    <mergeCell ref="I22:N22"/>
    <mergeCell ref="B2:N2"/>
    <mergeCell ref="E5:K5"/>
    <mergeCell ref="E6:K6"/>
    <mergeCell ref="E3:K3"/>
    <mergeCell ref="C4:D4"/>
    <mergeCell ref="E4:K4"/>
    <mergeCell ref="C3:D3"/>
    <mergeCell ref="I11:N11"/>
    <mergeCell ref="I18:N18"/>
    <mergeCell ref="D18:G18"/>
    <mergeCell ref="D20:G20"/>
    <mergeCell ref="I21:N21"/>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95" zoomScaleNormal="95" zoomScaleSheetLayoutView="100" zoomScalePageLayoutView="95" workbookViewId="0"/>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801" t="str">
        <f>+"Dashboard:  "&amp;"  "&amp;IF(+'Data Entry'!C4="Please Select","",'Data Entry'!C4&amp;" - ")&amp;IF('Data Entry'!G6="Please Select","",'Data Entry'!G6)</f>
        <v>Dashboard:    Georgia - HIV / AIDS</v>
      </c>
      <c r="C2" s="801"/>
      <c r="D2" s="801"/>
      <c r="E2" s="801"/>
      <c r="F2" s="801"/>
      <c r="G2" s="801"/>
      <c r="H2" s="801"/>
      <c r="I2" s="801"/>
      <c r="J2" s="801"/>
      <c r="K2" s="801"/>
      <c r="L2" s="801"/>
    </row>
    <row r="3" spans="1:13">
      <c r="B3" s="24" t="str">
        <f>+IF('Data Entry'!G8="Please Select","",'Data Entry'!G8)</f>
        <v>NFM</v>
      </c>
      <c r="C3" s="800" t="str">
        <f>+IF('Data Entry'!I8="Please Select","",'Data Entry'!I8)</f>
        <v>N/A</v>
      </c>
      <c r="D3" s="800"/>
      <c r="E3" s="798"/>
      <c r="F3" s="798"/>
      <c r="G3" s="798"/>
      <c r="H3" s="798"/>
      <c r="I3" s="798"/>
      <c r="J3" s="794" t="str">
        <f>+'Data Entry'!B16</f>
        <v>Report Period:</v>
      </c>
      <c r="K3" s="794"/>
      <c r="L3" s="198" t="str">
        <f>+'Data Entry'!C16</f>
        <v>P1</v>
      </c>
      <c r="M3" s="85"/>
    </row>
    <row r="4" spans="1:13">
      <c r="B4" s="24" t="str">
        <f>+'Data Entry'!B12</f>
        <v>Latest Rating:</v>
      </c>
      <c r="C4" s="962" t="str">
        <f>+IF('Data Entry'!C12="Please Select","",'Data Entry'!C12)</f>
        <v>B2</v>
      </c>
      <c r="D4" s="962"/>
      <c r="E4" s="798" t="str">
        <f>+'Data Entry'!C8</f>
        <v>NCDC</v>
      </c>
      <c r="F4" s="798"/>
      <c r="G4" s="798"/>
      <c r="H4" s="798"/>
      <c r="I4" s="798"/>
      <c r="J4" s="794" t="str">
        <f>+'Data Entry'!D16</f>
        <v>From:</v>
      </c>
      <c r="K4" s="795"/>
      <c r="L4" s="199">
        <f>+IF(ISBLANK('Data Entry'!E16),"",'Data Entry'!E16)</f>
        <v>43647</v>
      </c>
    </row>
    <row r="5" spans="1:13" ht="18.75" customHeight="1">
      <c r="B5" s="24"/>
      <c r="C5" s="24"/>
      <c r="D5" s="798" t="str">
        <f>+'Data Entry'!G4</f>
        <v xml:space="preserve">Sustaining and Scaling up the Effective HIV/AIDS Prevention, Treatment and Care in Georgia </v>
      </c>
      <c r="E5" s="798"/>
      <c r="F5" s="798"/>
      <c r="G5" s="798"/>
      <c r="H5" s="798"/>
      <c r="I5" s="798"/>
      <c r="J5" s="798"/>
      <c r="K5" s="24" t="str">
        <f>+'Data Entry'!F16</f>
        <v>To:</v>
      </c>
      <c r="L5" s="199">
        <f>+IF(ISBLANK('Data Entry'!G16),"",'Data Entry'!G16)</f>
        <v>43738</v>
      </c>
    </row>
    <row r="6" spans="1:13" ht="18.75">
      <c r="B6" s="23"/>
      <c r="C6" s="24"/>
      <c r="D6" s="25"/>
      <c r="E6" s="802" t="s">
        <v>370</v>
      </c>
      <c r="F6" s="802"/>
      <c r="G6" s="802"/>
      <c r="H6" s="802"/>
      <c r="I6" s="802"/>
    </row>
    <row r="7" spans="1:13" ht="18.75">
      <c r="E7" s="72"/>
      <c r="F7" s="72"/>
      <c r="G7" s="72"/>
      <c r="H7" s="72"/>
      <c r="I7" s="72"/>
    </row>
    <row r="8" spans="1:13" s="33" customFormat="1" ht="21" customHeight="1" thickBot="1">
      <c r="B8" s="76" t="s">
        <v>95</v>
      </c>
      <c r="C8" s="76"/>
      <c r="D8" s="76"/>
      <c r="E8" s="76"/>
      <c r="F8" s="76"/>
      <c r="G8" s="76"/>
      <c r="H8" s="76"/>
      <c r="I8" s="76"/>
      <c r="J8" s="76"/>
      <c r="K8" s="76"/>
      <c r="L8" s="76"/>
    </row>
    <row r="9" spans="1:13" ht="6" customHeight="1">
      <c r="B9" s="74"/>
    </row>
    <row r="10" spans="1:13">
      <c r="B10" s="946"/>
      <c r="C10" s="947"/>
      <c r="D10" s="947"/>
      <c r="E10" s="947"/>
      <c r="F10" s="947"/>
      <c r="G10" s="947"/>
      <c r="H10" s="947"/>
      <c r="I10" s="947"/>
      <c r="J10" s="947"/>
      <c r="K10" s="947"/>
      <c r="L10" s="948"/>
    </row>
    <row r="11" spans="1:13">
      <c r="B11" s="949"/>
      <c r="C11" s="950"/>
      <c r="D11" s="950"/>
      <c r="E11" s="950"/>
      <c r="F11" s="950"/>
      <c r="G11" s="950"/>
      <c r="H11" s="950"/>
      <c r="I11" s="950"/>
      <c r="J11" s="950"/>
      <c r="K11" s="950"/>
      <c r="L11" s="951"/>
    </row>
    <row r="12" spans="1:13" ht="15.75" thickBot="1"/>
    <row r="13" spans="1:13" ht="26.25" customHeight="1" thickBot="1">
      <c r="B13" s="920" t="s">
        <v>304</v>
      </c>
      <c r="C13" s="921"/>
      <c r="D13" s="921"/>
      <c r="E13" s="922"/>
      <c r="F13" s="77"/>
      <c r="G13" s="916" t="s">
        <v>128</v>
      </c>
      <c r="H13" s="917"/>
      <c r="I13" s="917"/>
      <c r="J13" s="78" t="s">
        <v>96</v>
      </c>
      <c r="K13" s="917" t="s">
        <v>291</v>
      </c>
      <c r="L13" s="952"/>
    </row>
    <row r="14" spans="1:13">
      <c r="A14" s="913" t="s">
        <v>305</v>
      </c>
      <c r="B14" s="941"/>
      <c r="C14" s="941"/>
      <c r="D14" s="941"/>
      <c r="E14" s="942"/>
      <c r="F14" s="46"/>
      <c r="G14" s="958"/>
      <c r="H14" s="959"/>
      <c r="I14" s="959"/>
      <c r="J14" s="957"/>
      <c r="K14" s="959"/>
      <c r="L14" s="963"/>
    </row>
    <row r="15" spans="1:13">
      <c r="A15" s="914"/>
      <c r="B15" s="941"/>
      <c r="C15" s="941"/>
      <c r="D15" s="941"/>
      <c r="E15" s="942"/>
      <c r="F15" s="46"/>
      <c r="G15" s="918"/>
      <c r="H15" s="909"/>
      <c r="I15" s="909"/>
      <c r="J15" s="909"/>
      <c r="K15" s="909"/>
      <c r="L15" s="910"/>
    </row>
    <row r="16" spans="1:13">
      <c r="A16" s="914"/>
      <c r="B16" s="941"/>
      <c r="C16" s="941"/>
      <c r="D16" s="941"/>
      <c r="E16" s="942"/>
      <c r="F16" s="46"/>
      <c r="G16" s="923"/>
      <c r="H16" s="909"/>
      <c r="I16" s="909"/>
      <c r="J16" s="909"/>
      <c r="K16" s="909"/>
      <c r="L16" s="910"/>
    </row>
    <row r="17" spans="1:12">
      <c r="A17" s="914"/>
      <c r="B17" s="941"/>
      <c r="C17" s="941"/>
      <c r="D17" s="941"/>
      <c r="E17" s="942"/>
      <c r="F17" s="46"/>
      <c r="G17" s="918"/>
      <c r="H17" s="909"/>
      <c r="I17" s="909"/>
      <c r="J17" s="909"/>
      <c r="K17" s="909"/>
      <c r="L17" s="910"/>
    </row>
    <row r="18" spans="1:12">
      <c r="A18" s="914"/>
      <c r="B18" s="941"/>
      <c r="C18" s="941"/>
      <c r="D18" s="941"/>
      <c r="E18" s="942"/>
      <c r="F18" s="46"/>
      <c r="G18" s="953"/>
      <c r="H18" s="954"/>
      <c r="I18" s="955"/>
      <c r="J18" s="909"/>
      <c r="K18" s="909"/>
      <c r="L18" s="910"/>
    </row>
    <row r="19" spans="1:12" ht="30.75" customHeight="1">
      <c r="A19" s="914"/>
      <c r="B19" s="941"/>
      <c r="C19" s="941"/>
      <c r="D19" s="941"/>
      <c r="E19" s="942"/>
      <c r="F19" s="46"/>
      <c r="G19" s="930"/>
      <c r="H19" s="931"/>
      <c r="I19" s="956"/>
      <c r="J19" s="909"/>
      <c r="K19" s="909"/>
      <c r="L19" s="910"/>
    </row>
    <row r="20" spans="1:12">
      <c r="A20" s="914"/>
      <c r="B20" s="941"/>
      <c r="C20" s="941"/>
      <c r="D20" s="941"/>
      <c r="E20" s="942"/>
      <c r="F20" s="46"/>
      <c r="G20" s="918"/>
      <c r="H20" s="909"/>
      <c r="I20" s="909"/>
      <c r="J20" s="909"/>
      <c r="K20" s="909"/>
      <c r="L20" s="910"/>
    </row>
    <row r="21" spans="1:12">
      <c r="A21" s="914"/>
      <c r="B21" s="941"/>
      <c r="C21" s="941"/>
      <c r="D21" s="941"/>
      <c r="E21" s="942"/>
      <c r="F21" s="46"/>
      <c r="G21" s="918"/>
      <c r="H21" s="909"/>
      <c r="I21" s="909"/>
      <c r="J21" s="909"/>
      <c r="K21" s="909"/>
      <c r="L21" s="910"/>
    </row>
    <row r="22" spans="1:12">
      <c r="A22" s="914"/>
      <c r="B22" s="941"/>
      <c r="C22" s="941"/>
      <c r="D22" s="941"/>
      <c r="E22" s="942"/>
      <c r="F22" s="46"/>
      <c r="G22" s="918"/>
      <c r="H22" s="909"/>
      <c r="I22" s="909"/>
      <c r="J22" s="909"/>
      <c r="K22" s="909"/>
      <c r="L22" s="910"/>
    </row>
    <row r="23" spans="1:12">
      <c r="A23" s="914"/>
      <c r="B23" s="941"/>
      <c r="C23" s="941"/>
      <c r="D23" s="941"/>
      <c r="E23" s="942"/>
      <c r="F23" s="46"/>
      <c r="G23" s="918"/>
      <c r="H23" s="909"/>
      <c r="I23" s="909"/>
      <c r="J23" s="909"/>
      <c r="K23" s="909"/>
      <c r="L23" s="910"/>
    </row>
    <row r="24" spans="1:12">
      <c r="A24" s="914"/>
      <c r="B24" s="941"/>
      <c r="C24" s="941"/>
      <c r="D24" s="941"/>
      <c r="E24" s="942"/>
      <c r="F24" s="46"/>
      <c r="G24" s="923"/>
      <c r="H24" s="909"/>
      <c r="I24" s="909"/>
      <c r="J24" s="909"/>
      <c r="K24" s="909"/>
      <c r="L24" s="910"/>
    </row>
    <row r="25" spans="1:12" ht="15.75" thickBot="1">
      <c r="A25" s="915"/>
      <c r="B25" s="943"/>
      <c r="C25" s="943"/>
      <c r="D25" s="943"/>
      <c r="E25" s="944"/>
      <c r="F25" s="46"/>
      <c r="G25" s="924"/>
      <c r="H25" s="925"/>
      <c r="I25" s="925"/>
      <c r="J25" s="925"/>
      <c r="K25" s="925"/>
      <c r="L25" s="960"/>
    </row>
    <row r="27" spans="1:12" ht="18.75">
      <c r="E27" s="919" t="s">
        <v>334</v>
      </c>
      <c r="F27" s="919"/>
      <c r="G27" s="919"/>
      <c r="H27" s="919"/>
      <c r="I27" s="919"/>
    </row>
    <row r="28" spans="1:12" ht="6" customHeight="1">
      <c r="E28" s="72"/>
      <c r="F28" s="72"/>
      <c r="G28" s="72"/>
      <c r="H28" s="72"/>
      <c r="I28" s="72"/>
    </row>
    <row r="29" spans="1:12" s="33" customFormat="1" ht="21" customHeight="1" thickBot="1">
      <c r="B29" s="76" t="s">
        <v>95</v>
      </c>
      <c r="C29" s="76"/>
      <c r="D29" s="76"/>
      <c r="E29" s="76"/>
      <c r="F29" s="76"/>
      <c r="G29" s="76"/>
      <c r="H29" s="76"/>
      <c r="I29" s="76"/>
      <c r="J29" s="76"/>
      <c r="K29" s="76"/>
      <c r="L29" s="76"/>
    </row>
    <row r="30" spans="1:12" ht="6" customHeight="1" thickBot="1">
      <c r="B30" s="74"/>
    </row>
    <row r="31" spans="1:12" ht="21.75" customHeight="1" thickBot="1">
      <c r="B31" s="920" t="s">
        <v>128</v>
      </c>
      <c r="C31" s="921"/>
      <c r="D31" s="921"/>
      <c r="E31" s="922"/>
      <c r="F31" s="77"/>
      <c r="G31" s="916" t="s">
        <v>319</v>
      </c>
      <c r="H31" s="917"/>
      <c r="I31" s="917"/>
      <c r="J31" s="78" t="s">
        <v>293</v>
      </c>
      <c r="K31" s="917" t="s">
        <v>291</v>
      </c>
      <c r="L31" s="952"/>
    </row>
    <row r="32" spans="1:12" ht="14.25" customHeight="1">
      <c r="A32" s="913" t="s">
        <v>306</v>
      </c>
      <c r="B32" s="927"/>
      <c r="C32" s="928"/>
      <c r="D32" s="928"/>
      <c r="E32" s="929"/>
      <c r="F32" s="46"/>
      <c r="G32" s="945"/>
      <c r="H32" s="911"/>
      <c r="I32" s="911"/>
      <c r="J32" s="911"/>
      <c r="K32" s="911"/>
      <c r="L32" s="965"/>
    </row>
    <row r="33" spans="1:12" ht="16.5" customHeight="1">
      <c r="A33" s="914"/>
      <c r="B33" s="930"/>
      <c r="C33" s="931"/>
      <c r="D33" s="931"/>
      <c r="E33" s="932"/>
      <c r="F33" s="46"/>
      <c r="G33" s="926"/>
      <c r="H33" s="912"/>
      <c r="I33" s="912"/>
      <c r="J33" s="912"/>
      <c r="K33" s="912"/>
      <c r="L33" s="961"/>
    </row>
    <row r="34" spans="1:12">
      <c r="A34" s="914"/>
      <c r="B34" s="933" t="str">
        <f>IF(Recommendations!I43="","",Recommendations!I43)</f>
        <v/>
      </c>
      <c r="C34" s="934"/>
      <c r="D34" s="934"/>
      <c r="E34" s="935"/>
      <c r="F34" s="46"/>
      <c r="G34" s="926"/>
      <c r="H34" s="912"/>
      <c r="I34" s="912"/>
      <c r="J34" s="912"/>
      <c r="K34" s="912"/>
      <c r="L34" s="961"/>
    </row>
    <row r="35" spans="1:12">
      <c r="A35" s="914"/>
      <c r="B35" s="933"/>
      <c r="C35" s="934"/>
      <c r="D35" s="934"/>
      <c r="E35" s="935"/>
      <c r="F35" s="46"/>
      <c r="G35" s="926"/>
      <c r="H35" s="912"/>
      <c r="I35" s="912"/>
      <c r="J35" s="912"/>
      <c r="K35" s="912"/>
      <c r="L35" s="961"/>
    </row>
    <row r="36" spans="1:12">
      <c r="A36" s="914"/>
      <c r="B36" s="933" t="str">
        <f>+IF(Recommendations!I53="","",Recommendations!I53)</f>
        <v/>
      </c>
      <c r="C36" s="934"/>
      <c r="D36" s="934"/>
      <c r="E36" s="935"/>
      <c r="F36" s="46"/>
      <c r="G36" s="926"/>
      <c r="H36" s="912"/>
      <c r="I36" s="912"/>
      <c r="J36" s="912"/>
      <c r="K36" s="912"/>
      <c r="L36" s="961"/>
    </row>
    <row r="37" spans="1:12">
      <c r="A37" s="914"/>
      <c r="B37" s="933"/>
      <c r="C37" s="934"/>
      <c r="D37" s="934"/>
      <c r="E37" s="935"/>
      <c r="F37" s="46"/>
      <c r="G37" s="926"/>
      <c r="H37" s="912"/>
      <c r="I37" s="912"/>
      <c r="J37" s="912"/>
      <c r="K37" s="912"/>
      <c r="L37" s="961"/>
    </row>
    <row r="38" spans="1:12">
      <c r="A38" s="914"/>
      <c r="B38" s="933"/>
      <c r="C38" s="934"/>
      <c r="D38" s="934"/>
      <c r="E38" s="935"/>
      <c r="F38" s="46"/>
      <c r="G38" s="926"/>
      <c r="H38" s="912"/>
      <c r="I38" s="912"/>
      <c r="J38" s="912"/>
      <c r="K38" s="912"/>
      <c r="L38" s="961"/>
    </row>
    <row r="39" spans="1:12">
      <c r="A39" s="914"/>
      <c r="B39" s="933"/>
      <c r="C39" s="934"/>
      <c r="D39" s="934"/>
      <c r="E39" s="935"/>
      <c r="F39" s="46"/>
      <c r="G39" s="926"/>
      <c r="H39" s="912"/>
      <c r="I39" s="912"/>
      <c r="J39" s="912"/>
      <c r="K39" s="912"/>
      <c r="L39" s="961"/>
    </row>
    <row r="40" spans="1:12">
      <c r="A40" s="914"/>
      <c r="B40" s="933"/>
      <c r="C40" s="934"/>
      <c r="D40" s="934"/>
      <c r="E40" s="935"/>
      <c r="F40" s="46"/>
      <c r="G40" s="926"/>
      <c r="H40" s="912"/>
      <c r="I40" s="912"/>
      <c r="J40" s="912"/>
      <c r="K40" s="912"/>
      <c r="L40" s="961"/>
    </row>
    <row r="41" spans="1:12">
      <c r="A41" s="914"/>
      <c r="B41" s="933"/>
      <c r="C41" s="934"/>
      <c r="D41" s="934"/>
      <c r="E41" s="935"/>
      <c r="F41" s="46"/>
      <c r="G41" s="926"/>
      <c r="H41" s="912"/>
      <c r="I41" s="912"/>
      <c r="J41" s="912"/>
      <c r="K41" s="912"/>
      <c r="L41" s="961"/>
    </row>
    <row r="42" spans="1:12">
      <c r="A42" s="914"/>
      <c r="B42" s="933"/>
      <c r="C42" s="934"/>
      <c r="D42" s="934"/>
      <c r="E42" s="935"/>
      <c r="F42" s="46"/>
      <c r="G42" s="926"/>
      <c r="H42" s="912"/>
      <c r="I42" s="912"/>
      <c r="J42" s="912"/>
      <c r="K42" s="912"/>
      <c r="L42" s="961"/>
    </row>
    <row r="43" spans="1:12" ht="15.75" thickBot="1">
      <c r="A43" s="915"/>
      <c r="B43" s="936"/>
      <c r="C43" s="937"/>
      <c r="D43" s="937"/>
      <c r="E43" s="938"/>
      <c r="F43" s="46"/>
      <c r="G43" s="939"/>
      <c r="H43" s="940"/>
      <c r="I43" s="940"/>
      <c r="J43" s="940"/>
      <c r="K43" s="940"/>
      <c r="L43" s="964"/>
    </row>
  </sheetData>
  <sheetProtection password="CFC9" sheet="1"/>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66" t="str">
        <f>'Grant Detail'!B3:J3</f>
        <v>Dashboard:  Georgia - HIV / AIDS</v>
      </c>
      <c r="C3" s="966"/>
      <c r="D3" s="966"/>
      <c r="E3" s="966"/>
      <c r="F3" s="966"/>
      <c r="G3" s="966"/>
      <c r="H3" s="966"/>
      <c r="I3" s="1"/>
    </row>
    <row r="6" spans="2:15" ht="18.75">
      <c r="B6" s="919" t="s">
        <v>318</v>
      </c>
      <c r="C6" s="919"/>
      <c r="D6" s="919"/>
      <c r="E6" s="919"/>
      <c r="F6" s="919"/>
      <c r="G6" s="919"/>
      <c r="H6" s="919"/>
    </row>
    <row r="8" spans="2:15" ht="18.75">
      <c r="B8" s="62" t="s">
        <v>32</v>
      </c>
      <c r="C8" s="62" t="s">
        <v>35</v>
      </c>
      <c r="D8" s="62" t="s">
        <v>36</v>
      </c>
      <c r="E8" s="62" t="s">
        <v>41</v>
      </c>
      <c r="F8" s="62" t="s">
        <v>285</v>
      </c>
      <c r="G8" s="62" t="s">
        <v>265</v>
      </c>
      <c r="H8" s="62" t="s">
        <v>292</v>
      </c>
      <c r="I8" s="63" t="s">
        <v>87</v>
      </c>
      <c r="J8" s="63" t="s">
        <v>129</v>
      </c>
      <c r="M8" s="19"/>
      <c r="N8" s="19"/>
      <c r="O8" s="19"/>
    </row>
    <row r="9" spans="2:15">
      <c r="B9" s="86" t="s">
        <v>371</v>
      </c>
      <c r="C9" s="86" t="s">
        <v>371</v>
      </c>
      <c r="D9" s="86" t="s">
        <v>371</v>
      </c>
      <c r="E9" s="86" t="s">
        <v>371</v>
      </c>
      <c r="F9" s="86" t="s">
        <v>371</v>
      </c>
      <c r="G9" s="86" t="s">
        <v>371</v>
      </c>
      <c r="H9" s="86" t="s">
        <v>371</v>
      </c>
      <c r="I9" s="404" t="s">
        <v>371</v>
      </c>
      <c r="J9" s="86" t="s">
        <v>371</v>
      </c>
      <c r="M9" s="19"/>
      <c r="N9" s="19"/>
      <c r="O9" s="19"/>
    </row>
    <row r="10" spans="2:15">
      <c r="B10" s="57" t="s">
        <v>27</v>
      </c>
      <c r="C10" s="57" t="s">
        <v>18</v>
      </c>
      <c r="D10" s="57" t="s">
        <v>16</v>
      </c>
      <c r="E10" s="57" t="s">
        <v>17</v>
      </c>
      <c r="F10" s="57" t="s">
        <v>105</v>
      </c>
      <c r="G10" s="409" t="s">
        <v>43</v>
      </c>
      <c r="H10" s="60" t="s">
        <v>48</v>
      </c>
      <c r="I10" s="27" t="s">
        <v>298</v>
      </c>
      <c r="J10" s="86" t="s">
        <v>130</v>
      </c>
      <c r="M10" s="19"/>
      <c r="N10" s="19"/>
      <c r="O10" s="19"/>
    </row>
    <row r="11" spans="2:15">
      <c r="B11" s="57" t="s">
        <v>33</v>
      </c>
      <c r="C11" s="57" t="s">
        <v>13</v>
      </c>
      <c r="D11" s="57" t="s">
        <v>19</v>
      </c>
      <c r="E11" s="57" t="s">
        <v>15</v>
      </c>
      <c r="F11" s="57" t="s">
        <v>106</v>
      </c>
      <c r="G11" s="409" t="s">
        <v>44</v>
      </c>
      <c r="H11" s="60" t="s">
        <v>49</v>
      </c>
      <c r="I11" s="27" t="s">
        <v>299</v>
      </c>
      <c r="J11" s="86" t="s">
        <v>131</v>
      </c>
      <c r="M11" s="19"/>
      <c r="N11" s="19"/>
      <c r="O11" s="19"/>
    </row>
    <row r="12" spans="2:15">
      <c r="B12" s="57" t="s">
        <v>34</v>
      </c>
      <c r="D12" s="57" t="s">
        <v>22</v>
      </c>
      <c r="E12" s="57" t="s">
        <v>23</v>
      </c>
      <c r="F12" s="57" t="s">
        <v>107</v>
      </c>
      <c r="G12" s="409" t="s">
        <v>45</v>
      </c>
      <c r="H12" s="60" t="s">
        <v>50</v>
      </c>
      <c r="I12" s="27" t="s">
        <v>300</v>
      </c>
      <c r="J12" s="86" t="s">
        <v>132</v>
      </c>
      <c r="M12" s="195"/>
      <c r="N12" s="19"/>
      <c r="O12" s="19"/>
    </row>
    <row r="13" spans="2:15">
      <c r="B13" s="57" t="s">
        <v>83</v>
      </c>
      <c r="D13" s="57" t="s">
        <v>24</v>
      </c>
      <c r="E13" s="58"/>
      <c r="F13" s="57" t="s">
        <v>108</v>
      </c>
      <c r="G13" s="409" t="s">
        <v>46</v>
      </c>
      <c r="H13" s="60" t="s">
        <v>51</v>
      </c>
      <c r="I13" s="27" t="s">
        <v>301</v>
      </c>
      <c r="J13" s="86" t="s">
        <v>133</v>
      </c>
      <c r="M13" s="195"/>
      <c r="N13" s="19"/>
      <c r="O13" s="19"/>
    </row>
    <row r="14" spans="2:15">
      <c r="B14" s="57" t="s">
        <v>84</v>
      </c>
      <c r="D14" s="57" t="s">
        <v>37</v>
      </c>
      <c r="F14" s="57" t="s">
        <v>120</v>
      </c>
      <c r="G14" s="409" t="s">
        <v>47</v>
      </c>
      <c r="H14" s="60" t="s">
        <v>52</v>
      </c>
      <c r="I14" s="27" t="s">
        <v>270</v>
      </c>
      <c r="J14" s="86" t="s">
        <v>134</v>
      </c>
      <c r="M14" s="195"/>
      <c r="N14" s="19"/>
      <c r="O14" s="19"/>
    </row>
    <row r="15" spans="2:15">
      <c r="D15" s="57" t="s">
        <v>38</v>
      </c>
      <c r="F15" s="57" t="s">
        <v>121</v>
      </c>
      <c r="H15" s="60" t="s">
        <v>53</v>
      </c>
      <c r="I15" s="27" t="s">
        <v>70</v>
      </c>
      <c r="J15" s="86" t="s">
        <v>135</v>
      </c>
      <c r="M15" s="195"/>
      <c r="N15" s="19"/>
      <c r="O15" s="19"/>
    </row>
    <row r="16" spans="2:15">
      <c r="D16" s="57" t="s">
        <v>39</v>
      </c>
      <c r="F16" s="57" t="s">
        <v>122</v>
      </c>
      <c r="H16" s="60" t="s">
        <v>54</v>
      </c>
      <c r="I16" s="27" t="s">
        <v>71</v>
      </c>
      <c r="J16" s="86" t="s">
        <v>136</v>
      </c>
      <c r="M16" s="195"/>
      <c r="N16" s="19"/>
      <c r="O16" s="19"/>
    </row>
    <row r="17" spans="4:15">
      <c r="D17" s="57" t="s">
        <v>40</v>
      </c>
      <c r="F17" s="57" t="s">
        <v>123</v>
      </c>
      <c r="H17" s="60" t="s">
        <v>55</v>
      </c>
      <c r="I17" s="27" t="s">
        <v>72</v>
      </c>
      <c r="J17" s="86" t="s">
        <v>137</v>
      </c>
      <c r="M17" s="195"/>
      <c r="N17" s="19"/>
      <c r="O17" s="19"/>
    </row>
    <row r="18" spans="4:15">
      <c r="D18" s="57" t="s">
        <v>14</v>
      </c>
      <c r="F18" s="57" t="s">
        <v>124</v>
      </c>
      <c r="H18" s="60" t="s">
        <v>56</v>
      </c>
      <c r="I18" s="27" t="s">
        <v>73</v>
      </c>
      <c r="J18" s="86" t="s">
        <v>138</v>
      </c>
      <c r="M18" s="195"/>
      <c r="N18" s="19"/>
      <c r="O18" s="19"/>
    </row>
    <row r="19" spans="4:15">
      <c r="D19" s="408" t="s">
        <v>367</v>
      </c>
      <c r="F19" s="57" t="s">
        <v>125</v>
      </c>
      <c r="H19" s="60" t="s">
        <v>57</v>
      </c>
      <c r="I19" s="27" t="s">
        <v>74</v>
      </c>
      <c r="J19" s="86" t="s">
        <v>139</v>
      </c>
      <c r="M19" s="195"/>
      <c r="N19" s="19"/>
      <c r="O19" s="19"/>
    </row>
    <row r="20" spans="4:15">
      <c r="D20" s="59"/>
      <c r="F20" s="57" t="s">
        <v>126</v>
      </c>
      <c r="H20" s="60" t="s">
        <v>262</v>
      </c>
      <c r="I20" s="27" t="s">
        <v>75</v>
      </c>
      <c r="J20" s="86" t="s">
        <v>140</v>
      </c>
      <c r="M20" s="19"/>
      <c r="N20" s="19"/>
      <c r="O20" s="19"/>
    </row>
    <row r="21" spans="4:15">
      <c r="D21" s="61"/>
      <c r="F21" s="57" t="s">
        <v>286</v>
      </c>
      <c r="H21" s="61"/>
      <c r="I21" s="27" t="s">
        <v>77</v>
      </c>
      <c r="J21" s="86" t="s">
        <v>141</v>
      </c>
      <c r="M21" s="19"/>
      <c r="N21" s="19"/>
      <c r="O21" s="19"/>
    </row>
    <row r="22" spans="4:15">
      <c r="H22" s="61"/>
      <c r="I22" s="27" t="s">
        <v>78</v>
      </c>
      <c r="J22" s="86" t="s">
        <v>142</v>
      </c>
      <c r="M22" s="19"/>
      <c r="N22" s="19"/>
      <c r="O22" s="19"/>
    </row>
    <row r="23" spans="4:15">
      <c r="I23" s="27" t="s">
        <v>76</v>
      </c>
      <c r="J23" s="86" t="s">
        <v>143</v>
      </c>
      <c r="M23" s="19"/>
      <c r="N23" s="19"/>
      <c r="O23" s="19"/>
    </row>
    <row r="24" spans="4:15">
      <c r="I24" s="27" t="s">
        <v>309</v>
      </c>
      <c r="J24" s="86" t="s">
        <v>144</v>
      </c>
      <c r="M24" s="19"/>
      <c r="N24" s="19"/>
      <c r="O24" s="19"/>
    </row>
    <row r="25" spans="4:15">
      <c r="I25" s="45"/>
      <c r="J25" s="86" t="s">
        <v>145</v>
      </c>
    </row>
    <row r="26" spans="4:15">
      <c r="I26" s="27" t="s">
        <v>313</v>
      </c>
      <c r="J26" s="86" t="s">
        <v>146</v>
      </c>
    </row>
    <row r="27" spans="4:15">
      <c r="I27" s="27" t="s">
        <v>308</v>
      </c>
      <c r="J27" s="86" t="s">
        <v>147</v>
      </c>
    </row>
    <row r="28" spans="4:15">
      <c r="I28" s="45"/>
      <c r="J28" s="86" t="s">
        <v>148</v>
      </c>
    </row>
    <row r="29" spans="4:15">
      <c r="I29" s="45"/>
      <c r="J29" s="86" t="s">
        <v>149</v>
      </c>
    </row>
    <row r="30" spans="4:15">
      <c r="I30" s="45"/>
      <c r="J30" s="86" t="s">
        <v>150</v>
      </c>
    </row>
    <row r="31" spans="4:15">
      <c r="J31" s="86" t="s">
        <v>151</v>
      </c>
    </row>
    <row r="32" spans="4:15">
      <c r="J32" s="86" t="s">
        <v>152</v>
      </c>
    </row>
    <row r="33" spans="10:10">
      <c r="J33" s="86" t="s">
        <v>153</v>
      </c>
    </row>
    <row r="34" spans="10:10">
      <c r="J34" s="86" t="s">
        <v>154</v>
      </c>
    </row>
    <row r="35" spans="10:10">
      <c r="J35" s="86" t="s">
        <v>155</v>
      </c>
    </row>
    <row r="36" spans="10:10">
      <c r="J36" s="86" t="s">
        <v>155</v>
      </c>
    </row>
    <row r="37" spans="10:10">
      <c r="J37" s="86" t="s">
        <v>156</v>
      </c>
    </row>
    <row r="38" spans="10:10">
      <c r="J38" s="86" t="s">
        <v>157</v>
      </c>
    </row>
    <row r="39" spans="10:10">
      <c r="J39" s="86" t="s">
        <v>158</v>
      </c>
    </row>
    <row r="40" spans="10:10">
      <c r="J40" s="86" t="s">
        <v>159</v>
      </c>
    </row>
    <row r="41" spans="10:10">
      <c r="J41" s="86" t="s">
        <v>160</v>
      </c>
    </row>
    <row r="42" spans="10:10">
      <c r="J42" s="86" t="s">
        <v>161</v>
      </c>
    </row>
    <row r="43" spans="10:10">
      <c r="J43" s="86" t="s">
        <v>162</v>
      </c>
    </row>
    <row r="44" spans="10:10">
      <c r="J44" s="86" t="s">
        <v>163</v>
      </c>
    </row>
    <row r="45" spans="10:10">
      <c r="J45" s="86" t="s">
        <v>164</v>
      </c>
    </row>
    <row r="46" spans="10:10">
      <c r="J46" s="86" t="s">
        <v>165</v>
      </c>
    </row>
    <row r="47" spans="10:10">
      <c r="J47" s="86" t="s">
        <v>166</v>
      </c>
    </row>
    <row r="48" spans="10:10">
      <c r="J48" s="86" t="s">
        <v>167</v>
      </c>
    </row>
    <row r="49" spans="10:10">
      <c r="J49" s="86" t="s">
        <v>168</v>
      </c>
    </row>
    <row r="50" spans="10:10">
      <c r="J50" s="86" t="s">
        <v>169</v>
      </c>
    </row>
    <row r="51" spans="10:10">
      <c r="J51" s="86" t="s">
        <v>170</v>
      </c>
    </row>
    <row r="52" spans="10:10">
      <c r="J52" s="86" t="s">
        <v>171</v>
      </c>
    </row>
    <row r="53" spans="10:10">
      <c r="J53" s="86" t="s">
        <v>172</v>
      </c>
    </row>
    <row r="54" spans="10:10">
      <c r="J54" s="86" t="s">
        <v>173</v>
      </c>
    </row>
    <row r="55" spans="10:10">
      <c r="J55" s="86" t="s">
        <v>174</v>
      </c>
    </row>
    <row r="56" spans="10:10">
      <c r="J56" s="86" t="s">
        <v>175</v>
      </c>
    </row>
    <row r="57" spans="10:10">
      <c r="J57" s="86" t="s">
        <v>176</v>
      </c>
    </row>
    <row r="58" spans="10:10">
      <c r="J58" s="86" t="s">
        <v>177</v>
      </c>
    </row>
    <row r="59" spans="10:10">
      <c r="J59" s="86" t="s">
        <v>178</v>
      </c>
    </row>
    <row r="60" spans="10:10">
      <c r="J60" s="86" t="s">
        <v>179</v>
      </c>
    </row>
    <row r="61" spans="10:10">
      <c r="J61" s="86" t="s">
        <v>180</v>
      </c>
    </row>
    <row r="62" spans="10:10">
      <c r="J62" s="86" t="s">
        <v>181</v>
      </c>
    </row>
    <row r="63" spans="10:10">
      <c r="J63" s="86" t="s">
        <v>182</v>
      </c>
    </row>
    <row r="64" spans="10:10">
      <c r="J64" s="86" t="s">
        <v>183</v>
      </c>
    </row>
    <row r="65" spans="10:10">
      <c r="J65" s="86" t="s">
        <v>184</v>
      </c>
    </row>
    <row r="66" spans="10:10">
      <c r="J66" s="86" t="s">
        <v>185</v>
      </c>
    </row>
    <row r="67" spans="10:10">
      <c r="J67" s="86" t="s">
        <v>186</v>
      </c>
    </row>
    <row r="68" spans="10:10">
      <c r="J68" s="86" t="s">
        <v>187</v>
      </c>
    </row>
    <row r="69" spans="10:10">
      <c r="J69" s="86" t="s">
        <v>188</v>
      </c>
    </row>
    <row r="70" spans="10:10">
      <c r="J70" s="86" t="s">
        <v>189</v>
      </c>
    </row>
    <row r="71" spans="10:10">
      <c r="J71" s="86" t="s">
        <v>190</v>
      </c>
    </row>
    <row r="72" spans="10:10">
      <c r="J72" s="86" t="s">
        <v>191</v>
      </c>
    </row>
    <row r="73" spans="10:10">
      <c r="J73" s="86" t="s">
        <v>192</v>
      </c>
    </row>
    <row r="74" spans="10:10">
      <c r="J74" s="86" t="s">
        <v>193</v>
      </c>
    </row>
    <row r="75" spans="10:10">
      <c r="J75" s="86" t="s">
        <v>194</v>
      </c>
    </row>
    <row r="76" spans="10:10">
      <c r="J76" s="86" t="s">
        <v>195</v>
      </c>
    </row>
    <row r="77" spans="10:10">
      <c r="J77" s="86" t="s">
        <v>196</v>
      </c>
    </row>
    <row r="78" spans="10:10">
      <c r="J78" s="86" t="s">
        <v>197</v>
      </c>
    </row>
    <row r="79" spans="10:10">
      <c r="J79" s="86" t="s">
        <v>198</v>
      </c>
    </row>
    <row r="80" spans="10:10">
      <c r="J80" s="86" t="s">
        <v>199</v>
      </c>
    </row>
    <row r="81" spans="10:10">
      <c r="J81" s="86" t="s">
        <v>200</v>
      </c>
    </row>
    <row r="82" spans="10:10">
      <c r="J82" s="86" t="s">
        <v>201</v>
      </c>
    </row>
    <row r="83" spans="10:10">
      <c r="J83" s="86" t="s">
        <v>202</v>
      </c>
    </row>
    <row r="84" spans="10:10">
      <c r="J84" s="86" t="s">
        <v>203</v>
      </c>
    </row>
    <row r="85" spans="10:10">
      <c r="J85" s="86" t="s">
        <v>204</v>
      </c>
    </row>
    <row r="86" spans="10:10">
      <c r="J86" s="86" t="s">
        <v>205</v>
      </c>
    </row>
    <row r="87" spans="10:10">
      <c r="J87" s="86" t="s">
        <v>206</v>
      </c>
    </row>
    <row r="88" spans="10:10">
      <c r="J88" s="86" t="s">
        <v>207</v>
      </c>
    </row>
    <row r="89" spans="10:10">
      <c r="J89" s="86" t="s">
        <v>208</v>
      </c>
    </row>
    <row r="90" spans="10:10">
      <c r="J90" s="86" t="s">
        <v>209</v>
      </c>
    </row>
    <row r="91" spans="10:10">
      <c r="J91" s="86" t="s">
        <v>210</v>
      </c>
    </row>
    <row r="92" spans="10:10">
      <c r="J92" s="86" t="s">
        <v>211</v>
      </c>
    </row>
    <row r="93" spans="10:10">
      <c r="J93" s="86" t="s">
        <v>212</v>
      </c>
    </row>
    <row r="94" spans="10:10">
      <c r="J94" s="86" t="s">
        <v>213</v>
      </c>
    </row>
    <row r="95" spans="10:10">
      <c r="J95" s="86" t="s">
        <v>214</v>
      </c>
    </row>
    <row r="96" spans="10:10">
      <c r="J96" s="86" t="s">
        <v>215</v>
      </c>
    </row>
    <row r="97" spans="10:10">
      <c r="J97" s="86" t="s">
        <v>216</v>
      </c>
    </row>
    <row r="98" spans="10:10">
      <c r="J98" s="86" t="s">
        <v>217</v>
      </c>
    </row>
    <row r="99" spans="10:10">
      <c r="J99" s="86" t="s">
        <v>218</v>
      </c>
    </row>
    <row r="100" spans="10:10">
      <c r="J100" s="86" t="s">
        <v>219</v>
      </c>
    </row>
    <row r="101" spans="10:10">
      <c r="J101" s="86" t="s">
        <v>220</v>
      </c>
    </row>
    <row r="102" spans="10:10">
      <c r="J102" s="86" t="s">
        <v>221</v>
      </c>
    </row>
    <row r="103" spans="10:10">
      <c r="J103" s="86" t="s">
        <v>222</v>
      </c>
    </row>
    <row r="104" spans="10:10">
      <c r="J104" s="86" t="s">
        <v>223</v>
      </c>
    </row>
    <row r="105" spans="10:10">
      <c r="J105" s="86" t="s">
        <v>224</v>
      </c>
    </row>
    <row r="106" spans="10:10">
      <c r="J106" s="86" t="s">
        <v>225</v>
      </c>
    </row>
    <row r="107" spans="10:10">
      <c r="J107" s="86" t="s">
        <v>226</v>
      </c>
    </row>
    <row r="108" spans="10:10">
      <c r="J108" s="86" t="s">
        <v>227</v>
      </c>
    </row>
    <row r="109" spans="10:10">
      <c r="J109" s="86" t="s">
        <v>228</v>
      </c>
    </row>
    <row r="110" spans="10:10">
      <c r="J110" s="86" t="s">
        <v>229</v>
      </c>
    </row>
    <row r="111" spans="10:10">
      <c r="J111" s="86" t="s">
        <v>80</v>
      </c>
    </row>
    <row r="112" spans="10:10">
      <c r="J112" s="86" t="s">
        <v>230</v>
      </c>
    </row>
    <row r="113" spans="10:10">
      <c r="J113" s="86" t="s">
        <v>231</v>
      </c>
    </row>
    <row r="114" spans="10:10">
      <c r="J114" s="86" t="s">
        <v>232</v>
      </c>
    </row>
    <row r="115" spans="10:10">
      <c r="J115" s="86" t="s">
        <v>233</v>
      </c>
    </row>
    <row r="116" spans="10:10">
      <c r="J116" s="86" t="s">
        <v>234</v>
      </c>
    </row>
    <row r="117" spans="10:10">
      <c r="J117" s="86" t="s">
        <v>235</v>
      </c>
    </row>
    <row r="118" spans="10:10">
      <c r="J118" s="86" t="s">
        <v>236</v>
      </c>
    </row>
    <row r="119" spans="10:10">
      <c r="J119" s="86" t="s">
        <v>237</v>
      </c>
    </row>
    <row r="120" spans="10:10">
      <c r="J120" s="86" t="s">
        <v>238</v>
      </c>
    </row>
    <row r="121" spans="10:10">
      <c r="J121" s="86" t="s">
        <v>239</v>
      </c>
    </row>
    <row r="122" spans="10:10">
      <c r="J122" s="86" t="s">
        <v>240</v>
      </c>
    </row>
    <row r="123" spans="10:10">
      <c r="J123" s="86" t="s">
        <v>241</v>
      </c>
    </row>
    <row r="124" spans="10:10">
      <c r="J124" s="86" t="s">
        <v>242</v>
      </c>
    </row>
    <row r="125" spans="10:10">
      <c r="J125" s="86" t="s">
        <v>243</v>
      </c>
    </row>
    <row r="126" spans="10:10">
      <c r="J126" s="86" t="s">
        <v>244</v>
      </c>
    </row>
    <row r="127" spans="10:10">
      <c r="J127" s="86" t="s">
        <v>245</v>
      </c>
    </row>
    <row r="128" spans="10:10">
      <c r="J128" s="86" t="s">
        <v>246</v>
      </c>
    </row>
    <row r="129" spans="10:10">
      <c r="J129" s="86" t="s">
        <v>247</v>
      </c>
    </row>
    <row r="130" spans="10:10">
      <c r="J130" s="86" t="s">
        <v>248</v>
      </c>
    </row>
    <row r="131" spans="10:10">
      <c r="J131" s="86" t="s">
        <v>249</v>
      </c>
    </row>
    <row r="132" spans="10:10">
      <c r="J132" s="86" t="s">
        <v>250</v>
      </c>
    </row>
    <row r="133" spans="10:10">
      <c r="J133" s="86" t="s">
        <v>251</v>
      </c>
    </row>
    <row r="134" spans="10:10">
      <c r="J134" s="86" t="s">
        <v>252</v>
      </c>
    </row>
    <row r="135" spans="10:10">
      <c r="J135" s="86" t="s">
        <v>253</v>
      </c>
    </row>
    <row r="136" spans="10:10">
      <c r="J136" s="86" t="s">
        <v>254</v>
      </c>
    </row>
    <row r="137" spans="10:10">
      <c r="J137" s="86" t="s">
        <v>255</v>
      </c>
    </row>
    <row r="138" spans="10:10">
      <c r="J138" s="86" t="s">
        <v>256</v>
      </c>
    </row>
    <row r="139" spans="10:10">
      <c r="J139" s="86" t="s">
        <v>257</v>
      </c>
    </row>
    <row r="140" spans="10:10">
      <c r="J140" s="86" t="s">
        <v>258</v>
      </c>
    </row>
    <row r="141" spans="10:10">
      <c r="J141" s="86" t="s">
        <v>259</v>
      </c>
    </row>
    <row r="142" spans="10:10">
      <c r="J142" s="86" t="s">
        <v>260</v>
      </c>
    </row>
    <row r="143" spans="10:10">
      <c r="J143" s="86" t="s">
        <v>261</v>
      </c>
    </row>
    <row r="144" spans="10:10">
      <c r="J144" s="402"/>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Nino Vakhania</cp:lastModifiedBy>
  <cp:lastPrinted>2009-11-06T15:57:56Z</cp:lastPrinted>
  <dcterms:created xsi:type="dcterms:W3CDTF">2008-11-20T16:06:13Z</dcterms:created>
  <dcterms:modified xsi:type="dcterms:W3CDTF">2019-11-14T06:24:57Z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