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okrotsvaridze\Desktop\"/>
    </mc:Choice>
  </mc:AlternateContent>
  <bookViews>
    <workbookView xWindow="0" yWindow="0" windowWidth="28800" windowHeight="13725" tabRatio="654"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3" i="29" l="1"/>
  <c r="O33" i="29" s="1"/>
  <c r="P33" i="29" s="1"/>
  <c r="N34" i="29"/>
  <c r="O34" i="29"/>
  <c r="P34" i="29" s="1"/>
  <c r="P97" i="29" l="1"/>
  <c r="D54" i="29"/>
  <c r="D53" i="29"/>
  <c r="D40" i="29"/>
  <c r="D44" i="29"/>
  <c r="D42" i="29"/>
  <c r="D39" i="29"/>
  <c r="D43" i="29"/>
  <c r="D41" i="29"/>
  <c r="C52" i="29" l="1"/>
  <c r="D47" i="29"/>
  <c r="J47" i="29"/>
  <c r="Q3" i="37" l="1"/>
  <c r="G28" i="37"/>
  <c r="G27" i="37"/>
  <c r="G26" i="37"/>
  <c r="G25" i="37"/>
  <c r="G24" i="37"/>
  <c r="G23" i="37"/>
  <c r="G22" i="37"/>
  <c r="G21" i="37"/>
  <c r="G20" i="37"/>
  <c r="U148" i="29" l="1"/>
  <c r="U147" i="29"/>
  <c r="U146" i="29"/>
  <c r="U145" i="29"/>
  <c r="U144" i="29"/>
  <c r="U143" i="29"/>
  <c r="V142" i="29"/>
  <c r="E110" i="29" l="1"/>
  <c r="D52" i="29" l="1"/>
  <c r="I96" i="29" l="1"/>
  <c r="M128" i="29" l="1"/>
  <c r="M130" i="29" l="1"/>
  <c r="M126" i="29"/>
  <c r="M124" i="29"/>
  <c r="M120" i="29"/>
  <c r="M118" i="29"/>
  <c r="G96" i="29"/>
  <c r="G32" i="29" l="1"/>
  <c r="E52" i="29" s="1"/>
  <c r="F96" i="29" l="1"/>
  <c r="E96" i="29"/>
  <c r="C96" i="29"/>
  <c r="C47" i="29"/>
  <c r="L133" i="29" l="1"/>
  <c r="K133" i="29"/>
  <c r="L127" i="29" l="1"/>
  <c r="L130" i="29" l="1"/>
  <c r="L128" i="29"/>
  <c r="L126" i="29"/>
  <c r="L124" i="29"/>
  <c r="L120" i="29"/>
  <c r="L118" i="29"/>
  <c r="K127" i="29" l="1"/>
  <c r="K130" i="29" l="1"/>
  <c r="K128" i="29"/>
  <c r="K120" i="29"/>
  <c r="K126" i="29"/>
  <c r="K124" i="29" l="1"/>
  <c r="K118" i="29"/>
  <c r="J127" i="29" l="1"/>
  <c r="J130" i="29" l="1"/>
  <c r="J128" i="29"/>
  <c r="J126" i="29"/>
  <c r="J124" i="29"/>
  <c r="J120" i="29"/>
  <c r="J118" i="29"/>
  <c r="I130" i="29" l="1"/>
  <c r="I128" i="29"/>
  <c r="I126" i="29"/>
  <c r="I124" i="29"/>
  <c r="I120" i="29"/>
  <c r="I118" i="29"/>
  <c r="H127" i="29" l="1"/>
  <c r="H121" i="29"/>
  <c r="H130" i="29" l="1"/>
  <c r="H128" i="29"/>
  <c r="H126" i="29"/>
  <c r="H124" i="29"/>
  <c r="H120" i="29"/>
  <c r="H118" i="29"/>
  <c r="C33" i="29" l="1"/>
  <c r="D33" i="29" s="1"/>
  <c r="E33" i="29" s="1"/>
  <c r="F33" i="29" s="1"/>
  <c r="G33" i="29" s="1"/>
  <c r="H33" i="29" s="1"/>
  <c r="I33" i="29" s="1"/>
  <c r="J33" i="29" s="1"/>
  <c r="C34" i="29"/>
  <c r="D34" i="29" s="1"/>
  <c r="E34" i="29" s="1"/>
  <c r="F34" i="29" s="1"/>
  <c r="G34" i="29" s="1"/>
  <c r="H34" i="29" s="1"/>
  <c r="I34" i="29" s="1"/>
  <c r="J34" i="29" s="1"/>
  <c r="K34" i="29" s="1"/>
  <c r="L34" i="29" s="1"/>
  <c r="M34" i="29" l="1"/>
  <c r="K33" i="29"/>
  <c r="L33" i="29" s="1"/>
  <c r="E53" i="29"/>
  <c r="E109" i="29"/>
  <c r="G109" i="29" s="1"/>
  <c r="I109" i="29" s="1"/>
  <c r="G110" i="29"/>
  <c r="I110" i="29" s="1"/>
  <c r="K110" i="29" s="1"/>
  <c r="K32" i="35"/>
  <c r="L32" i="35" s="1"/>
  <c r="E111" i="29"/>
  <c r="G111" i="29" s="1"/>
  <c r="I111" i="29" s="1"/>
  <c r="K33" i="35"/>
  <c r="L33" i="35" s="1"/>
  <c r="E108" i="29"/>
  <c r="K30" i="35"/>
  <c r="H143" i="29"/>
  <c r="C98" i="29"/>
  <c r="D98" i="29" s="1"/>
  <c r="E98" i="29" s="1"/>
  <c r="F98" i="29" s="1"/>
  <c r="G98" i="29" s="1"/>
  <c r="H98" i="29" s="1"/>
  <c r="I98" i="29" s="1"/>
  <c r="J98" i="29" s="1"/>
  <c r="K98" i="29" s="1"/>
  <c r="L98" i="29" s="1"/>
  <c r="K145" i="29"/>
  <c r="B22" i="45"/>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0" i="29"/>
  <c r="E89" i="29"/>
  <c r="D11" i="42"/>
  <c r="J3" i="35"/>
  <c r="I3" i="30"/>
  <c r="K3" i="30"/>
  <c r="D33" i="42"/>
  <c r="D34" i="42"/>
  <c r="D35" i="42"/>
  <c r="D36" i="42"/>
  <c r="D37" i="42"/>
  <c r="D38" i="42"/>
  <c r="D39" i="42"/>
  <c r="D40" i="42"/>
  <c r="D41" i="42"/>
  <c r="D32" i="42"/>
  <c r="L144" i="29"/>
  <c r="M144" i="29"/>
  <c r="T144" i="29"/>
  <c r="V144" i="29"/>
  <c r="L145" i="29"/>
  <c r="M145" i="29"/>
  <c r="T145" i="29"/>
  <c r="V145" i="29"/>
  <c r="L146" i="29"/>
  <c r="M146" i="29"/>
  <c r="T146" i="29"/>
  <c r="V146" i="29"/>
  <c r="L147" i="29"/>
  <c r="M147" i="29"/>
  <c r="T147" i="29"/>
  <c r="V147" i="29"/>
  <c r="L148" i="29"/>
  <c r="M148" i="29"/>
  <c r="T148" i="29"/>
  <c r="V148" i="29"/>
  <c r="M143" i="29"/>
  <c r="T143" i="29"/>
  <c r="V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B4" i="39"/>
  <c r="D5" i="39"/>
  <c r="E4" i="39"/>
  <c r="K5" i="39"/>
  <c r="J4" i="39"/>
  <c r="L3" i="39"/>
  <c r="J3" i="39"/>
  <c r="L5" i="42"/>
  <c r="L4" i="42"/>
  <c r="E5" i="42"/>
  <c r="E4" i="42"/>
  <c r="B4" i="42"/>
  <c r="M3" i="42"/>
  <c r="L3" i="42"/>
  <c r="E4" i="37"/>
  <c r="H30" i="35"/>
  <c r="I33" i="35"/>
  <c r="I32" i="35"/>
  <c r="I31" i="35"/>
  <c r="I30" i="35"/>
  <c r="B26" i="35"/>
  <c r="B13" i="27"/>
  <c r="B11" i="27"/>
  <c r="G10" i="27"/>
  <c r="D9" i="27"/>
  <c r="F6" i="27"/>
  <c r="C100" i="29"/>
  <c r="D100" i="29" s="1"/>
  <c r="E100" i="29" s="1"/>
  <c r="F100" i="29" s="1"/>
  <c r="G100" i="29" s="1"/>
  <c r="H100" i="29" s="1"/>
  <c r="I100" i="29" s="1"/>
  <c r="J100" i="29" s="1"/>
  <c r="K100" i="29" s="1"/>
  <c r="L100" i="29" s="1"/>
  <c r="C99" i="29"/>
  <c r="D99" i="29" s="1"/>
  <c r="E99" i="29" s="1"/>
  <c r="F99" i="29" s="1"/>
  <c r="G99" i="29" s="1"/>
  <c r="H99" i="29" s="1"/>
  <c r="I99" i="29" s="1"/>
  <c r="J99" i="29" s="1"/>
  <c r="K99" i="29" s="1"/>
  <c r="L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B22" i="37"/>
  <c r="B21" i="37"/>
  <c r="B20" i="37"/>
  <c r="E55" i="29"/>
  <c r="B27" i="37"/>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F20" i="42"/>
  <c r="AE23" i="37"/>
  <c r="AF23" i="37"/>
  <c r="AF22" i="37"/>
  <c r="AD22" i="37"/>
  <c r="AE22" i="37"/>
  <c r="AD24" i="37"/>
  <c r="AF24" i="37"/>
  <c r="AE24" i="37"/>
  <c r="T29" i="29"/>
  <c r="C35" i="29"/>
  <c r="T30" i="29"/>
  <c r="D30" i="42"/>
  <c r="D31" i="42"/>
  <c r="D29" i="42"/>
  <c r="M98" i="29" l="1"/>
  <c r="N98" i="29"/>
  <c r="G108" i="29"/>
  <c r="I108" i="29" s="1"/>
  <c r="K108" i="29" s="1"/>
  <c r="M100" i="29"/>
  <c r="N100" i="29"/>
  <c r="M33" i="29"/>
  <c r="F47" i="29"/>
  <c r="M99" i="29"/>
  <c r="N99" i="29"/>
  <c r="H7" i="35"/>
  <c r="B8" i="30"/>
  <c r="B15" i="35"/>
  <c r="H15" i="35"/>
  <c r="H26" i="35"/>
  <c r="B7" i="35"/>
  <c r="H22" i="30"/>
  <c r="B3" i="32"/>
  <c r="H8" i="30"/>
  <c r="B22" i="30"/>
  <c r="K111" i="29"/>
  <c r="K109" i="29"/>
  <c r="L31" i="35"/>
  <c r="E35" i="29"/>
  <c r="T31" i="29"/>
  <c r="L30" i="35"/>
  <c r="D35" i="29"/>
  <c r="F35" i="29" l="1"/>
  <c r="T32" i="29"/>
  <c r="G35" i="29" l="1"/>
  <c r="T33" i="29"/>
  <c r="T34" i="29" l="1"/>
  <c r="H35" i="29"/>
  <c r="I35" i="29" l="1"/>
  <c r="T35" i="29"/>
  <c r="T49" i="29" l="1"/>
  <c r="J35" i="29"/>
  <c r="T50" i="29" l="1"/>
  <c r="K35" i="29"/>
  <c r="L35" i="29" l="1"/>
  <c r="M35" i="29" l="1"/>
  <c r="S51" i="29"/>
  <c r="P35" i="29"/>
  <c r="Q31" i="29" l="1"/>
</calcChain>
</file>

<file path=xl/comments1.xml><?xml version="1.0" encoding="utf-8"?>
<comments xmlns="http://schemas.openxmlformats.org/spreadsheetml/2006/main">
  <authors>
    <author>mgleixner</author>
    <author>Maka Okrotsvaridze</author>
    <author>molszak</author>
    <author>Alexander Asatiani</author>
    <author>ASATIANI, Alexander</author>
  </authors>
  <commentList>
    <comment ref="B30" authorId="0" shapeId="0">
      <text>
        <r>
          <rPr>
            <sz val="8"/>
            <color rgb="FF000000"/>
            <rFont val="Tahoma"/>
            <family val="2"/>
          </rPr>
          <t>To define your periods (eg. P1, P2, P3 etc or P9, P10, P11 etc) you need to unprotect the cells.</t>
        </r>
      </text>
    </comment>
    <comment ref="G32" authorId="1" shapeId="0">
      <text>
        <r>
          <rPr>
            <b/>
            <sz val="9"/>
            <color rgb="FF000000"/>
            <rFont val="Tahoma"/>
            <family val="2"/>
          </rPr>
          <t>Maka Okrotsvaridze:</t>
        </r>
        <r>
          <rPr>
            <sz val="9"/>
            <color rgb="FF000000"/>
            <rFont val="Tahoma"/>
            <family val="2"/>
          </rPr>
          <t xml:space="preserve">
</t>
        </r>
        <r>
          <rPr>
            <sz val="9"/>
            <color rgb="FF000000"/>
            <rFont val="Tahoma"/>
            <family val="2"/>
          </rPr>
          <t>Balance transferred from Closed HIV Grant -USD 881 496.31</t>
        </r>
      </text>
    </comment>
    <comment ref="B72" authorId="2" shapeId="0">
      <text>
        <r>
          <rPr>
            <b/>
            <sz val="8"/>
            <color indexed="81"/>
            <rFont val="Tahoma"/>
            <family val="2"/>
          </rPr>
          <t xml:space="preserve">If data are not available, do not enter zeros; rather, leave the cells in the table blank. </t>
        </r>
      </text>
    </comment>
    <comment ref="B73" authorId="2"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rPr>
          <t xml:space="preserve">If data are not available, do not enter zeros; rather, leave the cells in this table blank. </t>
        </r>
      </text>
    </comment>
    <comment ref="B94" authorId="0" shapeId="0">
      <text>
        <r>
          <rPr>
            <sz val="8"/>
            <color indexed="81"/>
            <rFont val="Tahoma"/>
            <family val="2"/>
          </rPr>
          <t>To define your periods (eg. P1, P2, P3 etc or P9, P10, P11 etc) you need to unprotect the cells.</t>
        </r>
      </text>
    </comment>
    <comment ref="H133" authorId="3" shapeId="0">
      <text>
        <r>
          <rPr>
            <b/>
            <sz val="10"/>
            <color rgb="FF000000"/>
            <rFont val="Tahoma"/>
            <family val="2"/>
          </rPr>
          <t>Alexander Asatiani:</t>
        </r>
        <r>
          <rPr>
            <sz val="10"/>
            <color rgb="FF000000"/>
            <rFont val="Tahoma"/>
            <family val="2"/>
          </rPr>
          <t xml:space="preserve">
</t>
        </r>
        <r>
          <rPr>
            <sz val="10"/>
            <color rgb="FF000000"/>
            <rFont val="Calibri"/>
            <family val="2"/>
          </rPr>
          <t xml:space="preserve">
</t>
        </r>
        <r>
          <rPr>
            <sz val="10"/>
            <color rgb="FF000000"/>
            <rFont val="Calibri"/>
            <family val="2"/>
          </rPr>
          <t xml:space="preserve">Number of enrolled as of Sept.
</t>
        </r>
      </text>
    </comment>
    <comment ref="P133" authorId="4" shapeId="0">
      <text>
        <r>
          <rPr>
            <b/>
            <sz val="10"/>
            <color rgb="FF000000"/>
            <rFont val="Tahoma"/>
            <family val="2"/>
          </rPr>
          <t>ASATIANI, Alexander:</t>
        </r>
        <r>
          <rPr>
            <sz val="10"/>
            <color rgb="FF000000"/>
            <rFont val="Tahoma"/>
            <family val="2"/>
          </rPr>
          <t xml:space="preserve">
</t>
        </r>
        <r>
          <rPr>
            <sz val="10"/>
            <color rgb="FF000000"/>
            <rFont val="Calibri"/>
            <family val="2"/>
            <scheme val="minor"/>
          </rPr>
          <t>Number of enrolled as of Mar.</t>
        </r>
        <r>
          <rPr>
            <sz val="10"/>
            <color rgb="FF000000"/>
            <rFont val="Calibri"/>
            <family val="2"/>
            <scheme val="minor"/>
          </rPr>
          <t xml:space="preserve">
</t>
        </r>
      </text>
    </comment>
    <comment ref="Q133" authorId="4" shapeId="0">
      <text>
        <r>
          <rPr>
            <b/>
            <sz val="10"/>
            <color rgb="FF000000"/>
            <rFont val="Tahoma"/>
            <family val="2"/>
          </rPr>
          <t>ASATIANI, Alexander:</t>
        </r>
        <r>
          <rPr>
            <sz val="10"/>
            <color rgb="FF000000"/>
            <rFont val="Tahoma"/>
            <family val="2"/>
          </rPr>
          <t xml:space="preserve">
</t>
        </r>
        <r>
          <rPr>
            <sz val="10"/>
            <color rgb="FF000000"/>
            <rFont val="Tahoma"/>
            <family val="2"/>
          </rPr>
          <t>10.2020-09.2021</t>
        </r>
      </text>
    </comment>
  </commentList>
</comments>
</file>

<file path=xl/sharedStrings.xml><?xml version="1.0" encoding="utf-8"?>
<sst xmlns="http://schemas.openxmlformats.org/spreadsheetml/2006/main" count="619" uniqueCount="462">
  <si>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</si>
  <si>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</si>
  <si>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</si>
  <si>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</si>
  <si>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</si>
  <si>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</si>
  <si>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</si>
  <si>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</si>
  <si>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</si>
  <si>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</si>
  <si>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</si>
  <si>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</si>
  <si>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</si>
  <si>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</si>
  <si>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</si>
  <si>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</si>
  <si>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</si>
  <si>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</si>
  <si>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</si>
  <si>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</si>
  <si>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</si>
  <si>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</si>
  <si>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</si>
  <si>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</si>
  <si>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</si>
  <si>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</si>
  <si>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</si>
  <si>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</si>
  <si>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</si>
  <si>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</si>
  <si>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</si>
  <si>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</si>
  <si>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</si>
  <si>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</si>
  <si>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</si>
  <si>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</si>
  <si>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</si>
  <si>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</si>
  <si>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</si>
  <si>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</si>
  <si>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</si>
  <si>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</si>
  <si>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</si>
  <si>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</si>
  <si>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</si>
  <si>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</si>
  <si>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</si>
  <si>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</si>
  <si>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</si>
  <si>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</si>
  <si>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</si>
  <si>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</si>
  <si>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</si>
  <si>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</si>
  <si>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</si>
  <si>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</si>
  <si>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</si>
  <si>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</si>
  <si>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</si>
  <si>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</si>
  <si>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</si>
  <si>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</si>
  <si>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</si>
  <si>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</si>
  <si>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</si>
  <si>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</si>
  <si>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</si>
  <si>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</si>
  <si>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</si>
  <si>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</si>
  <si>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</si>
  <si>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</si>
  <si>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</si>
  <si>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</si>
  <si>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</si>
  <si>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</si>
  <si>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</si>
  <si>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</si>
  <si>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</si>
  <si>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</si>
  <si>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</si>
  <si>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</si>
  <si>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</si>
  <si>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</si>
  <si>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</si>
  <si>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</si>
  <si>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</si>
  <si>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</si>
  <si>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</si>
  <si>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</si>
  <si>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</si>
  <si>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</si>
  <si>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</si>
  <si>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</si>
  <si>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</si>
  <si>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</si>
  <si>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</si>
  <si>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</si>
  <si>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</si>
  <si>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</si>
  <si>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</si>
  <si>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</si>
  <si>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</si>
  <si>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</si>
  <si>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</si>
  <si>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</si>
  <si>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</si>
  <si>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</si>
  <si>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</si>
  <si>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</si>
  <si>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</si>
  <si>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</si>
  <si>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</si>
  <si>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</si>
  <si>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</si>
  <si>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</si>
  <si>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</si>
  <si>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</si>
  <si>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</si>
  <si>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</si>
  <si>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</si>
  <si>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</si>
  <si>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</si>
  <si>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</si>
  <si>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</si>
  <si>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</si>
  <si>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</si>
  <si>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</si>
  <si>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</si>
  <si>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</si>
  <si>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</si>
  <si>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</si>
  <si>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</si>
  <si>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</si>
  <si>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</si>
  <si>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</si>
  <si>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</si>
  <si>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</si>
  <si>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</si>
  <si>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</si>
  <si>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</si>
  <si>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</si>
  <si>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</si>
  <si>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</si>
  <si>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</si>
  <si>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</si>
  <si>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</si>
  <si>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</si>
  <si>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</si>
  <si>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</si>
  <si>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</si>
  <si>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</si>
  <si>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</si>
  <si>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</si>
  <si>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</si>
  <si>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</si>
  <si>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</si>
  <si>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</si>
  <si>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</si>
  <si>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</si>
  <si>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</si>
  <si>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</si>
  <si>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</si>
  <si>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</si>
  <si>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</si>
  <si>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</si>
  <si>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</si>
  <si>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</si>
  <si>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</si>
  <si>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</si>
  <si>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</si>
  <si>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</si>
  <si>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</si>
  <si>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</si>
  <si>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</si>
  <si>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</si>
  <si>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</si>
  <si>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</si>
  <si>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</si>
  <si>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</si>
  <si>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</si>
  <si>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</si>
  <si>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</si>
  <si>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</si>
  <si>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</si>
  <si>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</si>
  <si>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</si>
  <si>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</si>
  <si>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</si>
  <si>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</si>
  <si>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</si>
  <si>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</si>
  <si>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</si>
  <si>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</si>
  <si>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</si>
  <si>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</si>
  <si>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</si>
  <si>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</si>
  <si>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</si>
  <si>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</si>
  <si>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</si>
  <si>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</si>
  <si>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</si>
  <si>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</si>
  <si>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</si>
  <si>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</si>
  <si>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</si>
  <si>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</si>
  <si>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</si>
  <si>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</si>
  <si>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</si>
  <si>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</si>
  <si>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</si>
  <si>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</si>
  <si>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</si>
  <si>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</si>
  <si>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</si>
  <si>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</si>
  <si>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</si>
  <si>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</si>
  <si>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</si>
  <si>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</si>
  <si>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</si>
  <si>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</si>
  <si>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</si>
  <si>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</si>
  <si>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</si>
  <si>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</si>
  <si>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</si>
  <si>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</si>
  <si>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</si>
  <si>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</si>
  <si>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</si>
  <si>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</si>
  <si>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</si>
  <si>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</si>
  <si>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</si>
  <si>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</si>
  <si>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</si>
  <si>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</si>
  <si>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</si>
  <si>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</si>
  <si>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</si>
  <si>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</si>
  <si>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</si>
  <si>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</si>
  <si>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</si>
  <si>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</si>
  <si>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</si>
  <si>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</si>
  <si>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</si>
  <si>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</si>
  <si>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</si>
  <si>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</si>
  <si>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</si>
  <si>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</si>
  <si>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</si>
  <si>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</si>
  <si>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</si>
  <si>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</si>
  <si>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</si>
  <si>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</si>
  <si>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</si>
  <si>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</si>
  <si>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</si>
  <si>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</si>
  <si>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</si>
  <si>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</si>
  <si>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</si>
  <si>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</si>
  <si>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</si>
  <si>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</si>
  <si>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</si>
  <si>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</si>
  <si>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</si>
  <si>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</si>
  <si>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</si>
  <si>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</si>
  <si>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</si>
  <si>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</si>
  <si>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</si>
  <si>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</si>
  <si>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</si>
  <si>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</si>
  <si>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</si>
  <si>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</si>
  <si>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</si>
  <si>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</si>
  <si>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</si>
  <si>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</si>
  <si>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</si>
  <si>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</si>
  <si>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</si>
  <si>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</si>
  <si>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</si>
  <si>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</si>
  <si>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</si>
  <si>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</si>
  <si>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</si>
  <si>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</si>
  <si>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</si>
  <si>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</si>
  <si>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</si>
  <si>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</si>
  <si>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</si>
  <si>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</si>
  <si>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</si>
  <si>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</si>
  <si>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</si>
  <si>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</si>
  <si>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</si>
  <si>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</si>
  <si>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</si>
  <si>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</si>
  <si>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</si>
  <si>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</si>
  <si>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</si>
  <si>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</si>
  <si>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</si>
  <si>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</si>
  <si>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</si>
  <si>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</si>
  <si>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</si>
  <si>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</si>
  <si>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</si>
  <si>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</si>
  <si>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</si>
  <si>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</si>
  <si>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</si>
  <si>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</si>
  <si>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</si>
  <si>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</si>
  <si>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</si>
  <si>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</si>
  <si>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</si>
  <si>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</si>
  <si>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</si>
  <si>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</si>
  <si>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</si>
  <si>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</si>
  <si>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</si>
  <si>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</si>
  <si>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</si>
  <si>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</si>
  <si>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</si>
  <si>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</si>
  <si>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</si>
  <si>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</si>
  <si>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</si>
  <si>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</si>
  <si>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</si>
  <si>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</si>
  <si>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</si>
  <si>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</si>
  <si>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</si>
  <si>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</si>
  <si>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</si>
  <si>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</si>
  <si>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</si>
  <si>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</si>
  <si>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</si>
  <si>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</si>
  <si>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</si>
  <si>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</si>
  <si>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</si>
  <si>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</si>
  <si>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</si>
  <si>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</si>
  <si>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</si>
  <si>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</si>
  <si>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</si>
  <si>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</si>
  <si>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</si>
  <si>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</si>
  <si>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</si>
  <si>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</si>
  <si>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</si>
  <si>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</si>
  <si>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</si>
  <si>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</si>
  <si>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</si>
  <si>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</si>
  <si>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</si>
  <si>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</si>
  <si>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</si>
  <si>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</si>
  <si>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</si>
  <si>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</si>
  <si>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</si>
  <si>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</si>
  <si>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</si>
  <si>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</si>
  <si>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</si>
  <si>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</si>
  <si>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</si>
  <si>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</si>
  <si>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</si>
  <si>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</si>
  <si>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</si>
  <si>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</si>
  <si>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</si>
  <si>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</si>
  <si>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</si>
  <si>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</si>
  <si>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</si>
  <si>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</si>
  <si>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</si>
  <si>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</si>
  <si>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</si>
  <si>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</si>
  <si>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</si>
  <si>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</si>
  <si>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</si>
  <si>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</si>
  <si>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</si>
  <si>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</si>
  <si>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</si>
  <si>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</si>
  <si>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</si>
  <si>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</si>
  <si>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</si>
  <si>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</si>
  <si>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</si>
  <si>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</si>
  <si>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</si>
  <si>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</si>
  <si>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</si>
  <si>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</si>
  <si>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 xml:space="preserve">Percentage of people living with HIV currently receiving antiretroviral therapy </t>
  </si>
  <si>
    <t>TCS-1</t>
  </si>
  <si>
    <t>N/A</t>
  </si>
  <si>
    <t>NFM</t>
  </si>
  <si>
    <t xml:space="preserve">Sustaining and Scaling up the Effective HIV/AIDS Prevention, Treatment and Care in Georgia </t>
  </si>
  <si>
    <t>NFM Grant Requirements</t>
  </si>
  <si>
    <t xml:space="preserve"> Percentage of individuals receiving Opioid Substitution Therapy who received treatment for at least 6 months</t>
  </si>
  <si>
    <t>Tatyana Vinichenko</t>
  </si>
  <si>
    <t>Comprehensive prevention programs for MSM</t>
  </si>
  <si>
    <t>Comprehensive prevention programs for people who inject drugs (PWID) and their partners</t>
  </si>
  <si>
    <t>Comprehensive prevention programs for sex workers and their clients</t>
  </si>
  <si>
    <t>RSSH: Community responses and systems</t>
  </si>
  <si>
    <t>RSSH: Human resources for health (HRH), including community health workers</t>
  </si>
  <si>
    <t>Disbursed to SR</t>
  </si>
  <si>
    <t>Percentage of eligible people who initiated oral antiretroviral PrEP in the last 12 months.</t>
  </si>
  <si>
    <t xml:space="preserve">KP - Other 1: </t>
  </si>
  <si>
    <t>Jan-Mar</t>
  </si>
  <si>
    <t>Apr-June</t>
  </si>
  <si>
    <t>Jul-Sep</t>
  </si>
  <si>
    <t>COVID-19</t>
  </si>
  <si>
    <t>Oct-Dec</t>
  </si>
  <si>
    <t>Dolutegravir/lamivudine/tenofovir</t>
  </si>
  <si>
    <t>Condoms</t>
  </si>
  <si>
    <t>Lubricants</t>
  </si>
  <si>
    <t>Annual Indicator</t>
  </si>
  <si>
    <t/>
  </si>
  <si>
    <t>M3: Contractual arrangements</t>
  </si>
  <si>
    <t>Service Providers</t>
  </si>
  <si>
    <t>Tamari Kashibadze, Nino Vakhania</t>
  </si>
  <si>
    <t>Annual Indicator is 300, the overachivement is related to enrollment in the program imigrated MSM and TG people</t>
  </si>
  <si>
    <t>P13</t>
  </si>
  <si>
    <t>pattern of sex sales has changed, more CSWs use online applications, we try to promote self-testing platform to icrease HIV testing coverage among FSWs</t>
  </si>
  <si>
    <t>P14</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</si>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</sst>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9">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rgb="FFFF0000"/>
      <name val="Calibri"/>
      <family val="2"/>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1"/>
      <color theme="0"/>
      <name val="Calibri"/>
      <family val="2"/>
      <scheme val="minor"/>
    </font>
    <font>
      <sz val="8"/>
      <color rgb="FF000000"/>
      <name val="Tahoma"/>
      <family val="2"/>
    </font>
    <font>
      <sz val="10"/>
      <color rgb="FF000000"/>
      <name val="Tahoma"/>
      <family val="2"/>
    </font>
    <font>
      <b/>
      <sz val="10"/>
      <color rgb="FF000000"/>
      <name val="Tahoma"/>
      <family val="2"/>
    </font>
    <font>
      <sz val="10"/>
      <color rgb="FF000000"/>
      <name val="Calibri"/>
      <family val="2"/>
    </font>
    <font>
      <b/>
      <sz val="9"/>
      <color rgb="FF000000"/>
      <name val="Tahoma"/>
      <family val="2"/>
    </font>
    <font>
      <sz val="9"/>
      <color rgb="FF000000"/>
      <name val="Tahoma"/>
      <family val="2"/>
    </font>
    <font>
      <sz val="10"/>
      <color rgb="FF000000"/>
      <name val="Calibri"/>
      <family val="2"/>
      <scheme val="minor"/>
    </font>
    <font>
      <sz val="11"/>
      <name val="Calibri"/>
      <family val="2"/>
      <scheme val="minor"/>
    </font>
    <font>
      <sz val="11"/>
      <color rgb="FFFF0000"/>
      <name val="Calibri"/>
      <family val="2"/>
      <scheme val="minor"/>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9A"/>
        <bgColor indexed="64"/>
      </patternFill>
    </fill>
    <fill>
      <patternFill patternType="solid">
        <fgColor theme="6"/>
        <bgColor indexed="64"/>
      </patternFill>
    </fill>
    <fill>
      <patternFill patternType="solid">
        <fgColor rgb="FFFFFF00"/>
        <bgColor indexed="64"/>
      </patternFill>
    </fill>
  </fills>
  <borders count="2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0"/>
      </left>
      <right style="thin">
        <color indexed="60"/>
      </right>
      <top style="thin">
        <color indexed="60"/>
      </top>
      <bottom/>
      <diagonal/>
    </border>
    <border>
      <left style="thin">
        <color indexed="60"/>
      </left>
      <right style="thin">
        <color indexed="60"/>
      </right>
      <top style="thin">
        <color indexed="60"/>
      </top>
      <bottom/>
      <diagonal/>
    </border>
    <border>
      <left/>
      <right/>
      <top style="medium">
        <color indexed="16"/>
      </top>
      <bottom/>
      <diagonal/>
    </border>
    <border>
      <left style="thin">
        <color indexed="16"/>
      </left>
      <right/>
      <top style="medium">
        <color auto="1"/>
      </top>
      <bottom style="thin">
        <color auto="1"/>
      </bottom>
      <diagonal/>
    </border>
    <border>
      <left style="thin">
        <color auto="1"/>
      </left>
      <right style="thin">
        <color auto="1"/>
      </right>
      <top style="thin">
        <color auto="1"/>
      </top>
      <bottom style="medium">
        <color indexed="51"/>
      </bottom>
      <diagonal/>
    </border>
    <border>
      <left style="thin">
        <color auto="1"/>
      </left>
      <right style="thin">
        <color auto="1"/>
      </right>
      <top style="thin">
        <color auto="1"/>
      </top>
      <bottom style="medium">
        <color auto="1"/>
      </bottom>
      <diagonal/>
    </border>
    <border>
      <left style="thin">
        <color indexed="16"/>
      </left>
      <right/>
      <top style="medium">
        <color indexed="51"/>
      </top>
      <bottom style="thin">
        <color auto="1"/>
      </bottom>
      <diagonal/>
    </border>
  </borders>
  <cellStyleXfs count="7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29" fillId="0" borderId="0"/>
    <xf numFmtId="43" fontId="129" fillId="0" borderId="0"/>
    <xf numFmtId="43" fontId="129" fillId="0" borderId="0"/>
    <xf numFmtId="43" fontId="129"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29"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29" fillId="0" borderId="9" applyNumberFormat="0" applyFill="0" applyAlignment="0" applyProtection="0"/>
    <xf numFmtId="0" fontId="76" fillId="0" borderId="0" applyNumberFormat="0" applyFill="0" applyBorder="0" applyAlignment="0" applyProtection="0"/>
    <xf numFmtId="164" fontId="133" fillId="0" borderId="0" applyFont="0" applyFill="0" applyBorder="0" applyAlignment="0" applyProtection="0"/>
    <xf numFmtId="43" fontId="12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9" fontId="129" fillId="0" borderId="0" applyFont="0" applyFill="0" applyBorder="0" applyAlignment="0" applyProtection="0"/>
    <xf numFmtId="44" fontId="129" fillId="0" borderId="0" applyFont="0" applyFill="0" applyBorder="0" applyAlignment="0" applyProtection="0"/>
  </cellStyleXfs>
  <cellXfs count="913">
    <xf numFmtId="0" fontId="0" fillId="0" borderId="0" xfId="0"/>
    <xf numFmtId="43" fontId="16" fillId="0" borderId="0" xfId="39" applyFont="1" applyAlignment="1">
      <alignment vertical="center"/>
    </xf>
    <xf numFmtId="43" fontId="22" fillId="0" borderId="0" xfId="39" applyFont="1" applyAlignment="1">
      <alignment vertical="center"/>
    </xf>
    <xf numFmtId="0" fontId="21" fillId="0" borderId="0" xfId="0" applyFont="1"/>
    <xf numFmtId="43" fontId="19" fillId="0" borderId="0" xfId="50" applyFont="1"/>
    <xf numFmtId="43" fontId="19" fillId="0" borderId="0" xfId="50" applyFont="1" applyAlignment="1">
      <alignment horizontal="center"/>
    </xf>
    <xf numFmtId="43" fontId="19" fillId="0" borderId="0" xfId="50" applyFont="1" applyAlignment="1">
      <alignment horizontal="right"/>
    </xf>
    <xf numFmtId="43" fontId="129" fillId="0" borderId="0" xfId="49"/>
    <xf numFmtId="43" fontId="15" fillId="0" borderId="0" xfId="49" applyFont="1"/>
    <xf numFmtId="0" fontId="18" fillId="0" borderId="0" xfId="49" applyNumberFormat="1" applyFont="1"/>
    <xf numFmtId="43" fontId="129" fillId="0" borderId="0" xfId="51"/>
    <xf numFmtId="43" fontId="129" fillId="0" borderId="0" xfId="51" applyAlignment="1">
      <alignment horizontal="left"/>
    </xf>
    <xf numFmtId="0" fontId="15" fillId="0" borderId="0" xfId="0" applyFont="1"/>
    <xf numFmtId="43" fontId="15" fillId="0" borderId="0" xfId="51" applyFont="1"/>
    <xf numFmtId="0" fontId="34" fillId="0" borderId="0" xfId="0" applyFont="1"/>
    <xf numFmtId="15" fontId="29" fillId="0" borderId="0" xfId="0" applyNumberFormat="1" applyFont="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Alignment="1">
      <alignment vertical="center"/>
    </xf>
    <xf numFmtId="0" fontId="0" fillId="0" borderId="10" xfId="0" applyBorder="1" applyAlignment="1">
      <alignment horizontal="center"/>
    </xf>
    <xf numFmtId="0" fontId="14" fillId="0" borderId="0" xfId="0" applyFont="1" applyAlignment="1">
      <alignment horizontal="center"/>
    </xf>
    <xf numFmtId="0" fontId="1" fillId="0" borderId="0" xfId="0" applyFont="1"/>
    <xf numFmtId="0" fontId="43" fillId="0" borderId="0" xfId="0" applyFont="1"/>
    <xf numFmtId="0" fontId="43" fillId="0" borderId="0" xfId="0" applyFont="1" applyAlignment="1">
      <alignment horizontal="right"/>
    </xf>
    <xf numFmtId="0" fontId="46" fillId="0" borderId="0" xfId="0" applyFont="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129" fillId="0" borderId="0" xfId="61" applyFill="1" applyBorder="1" applyAlignment="1" applyProtection="1">
      <alignment vertical="center"/>
      <protection locked="0"/>
    </xf>
    <xf numFmtId="165" fontId="32" fillId="0" borderId="0" xfId="0" applyNumberFormat="1" applyFont="1" applyAlignment="1">
      <alignment horizontal="center"/>
    </xf>
    <xf numFmtId="0" fontId="26" fillId="0" borderId="0" xfId="0" applyFont="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Alignment="1">
      <alignment horizontal="center"/>
    </xf>
    <xf numFmtId="22" fontId="0" fillId="0" borderId="0" xfId="0" applyNumberFormat="1"/>
    <xf numFmtId="2" fontId="0" fillId="0" borderId="0" xfId="0" applyNumberFormat="1"/>
    <xf numFmtId="2" fontId="129" fillId="0" borderId="0" xfId="58" applyNumberFormat="1" applyFill="1" applyBorder="1" applyAlignment="1" applyProtection="1">
      <alignment horizontal="center"/>
      <protection locked="0"/>
    </xf>
    <xf numFmtId="0" fontId="15" fillId="0" borderId="0" xfId="0" applyFont="1" applyAlignment="1">
      <alignment horizontal="center"/>
    </xf>
    <xf numFmtId="0" fontId="23" fillId="0" borderId="0" xfId="0" applyFont="1"/>
    <xf numFmtId="0" fontId="15" fillId="0" borderId="0" xfId="0" applyFont="1" applyAlignment="1">
      <alignment horizontal="left" indent="1"/>
    </xf>
    <xf numFmtId="0" fontId="18" fillId="0" borderId="0" xfId="0" applyFont="1" applyAlignment="1">
      <alignment horizontal="left" indent="1"/>
    </xf>
    <xf numFmtId="43" fontId="69" fillId="0" borderId="0" xfId="49" applyFont="1"/>
    <xf numFmtId="43" fontId="69" fillId="0" borderId="0" xfId="51" applyFont="1"/>
    <xf numFmtId="0" fontId="69" fillId="0" borderId="10" xfId="0" applyFont="1" applyBorder="1" applyAlignment="1">
      <alignment horizontal="center"/>
    </xf>
    <xf numFmtId="0" fontId="69" fillId="0" borderId="10" xfId="0" applyFont="1" applyBorder="1"/>
    <xf numFmtId="43" fontId="69" fillId="0" borderId="10" xfId="51" applyFont="1" applyBorder="1"/>
    <xf numFmtId="0" fontId="70" fillId="0" borderId="10" xfId="0" applyFont="1" applyBorder="1" applyAlignment="1">
      <alignment horizontal="left" indent="1"/>
    </xf>
    <xf numFmtId="0" fontId="71" fillId="0" borderId="10" xfId="0" applyFont="1" applyBorder="1"/>
    <xf numFmtId="0" fontId="72"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0" fontId="15" fillId="20" borderId="11" xfId="0" applyFont="1" applyFill="1" applyBorder="1"/>
    <xf numFmtId="9" fontId="15" fillId="20" borderId="11" xfId="56" applyFont="1" applyFill="1" applyBorder="1" applyAlignment="1">
      <alignment horizontal="center"/>
    </xf>
    <xf numFmtId="0" fontId="33" fillId="0" borderId="0" xfId="0" applyFont="1" applyAlignment="1">
      <alignment horizontal="center"/>
    </xf>
    <xf numFmtId="43" fontId="61" fillId="0" borderId="0" xfId="48" applyFont="1" applyAlignment="1">
      <alignment vertical="center"/>
    </xf>
    <xf numFmtId="0" fontId="14" fillId="0" borderId="0" xfId="0" applyFont="1"/>
    <xf numFmtId="0" fontId="79" fillId="19" borderId="12" xfId="0" applyFont="1" applyFill="1" applyBorder="1" applyAlignment="1">
      <alignment vertical="center"/>
    </xf>
    <xf numFmtId="0" fontId="77" fillId="0" borderId="0" xfId="53" applyFont="1" applyAlignment="1">
      <alignment horizontal="center" vertical="center" wrapText="1"/>
    </xf>
    <xf numFmtId="0" fontId="77" fillId="21" borderId="13" xfId="53" applyFont="1" applyFill="1" applyBorder="1" applyAlignment="1">
      <alignment horizontal="center" vertical="center" wrapText="1"/>
    </xf>
    <xf numFmtId="15" fontId="0" fillId="0" borderId="0" xfId="0" applyNumberFormat="1" applyAlignment="1">
      <alignment horizontal="center"/>
    </xf>
    <xf numFmtId="1" fontId="21" fillId="0" borderId="0" xfId="0" applyNumberFormat="1" applyFont="1" applyAlignment="1">
      <alignment horizontal="center"/>
    </xf>
    <xf numFmtId="1" fontId="82" fillId="20" borderId="0" xfId="0" applyNumberFormat="1" applyFont="1" applyFill="1" applyAlignment="1">
      <alignment horizontal="center"/>
    </xf>
    <xf numFmtId="0" fontId="82" fillId="0" borderId="0" xfId="0" applyFont="1" applyAlignment="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Border="1"/>
    <xf numFmtId="43" fontId="31" fillId="0" borderId="14" xfId="61" applyFont="1" applyBorder="1" applyAlignment="1" applyProtection="1"/>
    <xf numFmtId="43" fontId="129"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29"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lignment horizontal="center"/>
    </xf>
    <xf numFmtId="15" fontId="32" fillId="0" borderId="16" xfId="0" applyNumberFormat="1" applyFont="1" applyBorder="1" applyAlignment="1">
      <alignment horizontal="center"/>
    </xf>
    <xf numFmtId="0" fontId="32" fillId="0" borderId="17" xfId="0" applyFont="1" applyBorder="1" applyAlignment="1">
      <alignment horizontal="center"/>
    </xf>
    <xf numFmtId="166" fontId="15" fillId="0" borderId="0" xfId="0" applyNumberFormat="1" applyFont="1"/>
    <xf numFmtId="10" fontId="6" fillId="0" borderId="0" xfId="56" applyNumberFormat="1" applyFont="1" applyFill="1" applyBorder="1" applyAlignment="1" applyProtection="1">
      <alignment horizontal="center"/>
    </xf>
    <xf numFmtId="0" fontId="26" fillId="0" borderId="0" xfId="0" applyFont="1" applyAlignment="1">
      <alignment horizontal="centerContinuous" wrapText="1"/>
    </xf>
    <xf numFmtId="0" fontId="0" fillId="0" borderId="0" xfId="0" applyAlignment="1">
      <alignment horizontal="centerContinuous"/>
    </xf>
    <xf numFmtId="15" fontId="26" fillId="0" borderId="18" xfId="0" applyNumberFormat="1" applyFont="1" applyBorder="1"/>
    <xf numFmtId="0" fontId="26" fillId="0" borderId="18" xfId="0" applyFont="1" applyBorder="1"/>
    <xf numFmtId="0" fontId="26" fillId="0" borderId="19" xfId="0" applyFont="1" applyBorder="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0" fillId="0" borderId="21" xfId="0" applyBorder="1" applyAlignment="1">
      <alignment horizontal="center"/>
    </xf>
    <xf numFmtId="0" fontId="14" fillId="0" borderId="21" xfId="0" applyFont="1" applyBorder="1" applyAlignment="1">
      <alignment horizontal="center"/>
    </xf>
    <xf numFmtId="0" fontId="14" fillId="0" borderId="21" xfId="0" applyFont="1" applyBorder="1" applyAlignment="1">
      <alignment horizontal="center" wrapText="1"/>
    </xf>
    <xf numFmtId="0" fontId="14" fillId="0" borderId="22" xfId="0" applyFont="1" applyBorder="1" applyAlignment="1">
      <alignment horizontal="center"/>
    </xf>
    <xf numFmtId="1" fontId="21" fillId="20" borderId="23" xfId="0" applyNumberFormat="1" applyFont="1" applyFill="1" applyBorder="1" applyAlignment="1">
      <alignment horizontal="center"/>
    </xf>
    <xf numFmtId="1" fontId="21" fillId="20" borderId="24" xfId="0" applyNumberFormat="1" applyFont="1" applyFill="1" applyBorder="1" applyAlignment="1">
      <alignment horizontal="center"/>
    </xf>
    <xf numFmtId="0" fontId="0" fillId="0" borderId="25" xfId="0" applyBorder="1"/>
    <xf numFmtId="0" fontId="0" fillId="0" borderId="22" xfId="0" applyBorder="1" applyAlignment="1">
      <alignment horizontal="center"/>
    </xf>
    <xf numFmtId="0" fontId="32" fillId="0" borderId="21" xfId="0" applyFont="1" applyBorder="1" applyAlignment="1">
      <alignment horizontal="center"/>
    </xf>
    <xf numFmtId="0" fontId="32" fillId="0" borderId="22" xfId="0" applyFont="1" applyBorder="1" applyAlignment="1">
      <alignment horizontal="center"/>
    </xf>
    <xf numFmtId="0" fontId="0" fillId="0" borderId="0" xfId="0" applyAlignment="1">
      <alignment horizontal="center" wrapText="1"/>
    </xf>
    <xf numFmtId="43" fontId="100" fillId="0" borderId="0" xfId="28" applyFont="1" applyFill="1" applyBorder="1" applyProtection="1"/>
    <xf numFmtId="43" fontId="0" fillId="0" borderId="0" xfId="0" applyNumberFormat="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Border="1"/>
    <xf numFmtId="0" fontId="67" fillId="0" borderId="28" xfId="0" applyFont="1" applyBorder="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166" fontId="28" fillId="0" borderId="0" xfId="28" applyNumberFormat="1" applyFont="1" applyAlignment="1" applyProtection="1">
      <alignment horizontal="left"/>
    </xf>
    <xf numFmtId="15" fontId="28" fillId="0" borderId="0" xfId="0" applyNumberFormat="1" applyFont="1" applyAlignment="1">
      <alignment horizontal="left"/>
    </xf>
    <xf numFmtId="15" fontId="28" fillId="0" borderId="0" xfId="0" applyNumberFormat="1" applyFont="1" applyAlignment="1">
      <alignment horizontal="right"/>
    </xf>
    <xf numFmtId="166" fontId="28" fillId="0" borderId="0" xfId="28" applyNumberFormat="1" applyFont="1" applyBorder="1" applyAlignment="1" applyProtection="1">
      <alignment horizontal="left"/>
    </xf>
    <xf numFmtId="0" fontId="19" fillId="0" borderId="0" xfId="0" applyFont="1" applyAlignment="1">
      <alignment horizontal="center"/>
    </xf>
    <xf numFmtId="0" fontId="34" fillId="0" borderId="10" xfId="0" applyFont="1" applyBorder="1" applyAlignment="1">
      <alignment horizontal="center" vertical="center" wrapText="1"/>
    </xf>
    <xf numFmtId="15" fontId="26" fillId="0" borderId="0" xfId="0" applyNumberFormat="1" applyFont="1"/>
    <xf numFmtId="15" fontId="26" fillId="0" borderId="0" xfId="0" applyNumberFormat="1" applyFont="1" applyAlignment="1">
      <alignment horizontal="center" wrapText="1"/>
    </xf>
    <xf numFmtId="0" fontId="26" fillId="0" borderId="0" xfId="0" applyFont="1"/>
    <xf numFmtId="0" fontId="0" fillId="0" borderId="22" xfId="0" applyBorder="1" applyAlignment="1">
      <alignment horizontal="center" wrapText="1"/>
    </xf>
    <xf numFmtId="0" fontId="45" fillId="0" borderId="0" xfId="0" applyFont="1" applyAlignment="1">
      <alignment horizontal="left" vertical="center"/>
    </xf>
    <xf numFmtId="0" fontId="45" fillId="0" borderId="0" xfId="0" applyFont="1" applyAlignment="1">
      <alignment horizontal="left"/>
    </xf>
    <xf numFmtId="167" fontId="45" fillId="0" borderId="0" xfId="0" applyNumberFormat="1" applyFont="1" applyAlignment="1">
      <alignment horizontal="left"/>
    </xf>
    <xf numFmtId="0" fontId="47" fillId="0" borderId="0" xfId="0" applyFont="1"/>
    <xf numFmtId="0" fontId="48" fillId="0" borderId="0" xfId="0" applyFont="1"/>
    <xf numFmtId="0" fontId="50" fillId="0" borderId="0" xfId="0" applyFont="1" applyAlignment="1">
      <alignment horizontal="right"/>
    </xf>
    <xf numFmtId="0" fontId="51" fillId="0" borderId="0" xfId="0" applyFont="1" applyAlignment="1">
      <alignment horizontal="center"/>
    </xf>
    <xf numFmtId="0" fontId="34" fillId="0" borderId="0" xfId="0" applyFont="1" applyAlignment="1">
      <alignment horizontal="center" vertical="center"/>
    </xf>
    <xf numFmtId="0" fontId="52" fillId="20" borderId="0" xfId="0" applyFont="1" applyFill="1" applyAlignment="1">
      <alignment horizontal="left" vertical="center"/>
    </xf>
    <xf numFmtId="3" fontId="57" fillId="0" borderId="0" xfId="0" applyNumberFormat="1" applyFont="1" applyAlignment="1">
      <alignment horizontal="right" vertical="center"/>
    </xf>
    <xf numFmtId="0" fontId="58" fillId="20" borderId="0" xfId="0" applyFont="1" applyFill="1" applyAlignment="1">
      <alignment horizontal="left" vertical="center"/>
    </xf>
    <xf numFmtId="169" fontId="52" fillId="20" borderId="0" xfId="0" applyNumberFormat="1" applyFont="1" applyFill="1" applyAlignment="1">
      <alignment vertical="center"/>
    </xf>
    <xf numFmtId="0" fontId="53" fillId="20" borderId="0" xfId="0" applyFont="1" applyFill="1" applyAlignment="1">
      <alignment horizontal="right"/>
    </xf>
    <xf numFmtId="0" fontId="63" fillId="20" borderId="0" xfId="0" applyFont="1" applyFill="1" applyAlignment="1">
      <alignment horizontal="center" vertical="center"/>
    </xf>
    <xf numFmtId="0" fontId="54" fillId="20" borderId="0" xfId="0" applyFont="1" applyFill="1" applyAlignment="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xf numFmtId="0" fontId="56" fillId="20" borderId="0" xfId="0" applyFont="1" applyFill="1" applyAlignment="1">
      <alignment horizontal="center" vertical="center"/>
    </xf>
    <xf numFmtId="9" fontId="55" fillId="20" borderId="0" xfId="0" applyNumberFormat="1" applyFont="1" applyFill="1" applyAlignment="1">
      <alignment horizontal="left"/>
    </xf>
    <xf numFmtId="0" fontId="64" fillId="0" borderId="0" xfId="0" applyFont="1" applyAlignment="1">
      <alignment horizontal="center" vertical="center"/>
    </xf>
    <xf numFmtId="0" fontId="49" fillId="0" borderId="0" xfId="0" applyFont="1" applyAlignment="1">
      <alignment horizontal="center" vertical="center"/>
    </xf>
    <xf numFmtId="0" fontId="49" fillId="0" borderId="0" xfId="0" applyFont="1" applyAlignment="1">
      <alignment horizontal="right" vertical="center" indent="1"/>
    </xf>
    <xf numFmtId="0" fontId="53" fillId="0" borderId="30" xfId="0" applyFont="1" applyBorder="1" applyAlignment="1">
      <alignment horizontal="right"/>
    </xf>
    <xf numFmtId="0" fontId="53" fillId="0" borderId="31" xfId="0" applyFont="1" applyBorder="1" applyAlignment="1">
      <alignment horizontal="right"/>
    </xf>
    <xf numFmtId="0" fontId="53" fillId="0" borderId="32" xfId="0" applyFont="1" applyBorder="1" applyAlignment="1">
      <alignment horizontal="right"/>
    </xf>
    <xf numFmtId="0" fontId="62" fillId="0" borderId="0" xfId="0" applyFont="1" applyAlignment="1">
      <alignment horizontal="center"/>
    </xf>
    <xf numFmtId="0" fontId="53" fillId="0" borderId="0" xfId="0" applyFont="1" applyAlignment="1">
      <alignment horizontal="right"/>
    </xf>
    <xf numFmtId="0" fontId="63" fillId="0" borderId="0" xfId="0" applyFont="1" applyAlignment="1">
      <alignment horizontal="center" vertical="center"/>
    </xf>
    <xf numFmtId="9" fontId="66" fillId="0" borderId="0" xfId="0" applyNumberFormat="1" applyFont="1"/>
    <xf numFmtId="9" fontId="66" fillId="0" borderId="0" xfId="0" applyNumberFormat="1" applyFont="1" applyAlignment="1">
      <alignment horizontal="center"/>
    </xf>
    <xf numFmtId="0" fontId="53" fillId="0" borderId="33" xfId="0" applyFont="1" applyBorder="1" applyAlignment="1">
      <alignment horizontal="right"/>
    </xf>
    <xf numFmtId="9" fontId="55" fillId="0" borderId="0" xfId="0" applyNumberFormat="1" applyFont="1"/>
    <xf numFmtId="0" fontId="53" fillId="0" borderId="34" xfId="0" applyFont="1" applyBorder="1" applyAlignment="1">
      <alignment horizontal="right"/>
    </xf>
    <xf numFmtId="0" fontId="53" fillId="0" borderId="35" xfId="0" applyFont="1" applyBorder="1" applyAlignment="1">
      <alignment horizontal="right"/>
    </xf>
    <xf numFmtId="0" fontId="34" fillId="0" borderId="36" xfId="0" applyFont="1" applyBorder="1" applyAlignment="1">
      <alignment vertical="center"/>
    </xf>
    <xf numFmtId="0" fontId="34" fillId="0" borderId="37" xfId="0" applyFont="1" applyBorder="1" applyAlignment="1">
      <alignment vertical="center"/>
    </xf>
    <xf numFmtId="0" fontId="34" fillId="0" borderId="38" xfId="0" applyFont="1" applyBorder="1" applyAlignment="1">
      <alignment vertical="center"/>
    </xf>
    <xf numFmtId="0" fontId="44" fillId="0" borderId="0" xfId="0" applyFont="1"/>
    <xf numFmtId="0" fontId="65" fillId="0" borderId="0" xfId="0" applyFont="1"/>
    <xf numFmtId="0" fontId="59" fillId="0" borderId="0" xfId="0" applyFont="1"/>
    <xf numFmtId="0" fontId="73" fillId="0" borderId="0" xfId="0" applyFont="1" applyAlignment="1">
      <alignment wrapText="1"/>
    </xf>
    <xf numFmtId="0" fontId="69" fillId="0" borderId="0" xfId="0" applyFont="1"/>
    <xf numFmtId="43" fontId="15" fillId="0" borderId="0" xfId="0" applyNumberFormat="1" applyFont="1"/>
    <xf numFmtId="0" fontId="28" fillId="0" borderId="0" xfId="0" applyFont="1" applyAlignment="1">
      <alignment horizontal="center"/>
    </xf>
    <xf numFmtId="15" fontId="28" fillId="0" borderId="0" xfId="0" applyNumberFormat="1" applyFont="1" applyAlignment="1">
      <alignment horizontal="center"/>
    </xf>
    <xf numFmtId="43" fontId="0" fillId="0" borderId="0" xfId="0" applyNumberFormat="1" applyAlignment="1">
      <alignment horizontal="right"/>
    </xf>
    <xf numFmtId="3" fontId="0" fillId="0" borderId="0" xfId="0" applyNumberFormat="1"/>
    <xf numFmtId="43" fontId="37" fillId="0" borderId="0" xfId="0" applyNumberFormat="1" applyFont="1"/>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xf numFmtId="0" fontId="34" fillId="0" borderId="0" xfId="0" applyFont="1" applyAlignment="1" applyProtection="1">
      <alignment horizontal="left"/>
      <protection locked="0"/>
    </xf>
    <xf numFmtId="0" fontId="28" fillId="0" borderId="0" xfId="0" applyFont="1" applyAlignment="1">
      <alignment vertical="center" wrapText="1"/>
    </xf>
    <xf numFmtId="0" fontId="0" fillId="20" borderId="0" xfId="0" applyFill="1" applyAlignment="1">
      <alignment horizontal="center"/>
    </xf>
    <xf numFmtId="0" fontId="0" fillId="0" borderId="40" xfId="0" applyBorder="1"/>
    <xf numFmtId="43" fontId="17" fillId="0" borderId="0" xfId="47" applyFont="1" applyAlignment="1">
      <alignment horizontal="center" vertical="center"/>
    </xf>
    <xf numFmtId="43" fontId="16" fillId="0" borderId="0" xfId="47" applyFont="1" applyAlignment="1">
      <alignment vertical="center"/>
    </xf>
    <xf numFmtId="0" fontId="84" fillId="0" borderId="0" xfId="0" applyFont="1"/>
    <xf numFmtId="43" fontId="14" fillId="0" borderId="0" xfId="0" applyNumberFormat="1" applyFont="1" applyAlignment="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xf numFmtId="0" fontId="0" fillId="20" borderId="42" xfId="0" applyFill="1" applyBorder="1"/>
    <xf numFmtId="43" fontId="90" fillId="0" borderId="0" xfId="0" applyNumberFormat="1" applyFont="1"/>
    <xf numFmtId="0" fontId="90" fillId="0" borderId="0" xfId="0" applyFont="1"/>
    <xf numFmtId="43" fontId="0" fillId="0" borderId="0" xfId="0" quotePrefix="1" applyNumberFormat="1"/>
    <xf numFmtId="0" fontId="34" fillId="0" borderId="43" xfId="0" applyFont="1" applyBorder="1" applyAlignment="1">
      <alignment vertical="center"/>
    </xf>
    <xf numFmtId="43" fontId="129" fillId="0" borderId="0" xfId="52" applyAlignment="1">
      <alignment horizontal="center"/>
    </xf>
    <xf numFmtId="0" fontId="34" fillId="0" borderId="0" xfId="0" quotePrefix="1" applyFont="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Border="1" applyAlignment="1">
      <alignment horizontal="center"/>
    </xf>
    <xf numFmtId="0" fontId="67" fillId="0" borderId="10" xfId="0" applyFont="1" applyBorder="1" applyAlignment="1">
      <alignment horizontal="center"/>
    </xf>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96" fillId="0" borderId="0" xfId="0" applyFont="1"/>
    <xf numFmtId="15" fontId="36" fillId="0" borderId="0" xfId="0" applyNumberFormat="1" applyFont="1" applyAlignment="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Alignment="1">
      <alignment horizontal="right" vertical="center"/>
    </xf>
    <xf numFmtId="0" fontId="102" fillId="0" borderId="0" xfId="0" applyFont="1" applyAlignment="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3" fillId="0" borderId="14" xfId="61" applyFont="1" applyFill="1" applyBorder="1" applyAlignment="1" applyProtection="1">
      <alignment horizontal="left" vertical="center"/>
    </xf>
    <xf numFmtId="0" fontId="104" fillId="0" borderId="0" xfId="0" applyFont="1"/>
    <xf numFmtId="0" fontId="102" fillId="0" borderId="0" xfId="0" applyFont="1"/>
    <xf numFmtId="3" fontId="6" fillId="0" borderId="0" xfId="0" applyNumberFormat="1" applyFont="1" applyAlignment="1">
      <alignment horizontal="right"/>
    </xf>
    <xf numFmtId="15" fontId="101" fillId="0" borderId="0" xfId="0" applyNumberFormat="1" applyFont="1" applyAlignment="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xf numFmtId="15" fontId="32" fillId="0" borderId="48" xfId="0" applyNumberFormat="1" applyFont="1" applyBorder="1" applyAlignment="1">
      <alignment horizontal="center"/>
    </xf>
    <xf numFmtId="15" fontId="29" fillId="0" borderId="0" xfId="0" applyNumberFormat="1" applyFont="1" applyAlignment="1">
      <alignment horizontal="center" vertical="center" wrapText="1"/>
    </xf>
    <xf numFmtId="0" fontId="77" fillId="0" borderId="49" xfId="0" applyFont="1" applyBorder="1" applyAlignment="1">
      <alignment horizontal="center" vertical="center"/>
    </xf>
    <xf numFmtId="0" fontId="112" fillId="0" borderId="0" xfId="0" applyFont="1" applyAlignment="1">
      <alignment horizontal="right"/>
    </xf>
    <xf numFmtId="0" fontId="112" fillId="0" borderId="50" xfId="0" applyFont="1" applyBorder="1" applyAlignment="1">
      <alignment horizontal="right"/>
    </xf>
    <xf numFmtId="43" fontId="111" fillId="0" borderId="0" xfId="39" applyFont="1" applyAlignment="1">
      <alignment vertical="center"/>
    </xf>
    <xf numFmtId="0" fontId="112" fillId="0" borderId="0" xfId="0" applyFont="1"/>
    <xf numFmtId="15" fontId="1" fillId="0" borderId="10" xfId="58" applyNumberFormat="1" applyFont="1" applyFill="1" applyBorder="1" applyAlignment="1" applyProtection="1">
      <alignment horizontal="center"/>
      <protection locked="0"/>
    </xf>
    <xf numFmtId="0" fontId="0" fillId="0" borderId="0" xfId="0" applyProtection="1">
      <protection locked="0"/>
    </xf>
    <xf numFmtId="0" fontId="99" fillId="0" borderId="0" xfId="0" applyFont="1" applyAlignment="1">
      <alignment horizontal="center" vertical="center"/>
    </xf>
    <xf numFmtId="0" fontId="6" fillId="0" borderId="51" xfId="0" applyFont="1" applyBorder="1"/>
    <xf numFmtId="0" fontId="6" fillId="0" borderId="52" xfId="0" applyFont="1" applyBorder="1"/>
    <xf numFmtId="0" fontId="25" fillId="0" borderId="53" xfId="0" applyFont="1" applyBorder="1" applyAlignment="1">
      <alignment vertical="distributed"/>
    </xf>
    <xf numFmtId="15" fontId="27" fillId="0" borderId="54" xfId="0" applyNumberFormat="1" applyFont="1" applyBorder="1" applyAlignment="1">
      <alignment horizontal="center" vertical="center" wrapText="1"/>
    </xf>
    <xf numFmtId="0" fontId="6" fillId="0" borderId="0" xfId="0" applyFont="1" applyProtection="1">
      <protection locked="0"/>
    </xf>
    <xf numFmtId="0" fontId="26" fillId="0" borderId="55" xfId="0" applyFont="1" applyBorder="1"/>
    <xf numFmtId="15" fontId="26" fillId="0" borderId="10" xfId="0" applyNumberFormat="1" applyFont="1" applyBorder="1" applyAlignment="1">
      <alignment horizontal="center"/>
    </xf>
    <xf numFmtId="15" fontId="26" fillId="0" borderId="56" xfId="0" applyNumberFormat="1" applyFont="1" applyBorder="1" applyAlignment="1">
      <alignment horizontal="center"/>
    </xf>
    <xf numFmtId="0" fontId="32" fillId="25" borderId="57" xfId="0" applyFont="1" applyFill="1" applyBorder="1" applyAlignment="1">
      <alignment horizontal="centerContinuous"/>
    </xf>
    <xf numFmtId="15" fontId="108" fillId="0" borderId="40" xfId="0" applyNumberFormat="1" applyFont="1" applyBorder="1" applyAlignment="1">
      <alignment horizontal="center" wrapText="1"/>
    </xf>
    <xf numFmtId="15" fontId="108" fillId="0" borderId="58" xfId="0" applyNumberFormat="1" applyFont="1" applyBorder="1" applyAlignment="1">
      <alignment horizontal="center" wrapText="1"/>
    </xf>
    <xf numFmtId="0" fontId="37" fillId="0" borderId="55" xfId="0" applyFont="1" applyBorder="1" applyAlignment="1">
      <alignment horizontal="center"/>
    </xf>
    <xf numFmtId="0" fontId="37" fillId="0" borderId="59" xfId="0" applyFont="1" applyBorder="1" applyAlignment="1">
      <alignment horizontal="center"/>
    </xf>
    <xf numFmtId="0" fontId="32" fillId="25" borderId="60" xfId="0" applyFont="1" applyFill="1" applyBorder="1" applyAlignment="1">
      <alignment horizontal="centerContinuous"/>
    </xf>
    <xf numFmtId="0" fontId="0" fillId="0" borderId="0" xfId="0" applyAlignment="1" applyProtection="1">
      <alignment horizontal="left" vertical="top"/>
      <protection locked="0"/>
    </xf>
    <xf numFmtId="0" fontId="101" fillId="0" borderId="0" xfId="0" applyFont="1" applyAlignment="1">
      <alignment horizontal="center"/>
    </xf>
    <xf numFmtId="0" fontId="107" fillId="0" borderId="0" xfId="0" applyFont="1" applyAlignment="1">
      <alignment horizontal="center" vertical="center"/>
    </xf>
    <xf numFmtId="1" fontId="0" fillId="0" borderId="23" xfId="0" applyNumberFormat="1" applyBorder="1" applyAlignment="1">
      <alignment horizontal="center"/>
    </xf>
    <xf numFmtId="14" fontId="0" fillId="0" borderId="10" xfId="0" applyNumberFormat="1" applyBorder="1" applyAlignment="1" applyProtection="1">
      <alignment horizontal="center"/>
      <protection locked="0"/>
    </xf>
    <xf numFmtId="0" fontId="0" fillId="0" borderId="61" xfId="0" applyBorder="1" applyAlignment="1">
      <alignment horizontal="center"/>
    </xf>
    <xf numFmtId="0" fontId="0" fillId="0" borderId="40" xfId="0" applyBorder="1" applyAlignment="1">
      <alignment horizontal="center"/>
    </xf>
    <xf numFmtId="0" fontId="1" fillId="0" borderId="39" xfId="0" applyFont="1" applyBorder="1" applyAlignment="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Border="1" applyAlignment="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Border="1" applyAlignment="1">
      <alignment horizontal="center" vertical="center"/>
    </xf>
    <xf numFmtId="43" fontId="113" fillId="0" borderId="20" xfId="61" applyFont="1" applyFill="1" applyBorder="1" applyAlignment="1" applyProtection="1">
      <alignment vertical="center"/>
    </xf>
    <xf numFmtId="0" fontId="24" fillId="0" borderId="0" xfId="0" applyFont="1"/>
    <xf numFmtId="43" fontId="108" fillId="0" borderId="0" xfId="0" applyNumberFormat="1" applyFont="1" applyAlignment="1">
      <alignment vertical="center" wrapText="1"/>
    </xf>
    <xf numFmtId="0" fontId="108" fillId="0" borderId="0" xfId="0" applyFont="1" applyAlignment="1">
      <alignment wrapText="1"/>
    </xf>
    <xf numFmtId="43" fontId="20" fillId="0" borderId="41" xfId="58" applyFont="1" applyFill="1" applyBorder="1" applyAlignment="1" applyProtection="1">
      <alignment horizontal="right"/>
    </xf>
    <xf numFmtId="0" fontId="21" fillId="20" borderId="27" xfId="0" applyFont="1" applyFill="1" applyBorder="1"/>
    <xf numFmtId="0" fontId="28" fillId="0" borderId="0" xfId="0" applyFont="1" applyAlignment="1">
      <alignment wrapText="1"/>
    </xf>
    <xf numFmtId="9" fontId="110" fillId="26" borderId="10" xfId="56" applyFont="1" applyFill="1" applyBorder="1" applyAlignment="1" applyProtection="1">
      <alignment horizontal="center" vertical="center" wrapText="1"/>
    </xf>
    <xf numFmtId="15" fontId="28" fillId="0" borderId="0" xfId="0" applyNumberFormat="1" applyFont="1"/>
    <xf numFmtId="0" fontId="0" fillId="0" borderId="26" xfId="0" applyBorder="1"/>
    <xf numFmtId="43" fontId="114" fillId="0" borderId="26" xfId="61" applyFont="1" applyFill="1" applyBorder="1" applyAlignment="1" applyProtection="1">
      <alignment vertical="center"/>
    </xf>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67" fillId="0" borderId="64" xfId="0" applyFont="1" applyBorder="1"/>
    <xf numFmtId="0" fontId="30" fillId="22" borderId="0" xfId="0" applyFont="1" applyFill="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xf numFmtId="0" fontId="0" fillId="24" borderId="47" xfId="0" applyFill="1" applyBorder="1" applyAlignment="1" applyProtection="1">
      <alignment horizontal="center"/>
      <protection locked="0"/>
    </xf>
    <xf numFmtId="0" fontId="0" fillId="0" borderId="24" xfId="0" applyBorder="1" applyAlignment="1">
      <alignment horizontal="center"/>
    </xf>
    <xf numFmtId="0" fontId="0" fillId="24" borderId="24" xfId="0"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lignment horizontal="right" wrapText="1"/>
    </xf>
    <xf numFmtId="171" fontId="21" fillId="20" borderId="0" xfId="0" applyNumberFormat="1" applyFont="1" applyFill="1"/>
    <xf numFmtId="4" fontId="0" fillId="0" borderId="0" xfId="0" applyNumberFormat="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5" xfId="0" applyNumberFormat="1" applyFill="1" applyBorder="1" applyAlignment="1" applyProtection="1">
      <alignment horizontal="center"/>
      <protection locked="0"/>
    </xf>
    <xf numFmtId="1" fontId="0" fillId="25" borderId="66" xfId="0" applyNumberFormat="1" applyFill="1" applyBorder="1" applyAlignment="1" applyProtection="1">
      <alignment horizontal="center"/>
      <protection locked="0"/>
    </xf>
    <xf numFmtId="165" fontId="32" fillId="19" borderId="67" xfId="0" applyNumberFormat="1" applyFont="1" applyFill="1" applyBorder="1" applyAlignment="1" applyProtection="1">
      <alignment horizontal="center"/>
      <protection locked="0"/>
    </xf>
    <xf numFmtId="165" fontId="32" fillId="19" borderId="68" xfId="0" applyNumberFormat="1" applyFon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0" fontId="0" fillId="0" borderId="71" xfId="0" applyBorder="1" applyAlignment="1">
      <alignment horizontal="center"/>
    </xf>
    <xf numFmtId="0" fontId="0" fillId="0" borderId="0" xfId="0" applyAlignment="1">
      <alignment horizontal="left" wrapText="1"/>
    </xf>
    <xf numFmtId="43" fontId="35" fillId="0" borderId="0" xfId="0" applyNumberFormat="1" applyFont="1"/>
    <xf numFmtId="0" fontId="0" fillId="0" borderId="0" xfId="0" applyAlignment="1">
      <alignment horizontal="left"/>
    </xf>
    <xf numFmtId="43" fontId="1" fillId="0" borderId="41" xfId="58" applyFont="1" applyBorder="1" applyAlignment="1" applyProtection="1">
      <alignment horizontal="right"/>
    </xf>
    <xf numFmtId="43" fontId="122" fillId="0" borderId="0" xfId="51" applyFont="1"/>
    <xf numFmtId="3" fontId="28" fillId="25" borderId="67" xfId="0" applyNumberFormat="1" applyFont="1" applyFill="1" applyBorder="1" applyProtection="1">
      <protection locked="0"/>
    </xf>
    <xf numFmtId="3" fontId="28" fillId="25" borderId="72" xfId="0" applyNumberFormat="1" applyFont="1" applyFill="1" applyBorder="1" applyProtection="1">
      <protection locked="0"/>
    </xf>
    <xf numFmtId="3" fontId="28" fillId="0" borderId="10" xfId="0" applyNumberFormat="1" applyFont="1" applyBorder="1"/>
    <xf numFmtId="3" fontId="28" fillId="0" borderId="65" xfId="0" applyNumberFormat="1" applyFont="1" applyBorder="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3" xfId="28" applyNumberFormat="1" applyFont="1" applyFill="1" applyBorder="1" applyAlignment="1" applyProtection="1"/>
    <xf numFmtId="3" fontId="6" fillId="0" borderId="74" xfId="28" applyNumberFormat="1" applyFont="1" applyFill="1" applyBorder="1" applyAlignment="1" applyProtection="1"/>
    <xf numFmtId="165" fontId="14" fillId="19" borderId="75" xfId="0" applyNumberFormat="1" applyFont="1" applyFill="1" applyBorder="1" applyAlignment="1" applyProtection="1">
      <alignment horizontal="center"/>
      <protection locked="0"/>
    </xf>
    <xf numFmtId="165" fontId="14" fillId="19" borderId="76" xfId="0" applyNumberFormat="1" applyFont="1" applyFill="1" applyBorder="1" applyAlignment="1" applyProtection="1">
      <alignment horizontal="center"/>
      <protection locked="0"/>
    </xf>
    <xf numFmtId="0" fontId="0" fillId="25" borderId="10" xfId="0" applyFill="1" applyBorder="1"/>
    <xf numFmtId="0" fontId="0" fillId="24" borderId="10" xfId="0" applyFill="1" applyBorder="1"/>
    <xf numFmtId="49" fontId="25" fillId="0" borderId="77" xfId="0" applyNumberFormat="1" applyFont="1" applyBorder="1" applyAlignment="1">
      <alignment vertical="center" wrapText="1"/>
    </xf>
    <xf numFmtId="0" fontId="91" fillId="0" borderId="78" xfId="0" applyFont="1" applyBorder="1" applyAlignment="1">
      <alignment horizontal="center" vertical="center" wrapText="1"/>
    </xf>
    <xf numFmtId="0" fontId="91" fillId="0" borderId="79" xfId="0" applyFont="1" applyBorder="1" applyAlignment="1">
      <alignment horizontal="center" vertical="center" wrapText="1"/>
    </xf>
    <xf numFmtId="49" fontId="26" fillId="0" borderId="80" xfId="0" applyNumberFormat="1" applyFont="1" applyBorder="1" applyAlignment="1" applyProtection="1">
      <alignment wrapText="1"/>
      <protection locked="0"/>
    </xf>
    <xf numFmtId="0" fontId="0" fillId="0" borderId="81" xfId="0" applyBorder="1"/>
    <xf numFmtId="43" fontId="129" fillId="25" borderId="82" xfId="61" applyFill="1" applyBorder="1" applyAlignment="1" applyProtection="1">
      <alignment vertical="center"/>
    </xf>
    <xf numFmtId="0" fontId="0" fillId="22" borderId="83" xfId="0" applyFill="1" applyBorder="1"/>
    <xf numFmtId="0" fontId="0" fillId="0" borderId="20" xfId="0" applyBorder="1"/>
    <xf numFmtId="43" fontId="39" fillId="24" borderId="84" xfId="61" applyFont="1" applyFill="1" applyBorder="1" applyAlignment="1" applyProtection="1">
      <alignment horizontal="center" vertical="center"/>
    </xf>
    <xf numFmtId="43" fontId="39" fillId="0" borderId="85" xfId="61" applyFont="1" applyFill="1" applyBorder="1" applyAlignment="1" applyProtection="1">
      <alignment vertical="center"/>
    </xf>
    <xf numFmtId="0" fontId="0" fillId="0" borderId="86" xfId="0" applyBorder="1"/>
    <xf numFmtId="15" fontId="27" fillId="0" borderId="87" xfId="0" applyNumberFormat="1" applyFont="1" applyBorder="1" applyAlignment="1">
      <alignment horizontal="center" vertical="center" wrapText="1"/>
    </xf>
    <xf numFmtId="0" fontId="0" fillId="0" borderId="10" xfId="0" quotePrefix="1" applyBorder="1" applyAlignment="1">
      <alignment horizontal="center"/>
    </xf>
    <xf numFmtId="3" fontId="67" fillId="0" borderId="10" xfId="0" applyNumberFormat="1" applyFont="1" applyBorder="1" applyAlignment="1">
      <alignment vertical="center"/>
    </xf>
    <xf numFmtId="3" fontId="67" fillId="0" borderId="88" xfId="0" applyNumberFormat="1" applyFont="1" applyBorder="1" applyAlignment="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lignment horizontal="center"/>
    </xf>
    <xf numFmtId="0" fontId="77" fillId="0" borderId="89" xfId="0" applyFont="1" applyBorder="1" applyAlignment="1">
      <alignment horizontal="center" vertical="center" wrapText="1"/>
    </xf>
    <xf numFmtId="0" fontId="77" fillId="0" borderId="90" xfId="0" applyFont="1" applyBorder="1" applyAlignment="1">
      <alignment horizontal="center"/>
    </xf>
    <xf numFmtId="0" fontId="77" fillId="0" borderId="91" xfId="0" applyFont="1" applyBorder="1" applyAlignment="1">
      <alignment horizontal="center"/>
    </xf>
    <xf numFmtId="0" fontId="77" fillId="0" borderId="92" xfId="0" applyFont="1" applyBorder="1" applyAlignment="1">
      <alignment horizontal="center"/>
    </xf>
    <xf numFmtId="0" fontId="77" fillId="0" borderId="93" xfId="0" applyFont="1" applyBorder="1" applyAlignment="1">
      <alignment horizontal="center"/>
    </xf>
    <xf numFmtId="0" fontId="77" fillId="0" borderId="93" xfId="0" applyFont="1" applyBorder="1" applyAlignment="1">
      <alignment horizontal="center" vertical="center"/>
    </xf>
    <xf numFmtId="0" fontId="77" fillId="0" borderId="94" xfId="0" applyFont="1" applyBorder="1" applyAlignment="1">
      <alignment horizontal="center" vertical="center"/>
    </xf>
    <xf numFmtId="0" fontId="81" fillId="0" borderId="95" xfId="0" applyFont="1" applyBorder="1" applyAlignment="1">
      <alignment horizontal="center" vertical="center"/>
    </xf>
    <xf numFmtId="0" fontId="81" fillId="0" borderId="96" xfId="0" applyFont="1" applyBorder="1" applyAlignment="1">
      <alignment horizontal="center" vertical="center"/>
    </xf>
    <xf numFmtId="0" fontId="81" fillId="0" borderId="97" xfId="0" applyFont="1" applyBorder="1" applyAlignment="1">
      <alignment horizontal="center" vertical="center"/>
    </xf>
    <xf numFmtId="0" fontId="67" fillId="27" borderId="10" xfId="0" applyFont="1" applyFill="1" applyBorder="1" applyAlignment="1">
      <alignment horizontal="center"/>
    </xf>
    <xf numFmtId="0" fontId="67" fillId="28" borderId="10" xfId="0" applyFont="1" applyFill="1" applyBorder="1" applyAlignment="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88" xfId="0" applyFont="1" applyFill="1" applyBorder="1" applyAlignment="1">
      <alignment horizontal="center"/>
    </xf>
    <xf numFmtId="3" fontId="67" fillId="23" borderId="88" xfId="0" applyNumberFormat="1" applyFont="1" applyFill="1" applyBorder="1" applyAlignment="1" applyProtection="1">
      <alignment horizontal="right" vertical="center"/>
      <protection locked="0"/>
    </xf>
    <xf numFmtId="3" fontId="67" fillId="23" borderId="98" xfId="0" applyNumberFormat="1" applyFont="1" applyFill="1" applyBorder="1" applyAlignment="1" applyProtection="1">
      <alignment horizontal="right" vertical="center"/>
      <protection locked="0"/>
    </xf>
    <xf numFmtId="0" fontId="67" fillId="27" borderId="10" xfId="0" applyFont="1" applyFill="1" applyBorder="1"/>
    <xf numFmtId="3" fontId="67" fillId="27" borderId="10" xfId="0" applyNumberFormat="1" applyFont="1" applyFill="1" applyBorder="1" applyAlignment="1">
      <alignment vertical="center"/>
    </xf>
    <xf numFmtId="0" fontId="0" fillId="0" borderId="239" xfId="0" applyBorder="1"/>
    <xf numFmtId="0" fontId="0" fillId="0" borderId="59" xfId="0" applyBorder="1" applyAlignment="1">
      <alignment horizontal="center" wrapText="1"/>
    </xf>
    <xf numFmtId="3" fontId="1" fillId="0" borderId="99" xfId="28" applyNumberFormat="1" applyFont="1" applyFill="1" applyBorder="1" applyAlignment="1" applyProtection="1">
      <alignment horizontal="right"/>
    </xf>
    <xf numFmtId="3" fontId="0" fillId="0" borderId="99" xfId="0" applyNumberFormat="1" applyBorder="1" applyAlignment="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Border="1" applyAlignment="1">
      <alignment vertical="center"/>
    </xf>
    <xf numFmtId="3" fontId="67" fillId="27" borderId="29" xfId="0" applyNumberFormat="1" applyFont="1" applyFill="1" applyBorder="1" applyAlignment="1">
      <alignment vertical="center"/>
    </xf>
    <xf numFmtId="3" fontId="67" fillId="0" borderId="240" xfId="0" applyNumberFormat="1" applyFont="1" applyBorder="1" applyAlignment="1">
      <alignment vertical="center"/>
    </xf>
    <xf numFmtId="0" fontId="34" fillId="22" borderId="0" xfId="0" applyFont="1" applyFill="1" applyAlignment="1" applyProtection="1">
      <alignment horizontal="left" vertical="top" wrapText="1"/>
      <protection locked="0"/>
    </xf>
    <xf numFmtId="43" fontId="129" fillId="0" borderId="0" xfId="28" applyFont="1" applyBorder="1" applyProtection="1"/>
    <xf numFmtId="0" fontId="0" fillId="0" borderId="100" xfId="0" applyBorder="1"/>
    <xf numFmtId="166" fontId="129" fillId="0" borderId="99" xfId="28" applyNumberFormat="1" applyFont="1" applyFill="1" applyBorder="1" applyProtection="1"/>
    <xf numFmtId="166" fontId="129" fillId="0" borderId="10"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xf>
    <xf numFmtId="166" fontId="77" fillId="29" borderId="10" xfId="28" applyNumberFormat="1" applyFont="1" applyFill="1" applyBorder="1" applyAlignment="1" applyProtection="1">
      <alignment vertical="center"/>
      <protection locked="0"/>
    </xf>
    <xf numFmtId="166" fontId="77" fillId="23" borderId="88" xfId="28" applyNumberFormat="1" applyFont="1" applyFill="1" applyBorder="1" applyAlignment="1" applyProtection="1">
      <alignment horizontal="right" vertical="center"/>
    </xf>
    <xf numFmtId="166" fontId="77" fillId="23" borderId="88"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7" borderId="102" xfId="0" applyFont="1" applyFill="1" applyBorder="1" applyAlignment="1">
      <alignment horizontal="center" vertical="center"/>
    </xf>
    <xf numFmtId="0" fontId="77" fillId="37" borderId="103" xfId="0" applyFont="1" applyFill="1" applyBorder="1" applyAlignment="1">
      <alignment horizontal="center" vertical="center"/>
    </xf>
    <xf numFmtId="0" fontId="77" fillId="37" borderId="104" xfId="0" applyFont="1" applyFill="1" applyBorder="1" applyAlignment="1">
      <alignment horizontal="center" vertical="center"/>
    </xf>
    <xf numFmtId="0" fontId="77" fillId="37" borderId="105" xfId="0" applyFont="1" applyFill="1" applyBorder="1" applyAlignment="1">
      <alignment horizontal="center" vertical="center"/>
    </xf>
    <xf numFmtId="0" fontId="2" fillId="37" borderId="106" xfId="0" applyFont="1" applyFill="1" applyBorder="1" applyAlignment="1">
      <alignment horizontal="center"/>
    </xf>
    <xf numFmtId="165" fontId="14" fillId="37" borderId="103" xfId="0" applyNumberFormat="1" applyFont="1" applyFill="1" applyBorder="1" applyAlignment="1" applyProtection="1">
      <alignment horizontal="center"/>
      <protection locked="0"/>
    </xf>
    <xf numFmtId="165" fontId="14" fillId="37" borderId="107" xfId="0" applyNumberFormat="1" applyFont="1" applyFill="1" applyBorder="1" applyAlignment="1" applyProtection="1">
      <alignment horizontal="center"/>
      <protection locked="0"/>
    </xf>
    <xf numFmtId="3" fontId="1" fillId="25" borderId="236" xfId="28" applyNumberFormat="1" applyFont="1" applyFill="1" applyBorder="1" applyAlignment="1" applyProtection="1">
      <alignment horizontal="right" vertical="center"/>
      <protection locked="0"/>
    </xf>
    <xf numFmtId="3" fontId="0" fillId="0" borderId="238" xfId="0" applyNumberFormat="1" applyBorder="1" applyAlignment="1">
      <alignment horizontal="right" vertical="center"/>
    </xf>
    <xf numFmtId="0" fontId="0" fillId="0" borderId="101" xfId="0" applyBorder="1" applyAlignment="1">
      <alignment horizontal="center"/>
    </xf>
    <xf numFmtId="0" fontId="14" fillId="0" borderId="140" xfId="0" applyFont="1" applyBorder="1" applyAlignment="1">
      <alignment horizontal="center"/>
    </xf>
    <xf numFmtId="0" fontId="14" fillId="0" borderId="101" xfId="0" applyFont="1" applyBorder="1" applyAlignment="1">
      <alignment horizontal="center"/>
    </xf>
    <xf numFmtId="9" fontId="67" fillId="29" borderId="10" xfId="56" applyFont="1" applyFill="1" applyBorder="1" applyAlignment="1" applyProtection="1">
      <alignment vertical="center"/>
    </xf>
    <xf numFmtId="9" fontId="131" fillId="29" borderId="10" xfId="56" applyFont="1" applyFill="1" applyBorder="1" applyAlignment="1" applyProtection="1">
      <alignment vertical="center"/>
    </xf>
    <xf numFmtId="174" fontId="131" fillId="29" borderId="10" xfId="56" applyNumberFormat="1" applyFont="1" applyFill="1" applyBorder="1" applyAlignment="1" applyProtection="1">
      <alignment horizontal="right" vertical="center"/>
    </xf>
    <xf numFmtId="3" fontId="67" fillId="22" borderId="10" xfId="0" applyNumberFormat="1" applyFont="1" applyFill="1" applyBorder="1" applyAlignment="1">
      <alignment vertical="center"/>
    </xf>
    <xf numFmtId="3" fontId="67" fillId="23" borderId="10" xfId="0" applyNumberFormat="1" applyFont="1" applyFill="1" applyBorder="1" applyAlignment="1">
      <alignment vertical="center"/>
    </xf>
    <xf numFmtId="3" fontId="67" fillId="29" borderId="10" xfId="0" applyNumberFormat="1" applyFont="1" applyFill="1" applyBorder="1" applyAlignment="1">
      <alignment vertical="center"/>
    </xf>
    <xf numFmtId="3" fontId="67" fillId="23" borderId="10" xfId="0" applyNumberFormat="1" applyFont="1" applyFill="1" applyBorder="1" applyAlignment="1">
      <alignment horizontal="right" vertical="center"/>
    </xf>
    <xf numFmtId="1" fontId="21" fillId="24" borderId="47" xfId="0" applyNumberFormat="1" applyFont="1" applyFill="1" applyBorder="1" applyAlignment="1">
      <alignment horizontal="center"/>
    </xf>
    <xf numFmtId="1" fontId="0" fillId="24" borderId="47" xfId="0" applyNumberFormat="1" applyFill="1" applyBorder="1" applyAlignment="1">
      <alignment horizontal="center"/>
    </xf>
    <xf numFmtId="0" fontId="0" fillId="36" borderId="24" xfId="0" applyFill="1" applyBorder="1" applyAlignment="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lignment horizontal="center" vertical="center"/>
    </xf>
    <xf numFmtId="1" fontId="0" fillId="0" borderId="10" xfId="0" applyNumberFormat="1" applyBorder="1" applyAlignment="1">
      <alignment horizontal="center" vertical="center"/>
    </xf>
    <xf numFmtId="3" fontId="77" fillId="22" borderId="10" xfId="0" applyNumberFormat="1" applyFont="1" applyFill="1" applyBorder="1" applyAlignment="1" applyProtection="1">
      <alignment vertical="center"/>
      <protection locked="0"/>
    </xf>
    <xf numFmtId="9" fontId="67" fillId="29" borderId="10" xfId="56" applyFont="1" applyFill="1" applyBorder="1" applyAlignment="1" applyProtection="1">
      <alignment vertical="center"/>
      <protection locked="0"/>
    </xf>
    <xf numFmtId="0" fontId="134" fillId="0" borderId="0" xfId="0" applyFont="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43" fontId="129" fillId="0" borderId="10" xfId="28" applyFont="1" applyFill="1" applyBorder="1" applyAlignment="1" applyProtection="1">
      <alignment horizontal="center"/>
    </xf>
    <xf numFmtId="43" fontId="129" fillId="0" borderId="99" xfId="28" applyFont="1" applyFill="1" applyBorder="1" applyAlignment="1" applyProtection="1">
      <alignment horizontal="center"/>
    </xf>
    <xf numFmtId="0" fontId="136" fillId="0" borderId="0" xfId="0" applyFont="1"/>
    <xf numFmtId="0" fontId="137" fillId="0" borderId="0" xfId="0" applyFont="1" applyAlignment="1">
      <alignment horizontal="center" vertical="center" wrapText="1"/>
    </xf>
    <xf numFmtId="0" fontId="138" fillId="0" borderId="0" xfId="0" applyFont="1" applyAlignment="1">
      <alignment horizontal="center" vertical="center"/>
    </xf>
    <xf numFmtId="0" fontId="136" fillId="0" borderId="0" xfId="0" applyFont="1" applyAlignment="1">
      <alignment horizontal="center" vertical="center"/>
    </xf>
    <xf numFmtId="15" fontId="136" fillId="0" borderId="0" xfId="0" applyNumberFormat="1" applyFont="1" applyAlignment="1" applyProtection="1">
      <alignment horizontal="center" vertical="center"/>
      <protection locked="0"/>
    </xf>
    <xf numFmtId="0" fontId="136" fillId="0" borderId="0" xfId="0" applyFont="1" applyAlignment="1" applyProtection="1">
      <alignment horizontal="center" vertical="center"/>
      <protection locked="0"/>
    </xf>
    <xf numFmtId="49" fontId="0" fillId="0" borderId="10" xfId="0" applyNumberFormat="1" applyBorder="1" applyAlignment="1" applyProtection="1">
      <alignment horizontal="center"/>
      <protection locked="0"/>
    </xf>
    <xf numFmtId="166" fontId="2" fillId="22"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horizontal="right" vertical="center"/>
    </xf>
    <xf numFmtId="166" fontId="2" fillId="29" borderId="10" xfId="65" applyNumberFormat="1" applyFont="1" applyFill="1" applyBorder="1" applyAlignment="1" applyProtection="1">
      <alignment vertical="center"/>
    </xf>
    <xf numFmtId="15" fontId="1" fillId="39" borderId="10" xfId="58" applyNumberFormat="1" applyFont="1" applyFill="1" applyBorder="1" applyAlignment="1" applyProtection="1">
      <alignment horizontal="center"/>
      <protection locked="0"/>
    </xf>
    <xf numFmtId="0" fontId="28" fillId="0" borderId="241" xfId="0" applyFont="1" applyBorder="1" applyAlignment="1">
      <alignment horizontal="center" wrapText="1"/>
    </xf>
    <xf numFmtId="0" fontId="28" fillId="0" borderId="242" xfId="0" applyFont="1" applyBorder="1" applyAlignment="1">
      <alignment wrapText="1"/>
    </xf>
    <xf numFmtId="0" fontId="34" fillId="0" borderId="243" xfId="0" applyFont="1" applyBorder="1" applyAlignment="1">
      <alignment horizontal="center" wrapText="1"/>
    </xf>
    <xf numFmtId="0" fontId="28" fillId="0" borderId="243" xfId="0" applyFont="1" applyBorder="1" applyAlignment="1">
      <alignment horizontal="center" wrapText="1"/>
    </xf>
    <xf numFmtId="0" fontId="34" fillId="0" borderId="244" xfId="0" applyFont="1" applyBorder="1" applyAlignment="1">
      <alignment horizontal="center" wrapText="1"/>
    </xf>
    <xf numFmtId="1" fontId="132" fillId="35" borderId="150" xfId="0" applyNumberFormat="1" applyFont="1" applyFill="1" applyBorder="1" applyAlignment="1">
      <alignment horizontal="center" vertical="center"/>
    </xf>
    <xf numFmtId="1" fontId="135" fillId="35" borderId="150" xfId="0" applyNumberFormat="1" applyFont="1" applyFill="1" applyBorder="1" applyAlignment="1">
      <alignment horizontal="center" vertical="center"/>
    </xf>
    <xf numFmtId="0" fontId="21" fillId="20" borderId="246" xfId="0" applyFont="1" applyFill="1" applyBorder="1"/>
    <xf numFmtId="1" fontId="0" fillId="20" borderId="247" xfId="0" applyNumberFormat="1" applyFill="1" applyBorder="1" applyAlignment="1">
      <alignment horizontal="center" vertical="center"/>
    </xf>
    <xf numFmtId="1" fontId="0" fillId="0" borderId="247" xfId="0" applyNumberFormat="1" applyBorder="1" applyAlignment="1">
      <alignment horizontal="center" vertical="center"/>
    </xf>
    <xf numFmtId="3" fontId="2" fillId="29" borderId="10" xfId="0" applyNumberFormat="1" applyFont="1" applyFill="1" applyBorder="1" applyAlignment="1">
      <alignment vertical="center"/>
    </xf>
    <xf numFmtId="3" fontId="2" fillId="23" borderId="10" xfId="0" applyNumberFormat="1" applyFont="1" applyFill="1" applyBorder="1" applyAlignment="1">
      <alignment horizontal="right" vertical="center"/>
    </xf>
    <xf numFmtId="3" fontId="2" fillId="22" borderId="10" xfId="0" applyNumberFormat="1" applyFont="1" applyFill="1" applyBorder="1" applyAlignment="1">
      <alignment vertical="center"/>
    </xf>
    <xf numFmtId="3" fontId="2" fillId="23" borderId="10" xfId="0" applyNumberFormat="1" applyFont="1" applyFill="1" applyBorder="1" applyAlignment="1">
      <alignment vertical="center"/>
    </xf>
    <xf numFmtId="49" fontId="26" fillId="0" borderId="248" xfId="0" applyNumberFormat="1" applyFont="1" applyBorder="1" applyAlignment="1" applyProtection="1">
      <alignment wrapText="1"/>
      <protection locked="0"/>
    </xf>
    <xf numFmtId="3" fontId="1" fillId="25" borderId="249" xfId="28" applyNumberFormat="1" applyFont="1" applyFill="1" applyBorder="1" applyAlignment="1" applyProtection="1">
      <alignment horizontal="right" vertical="center"/>
      <protection locked="0"/>
    </xf>
    <xf numFmtId="3" fontId="21" fillId="25" borderId="10" xfId="65" applyNumberFormat="1" applyFont="1" applyFill="1" applyBorder="1" applyAlignment="1" applyProtection="1">
      <protection locked="0"/>
    </xf>
    <xf numFmtId="3" fontId="21" fillId="25" borderId="10" xfId="65" applyNumberFormat="1" applyFont="1" applyFill="1" applyBorder="1" applyProtection="1">
      <protection locked="0"/>
    </xf>
    <xf numFmtId="43" fontId="129" fillId="0" borderId="57" xfId="28" applyFont="1" applyFill="1" applyBorder="1" applyProtection="1"/>
    <xf numFmtId="43" fontId="129" fillId="0" borderId="60" xfId="28" applyFont="1" applyFill="1" applyBorder="1" applyProtection="1"/>
    <xf numFmtId="43" fontId="0" fillId="0" borderId="0" xfId="28" applyFont="1"/>
    <xf numFmtId="0" fontId="21" fillId="20" borderId="27" xfId="0" applyFont="1" applyFill="1" applyBorder="1" applyAlignment="1">
      <alignment horizontal="left" vertical="center"/>
    </xf>
    <xf numFmtId="3" fontId="21" fillId="25" borderId="237" xfId="28" applyNumberFormat="1" applyFont="1" applyFill="1" applyBorder="1" applyAlignment="1" applyProtection="1">
      <alignment horizontal="right" vertical="center"/>
      <protection locked="0"/>
    </xf>
    <xf numFmtId="3" fontId="147" fillId="24" borderId="10" xfId="0" applyNumberFormat="1" applyFont="1" applyFill="1" applyBorder="1" applyAlignment="1" applyProtection="1">
      <alignment horizontal="right" wrapText="1"/>
      <protection locked="0"/>
    </xf>
    <xf numFmtId="43" fontId="139" fillId="40" borderId="10" xfId="28" applyFont="1" applyFill="1" applyBorder="1" applyProtection="1">
      <protection locked="0"/>
    </xf>
    <xf numFmtId="166" fontId="139" fillId="40" borderId="10" xfId="28" applyNumberFormat="1" applyFont="1" applyFill="1" applyBorder="1" applyProtection="1">
      <protection locked="0"/>
    </xf>
    <xf numFmtId="166" fontId="139" fillId="40" borderId="10" xfId="28" applyNumberFormat="1" applyFont="1" applyFill="1" applyBorder="1" applyProtection="1"/>
    <xf numFmtId="166" fontId="139" fillId="40" borderId="99" xfId="28" applyNumberFormat="1" applyFont="1" applyFill="1" applyBorder="1" applyProtection="1"/>
    <xf numFmtId="43" fontId="139" fillId="40" borderId="99" xfId="28" applyFont="1" applyFill="1" applyBorder="1" applyProtection="1">
      <protection locked="0"/>
    </xf>
    <xf numFmtId="166" fontId="129" fillId="0" borderId="10" xfId="28" applyNumberFormat="1" applyFont="1" applyFill="1" applyBorder="1" applyAlignment="1" applyProtection="1">
      <alignment horizontal="center"/>
    </xf>
    <xf numFmtId="166" fontId="129" fillId="0" borderId="57" xfId="28" applyNumberFormat="1" applyFont="1" applyFill="1" applyBorder="1" applyProtection="1"/>
    <xf numFmtId="165" fontId="32" fillId="19" borderId="251" xfId="0" applyNumberFormat="1" applyFont="1" applyFill="1" applyBorder="1" applyAlignment="1" applyProtection="1">
      <alignment horizontal="center"/>
      <protection locked="0"/>
    </xf>
    <xf numFmtId="3" fontId="67" fillId="23" borderId="252" xfId="0" applyNumberFormat="1" applyFont="1" applyFill="1" applyBorder="1" applyAlignment="1" applyProtection="1">
      <alignment horizontal="right" vertical="center"/>
      <protection locked="0"/>
    </xf>
    <xf numFmtId="3" fontId="67" fillId="0" borderId="252" xfId="0" applyNumberFormat="1" applyFont="1" applyBorder="1" applyAlignment="1">
      <alignment vertical="center"/>
    </xf>
    <xf numFmtId="49" fontId="0" fillId="0" borderId="10" xfId="0" applyNumberFormat="1" applyBorder="1" applyAlignment="1" applyProtection="1">
      <alignment horizontal="center"/>
      <protection locked="0"/>
    </xf>
    <xf numFmtId="3" fontId="77" fillId="22" borderId="29" xfId="0" applyNumberFormat="1" applyFont="1" applyFill="1" applyBorder="1" applyAlignment="1" applyProtection="1">
      <alignment vertical="center"/>
      <protection locked="0"/>
    </xf>
    <xf numFmtId="3" fontId="77" fillId="23" borderId="29" xfId="0" applyNumberFormat="1" applyFont="1" applyFill="1" applyBorder="1" applyAlignment="1" applyProtection="1">
      <alignment vertical="center"/>
      <protection locked="0"/>
    </xf>
    <xf numFmtId="3" fontId="77" fillId="29" borderId="29" xfId="0" applyNumberFormat="1" applyFont="1" applyFill="1" applyBorder="1" applyAlignment="1" applyProtection="1">
      <alignment vertical="center"/>
      <protection locked="0"/>
    </xf>
    <xf numFmtId="3" fontId="77" fillId="23" borderId="29" xfId="0" applyNumberFormat="1" applyFont="1" applyFill="1" applyBorder="1" applyAlignment="1" applyProtection="1">
      <alignment horizontal="right" vertical="center"/>
      <protection locked="0"/>
    </xf>
    <xf numFmtId="49" fontId="28" fillId="0" borderId="0" xfId="0" applyNumberFormat="1" applyFont="1" applyAlignment="1">
      <alignment horizontal="center"/>
    </xf>
    <xf numFmtId="43" fontId="29" fillId="0" borderId="0" xfId="28" applyFont="1" applyAlignment="1">
      <alignment horizontal="center" vertical="center" wrapText="1"/>
    </xf>
    <xf numFmtId="43" fontId="6" fillId="0" borderId="0" xfId="28" applyFont="1" applyFill="1" applyBorder="1" applyAlignment="1" applyProtection="1">
      <protection locked="0"/>
    </xf>
    <xf numFmtId="43" fontId="106" fillId="0" borderId="0" xfId="28" applyFont="1" applyAlignment="1">
      <alignment horizontal="center" vertical="center" wrapText="1"/>
    </xf>
    <xf numFmtId="43" fontId="129" fillId="0" borderId="0" xfId="28" applyFont="1"/>
    <xf numFmtId="0" fontId="0" fillId="0" borderId="0" xfId="0" applyAlignment="1">
      <alignment vertical="top"/>
    </xf>
    <xf numFmtId="0" fontId="106" fillId="0" borderId="0" xfId="0" applyFont="1" applyAlignment="1">
      <alignment horizontal="left" vertical="top"/>
    </xf>
    <xf numFmtId="0" fontId="6" fillId="0" borderId="0" xfId="0" applyFont="1" applyAlignment="1">
      <alignment horizontal="left" vertical="top"/>
    </xf>
    <xf numFmtId="43" fontId="29" fillId="0" borderId="0" xfId="0" applyNumberFormat="1" applyFont="1" applyAlignment="1">
      <alignment horizontal="center" vertical="center" wrapText="1"/>
    </xf>
    <xf numFmtId="44" fontId="0" fillId="0" borderId="0" xfId="69" applyFont="1" applyAlignment="1">
      <alignment vertical="top"/>
    </xf>
    <xf numFmtId="44" fontId="0" fillId="0" borderId="0" xfId="0" applyNumberFormat="1" applyAlignment="1">
      <alignment vertical="top"/>
    </xf>
    <xf numFmtId="43" fontId="6" fillId="0" borderId="0" xfId="28" applyFont="1" applyAlignment="1">
      <alignment horizontal="left" vertical="top"/>
    </xf>
    <xf numFmtId="43" fontId="6" fillId="0" borderId="0" xfId="28" applyFont="1" applyFill="1" applyBorder="1" applyAlignment="1" applyProtection="1">
      <alignment horizontal="center"/>
    </xf>
    <xf numFmtId="43" fontId="6" fillId="0" borderId="0" xfId="28" applyFont="1" applyProtection="1">
      <protection locked="0"/>
    </xf>
    <xf numFmtId="43" fontId="0" fillId="0" borderId="0" xfId="28" applyFont="1" applyAlignment="1">
      <alignment horizontal="left" vertical="top"/>
    </xf>
    <xf numFmtId="0" fontId="6" fillId="0" borderId="0" xfId="0" applyNumberFormat="1" applyFont="1" applyAlignment="1">
      <alignment horizontal="left" vertical="top"/>
    </xf>
    <xf numFmtId="43" fontId="6" fillId="0" borderId="0" xfId="0" applyNumberFormat="1" applyFont="1" applyProtection="1">
      <protection locked="0"/>
    </xf>
    <xf numFmtId="0" fontId="0" fillId="0" borderId="0" xfId="0"/>
    <xf numFmtId="3" fontId="26" fillId="0" borderId="0" xfId="0" applyNumberFormat="1" applyFont="1" applyAlignment="1">
      <alignment horizontal="centerContinuous"/>
    </xf>
    <xf numFmtId="3" fontId="0" fillId="0" borderId="253" xfId="0" applyNumberFormat="1" applyBorder="1" applyAlignment="1">
      <alignment horizontal="right" wrapText="1"/>
    </xf>
    <xf numFmtId="165" fontId="14" fillId="19" borderId="254" xfId="0" applyNumberFormat="1" applyFont="1" applyFill="1" applyBorder="1" applyAlignment="1" applyProtection="1">
      <alignment horizontal="center"/>
      <protection locked="0"/>
    </xf>
    <xf numFmtId="3" fontId="77" fillId="22" borderId="27" xfId="0" applyNumberFormat="1" applyFont="1" applyFill="1" applyBorder="1" applyAlignment="1" applyProtection="1">
      <alignment vertical="center"/>
      <protection locked="0"/>
    </xf>
    <xf numFmtId="3" fontId="67" fillId="22" borderId="27" xfId="0" applyNumberFormat="1" applyFont="1" applyFill="1" applyBorder="1" applyAlignment="1" applyProtection="1">
      <alignment vertical="center"/>
      <protection locked="0"/>
    </xf>
    <xf numFmtId="3" fontId="77" fillId="23" borderId="27" xfId="0" applyNumberFormat="1" applyFont="1" applyFill="1" applyBorder="1" applyAlignment="1" applyProtection="1">
      <alignment vertical="center"/>
      <protection locked="0"/>
    </xf>
    <xf numFmtId="3" fontId="67" fillId="23" borderId="27" xfId="0" applyNumberFormat="1" applyFont="1" applyFill="1" applyBorder="1" applyAlignment="1" applyProtection="1">
      <alignment vertical="center"/>
      <protection locked="0"/>
    </xf>
    <xf numFmtId="3" fontId="77" fillId="29" borderId="27" xfId="0" applyNumberFormat="1" applyFont="1" applyFill="1" applyBorder="1" applyAlignment="1" applyProtection="1">
      <alignment vertical="center"/>
      <protection locked="0"/>
    </xf>
    <xf numFmtId="3" fontId="67" fillId="29" borderId="27" xfId="0" applyNumberFormat="1" applyFont="1" applyFill="1" applyBorder="1" applyAlignment="1" applyProtection="1">
      <alignment vertical="center"/>
      <protection locked="0"/>
    </xf>
    <xf numFmtId="3" fontId="77" fillId="23" borderId="27" xfId="0" applyNumberFormat="1" applyFont="1" applyFill="1" applyBorder="1" applyAlignment="1" applyProtection="1">
      <alignment horizontal="right" vertical="center"/>
      <protection locked="0"/>
    </xf>
    <xf numFmtId="3" fontId="67" fillId="23" borderId="27" xfId="0" applyNumberFormat="1" applyFont="1" applyFill="1" applyBorder="1" applyAlignment="1" applyProtection="1">
      <alignment horizontal="right" vertical="center"/>
      <protection locked="0"/>
    </xf>
    <xf numFmtId="3" fontId="148" fillId="0" borderId="0" xfId="0" applyNumberFormat="1" applyFont="1"/>
    <xf numFmtId="43" fontId="17" fillId="31" borderId="0" xfId="39" applyFont="1" applyFill="1" applyAlignment="1">
      <alignment horizontal="center" vertical="center"/>
    </xf>
    <xf numFmtId="43" fontId="33" fillId="0" borderId="0" xfId="0" applyNumberFormat="1" applyFont="1" applyAlignment="1">
      <alignment horizontal="center"/>
    </xf>
    <xf numFmtId="0" fontId="0" fillId="0" borderId="0" xfId="0"/>
    <xf numFmtId="0" fontId="127" fillId="0" borderId="0" xfId="0" applyFont="1" applyAlignment="1">
      <alignment horizontal="center"/>
    </xf>
    <xf numFmtId="0" fontId="128" fillId="0" borderId="0" xfId="0" applyFont="1" applyAlignment="1">
      <alignment horizontal="center"/>
    </xf>
    <xf numFmtId="0" fontId="0" fillId="0" borderId="108" xfId="0" applyBorder="1" applyAlignment="1">
      <alignment horizontal="center"/>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0" fillId="0" borderId="108" xfId="0" applyBorder="1" applyAlignment="1">
      <alignment horizontal="center" wrapText="1"/>
    </xf>
    <xf numFmtId="0" fontId="0" fillId="0" borderId="0" xfId="0"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0" fillId="0" borderId="0" xfId="0" applyAlignment="1">
      <alignment horizontal="center"/>
    </xf>
    <xf numFmtId="0" fontId="86" fillId="0" borderId="0" xfId="0" applyFont="1" applyAlignment="1">
      <alignment horizontal="center"/>
    </xf>
    <xf numFmtId="43" fontId="17" fillId="32" borderId="0" xfId="47" applyFont="1" applyFill="1" applyAlignment="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09" xfId="0" applyNumberFormat="1" applyFont="1" applyBorder="1" applyAlignment="1">
      <alignment horizontal="left" vertical="center" wrapText="1"/>
    </xf>
    <xf numFmtId="0" fontId="88" fillId="0" borderId="108" xfId="0" applyFont="1" applyBorder="1" applyAlignment="1">
      <alignment horizontal="left" vertical="center" wrapText="1"/>
    </xf>
    <xf numFmtId="0" fontId="88" fillId="0" borderId="110" xfId="0" applyFont="1" applyBorder="1" applyAlignment="1">
      <alignment horizontal="left" vertical="center" wrapText="1"/>
    </xf>
    <xf numFmtId="0" fontId="88" fillId="0" borderId="64" xfId="0" applyFont="1" applyBorder="1" applyAlignment="1">
      <alignment horizontal="left" vertical="center" wrapText="1"/>
    </xf>
    <xf numFmtId="0" fontId="88" fillId="0" borderId="103" xfId="0" applyFont="1" applyBorder="1" applyAlignment="1">
      <alignment horizontal="left" vertical="center" wrapText="1"/>
    </xf>
    <xf numFmtId="0" fontId="88" fillId="0" borderId="105" xfId="0" applyFont="1" applyBorder="1" applyAlignment="1">
      <alignment horizontal="left"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09" xfId="0" applyFont="1" applyBorder="1" applyAlignment="1">
      <alignment horizontal="justify" wrapText="1"/>
    </xf>
    <xf numFmtId="0" fontId="63" fillId="0" borderId="108" xfId="0" applyFont="1" applyBorder="1" applyAlignment="1">
      <alignment horizontal="justify" wrapText="1"/>
    </xf>
    <xf numFmtId="0" fontId="63" fillId="0" borderId="110" xfId="0" applyFont="1" applyBorder="1" applyAlignment="1">
      <alignment horizontal="justify" wrapText="1"/>
    </xf>
    <xf numFmtId="0" fontId="89" fillId="0" borderId="64" xfId="0" applyFont="1" applyBorder="1" applyAlignment="1">
      <alignment horizontal="justify" vertical="center" wrapText="1"/>
    </xf>
    <xf numFmtId="0" fontId="89" fillId="0" borderId="103" xfId="0" applyFont="1" applyBorder="1" applyAlignment="1">
      <alignment horizontal="justify" vertical="center" wrapText="1"/>
    </xf>
    <xf numFmtId="0" fontId="89" fillId="0" borderId="105" xfId="0" applyFont="1" applyBorder="1" applyAlignment="1">
      <alignment horizontal="justify" vertical="center" wrapText="1"/>
    </xf>
    <xf numFmtId="0" fontId="120" fillId="0" borderId="27" xfId="0" applyFont="1" applyBorder="1" applyAlignment="1">
      <alignment horizontal="justify" vertical="center" wrapText="1"/>
    </xf>
    <xf numFmtId="0" fontId="120" fillId="0" borderId="44" xfId="0" applyFont="1" applyBorder="1" applyAlignment="1">
      <alignment horizontal="justify" vertical="center" wrapText="1"/>
    </xf>
    <xf numFmtId="0" fontId="120" fillId="0" borderId="45" xfId="0" applyFont="1" applyBorder="1" applyAlignment="1">
      <alignment horizontal="justify" vertical="center" wrapText="1"/>
    </xf>
    <xf numFmtId="0" fontId="120" fillId="0" borderId="27" xfId="0" applyFont="1" applyBorder="1" applyAlignment="1">
      <alignment horizontal="left" vertical="center" wrapText="1"/>
    </xf>
    <xf numFmtId="0" fontId="117" fillId="0" borderId="44" xfId="0" applyFont="1" applyBorder="1" applyAlignment="1">
      <alignment horizontal="left" vertical="center" wrapText="1"/>
    </xf>
    <xf numFmtId="0" fontId="117" fillId="0" borderId="45" xfId="0" applyFont="1" applyBorder="1" applyAlignment="1">
      <alignment horizontal="left" vertical="center" wrapText="1"/>
    </xf>
    <xf numFmtId="0" fontId="63" fillId="0" borderId="109" xfId="0" applyFont="1" applyBorder="1" applyAlignment="1">
      <alignment horizontal="left" vertical="center" wrapText="1"/>
    </xf>
    <xf numFmtId="0" fontId="63" fillId="0" borderId="108" xfId="0" applyFont="1" applyBorder="1" applyAlignment="1">
      <alignment horizontal="left" vertical="center" wrapText="1"/>
    </xf>
    <xf numFmtId="0" fontId="63" fillId="0" borderId="110" xfId="0" applyFont="1" applyBorder="1" applyAlignment="1">
      <alignment horizontal="left" vertical="center" wrapText="1"/>
    </xf>
    <xf numFmtId="0" fontId="63" fillId="0" borderId="64" xfId="0" applyFont="1" applyBorder="1" applyAlignment="1">
      <alignment horizontal="left" vertical="center" wrapText="1"/>
    </xf>
    <xf numFmtId="0" fontId="63" fillId="0" borderId="103" xfId="0" applyFont="1" applyBorder="1" applyAlignment="1">
      <alignment horizontal="left" vertical="center" wrapText="1"/>
    </xf>
    <xf numFmtId="0" fontId="63" fillId="0" borderId="105" xfId="0" applyFont="1" applyBorder="1" applyAlignment="1">
      <alignment horizontal="left" vertical="center" wrapText="1"/>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0" fillId="0" borderId="64" xfId="0" applyFont="1" applyBorder="1" applyAlignment="1">
      <alignment horizontal="justify" vertical="center" wrapText="1"/>
    </xf>
    <xf numFmtId="0" fontId="120" fillId="0" borderId="103" xfId="0" applyFont="1" applyBorder="1" applyAlignment="1">
      <alignment horizontal="justify" vertical="center" wrapText="1"/>
    </xf>
    <xf numFmtId="0" fontId="120" fillId="0" borderId="105" xfId="0" applyFont="1" applyBorder="1" applyAlignment="1">
      <alignment horizontal="justify" vertical="center" wrapText="1"/>
    </xf>
    <xf numFmtId="0" fontId="97" fillId="0" borderId="27" xfId="0" applyFont="1" applyBorder="1" applyAlignment="1" applyProtection="1">
      <alignment vertical="center" wrapText="1"/>
      <protection locked="0"/>
    </xf>
    <xf numFmtId="0" fontId="97" fillId="0" borderId="44" xfId="0" applyFont="1" applyBorder="1" applyAlignment="1" applyProtection="1">
      <alignment vertical="center" wrapText="1"/>
      <protection locked="0"/>
    </xf>
    <xf numFmtId="0" fontId="97" fillId="0" borderId="45" xfId="0" applyFont="1" applyBorder="1" applyAlignment="1" applyProtection="1">
      <alignment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7" fillId="0" borderId="112" xfId="0" applyFont="1" applyBorder="1" applyAlignment="1">
      <alignment horizontal="center" vertical="center" wrapText="1"/>
    </xf>
    <xf numFmtId="0" fontId="67" fillId="0" borderId="113" xfId="0" applyFont="1" applyBorder="1" applyAlignment="1">
      <alignment horizontal="center" vertical="center" wrapText="1"/>
    </xf>
    <xf numFmtId="49" fontId="2" fillId="23" borderId="125" xfId="0" applyNumberFormat="1" applyFont="1" applyFill="1" applyBorder="1" applyAlignment="1" applyProtection="1">
      <alignment horizontal="left" vertical="center" wrapText="1"/>
      <protection locked="0"/>
    </xf>
    <xf numFmtId="49" fontId="67" fillId="23" borderId="108" xfId="0" applyNumberFormat="1" applyFont="1" applyFill="1" applyBorder="1" applyAlignment="1" applyProtection="1">
      <alignment horizontal="left" vertical="center" wrapText="1"/>
      <protection locked="0"/>
    </xf>
    <xf numFmtId="49" fontId="67" fillId="23" borderId="126" xfId="0" applyNumberFormat="1" applyFont="1" applyFill="1" applyBorder="1" applyAlignment="1" applyProtection="1">
      <alignment horizontal="left" vertical="center" wrapText="1"/>
      <protection locked="0"/>
    </xf>
    <xf numFmtId="49" fontId="67" fillId="23" borderId="102" xfId="0" applyNumberFormat="1" applyFont="1" applyFill="1" applyBorder="1" applyAlignment="1" applyProtection="1">
      <alignment horizontal="left" vertical="center" wrapText="1"/>
      <protection locked="0"/>
    </xf>
    <xf numFmtId="49" fontId="67" fillId="23" borderId="103" xfId="0" applyNumberFormat="1" applyFont="1" applyFill="1" applyBorder="1" applyAlignment="1" applyProtection="1">
      <alignment horizontal="left" vertical="center" wrapText="1"/>
      <protection locked="0"/>
    </xf>
    <xf numFmtId="49" fontId="67" fillId="23" borderId="107" xfId="0" applyNumberFormat="1" applyFont="1" applyFill="1" applyBorder="1" applyAlignment="1" applyProtection="1">
      <alignment horizontal="left" vertical="center" wrapText="1"/>
      <protection locked="0"/>
    </xf>
    <xf numFmtId="0" fontId="67" fillId="0" borderId="45" xfId="0" applyFont="1" applyBorder="1" applyAlignment="1">
      <alignment horizontal="center" vertical="center" wrapText="1"/>
    </xf>
    <xf numFmtId="0" fontId="67" fillId="0" borderId="111" xfId="0" applyFont="1" applyBorder="1" applyAlignment="1">
      <alignment horizontal="center" vertical="center" wrapText="1"/>
    </xf>
    <xf numFmtId="0" fontId="131" fillId="22" borderId="112" xfId="0" applyFont="1" applyFill="1" applyBorder="1" applyAlignment="1" applyProtection="1">
      <alignment horizontal="center" vertical="center" wrapText="1"/>
      <protection locked="0"/>
    </xf>
    <xf numFmtId="0" fontId="131" fillId="22" borderId="45" xfId="0" applyFont="1" applyFill="1" applyBorder="1" applyAlignment="1" applyProtection="1">
      <alignment horizontal="center" vertical="center" wrapText="1"/>
      <protection locked="0"/>
    </xf>
    <xf numFmtId="0" fontId="67" fillId="23" borderId="112" xfId="0" applyFont="1" applyFill="1" applyBorder="1" applyAlignment="1" applyProtection="1">
      <alignment horizontal="center" vertical="center" wrapText="1"/>
      <protection locked="0"/>
    </xf>
    <xf numFmtId="0" fontId="67" fillId="23" borderId="113" xfId="0" applyFont="1" applyFill="1" applyBorder="1" applyAlignment="1" applyProtection="1">
      <alignment horizontal="center" vertical="center" wrapText="1"/>
      <protection locked="0"/>
    </xf>
    <xf numFmtId="49" fontId="67" fillId="23" borderId="45" xfId="0" applyNumberFormat="1" applyFont="1" applyFill="1" applyBorder="1" applyAlignment="1" applyProtection="1">
      <alignment horizontal="center" vertical="center" wrapText="1"/>
      <protection locked="0"/>
    </xf>
    <xf numFmtId="49" fontId="67" fillId="23" borderId="111" xfId="0" applyNumberFormat="1" applyFont="1" applyFill="1" applyBorder="1" applyAlignment="1" applyProtection="1">
      <alignment horizontal="center" vertical="center" wrapText="1"/>
      <protection locked="0"/>
    </xf>
    <xf numFmtId="0" fontId="2" fillId="23" borderId="112" xfId="0" applyFont="1" applyFill="1" applyBorder="1" applyAlignment="1" applyProtection="1">
      <alignment horizontal="center" vertical="center" wrapText="1"/>
      <protection locked="0"/>
    </xf>
    <xf numFmtId="0" fontId="67" fillId="0" borderId="102" xfId="0" applyFont="1" applyBorder="1" applyAlignment="1">
      <alignment horizontal="left" vertical="center" wrapText="1"/>
    </xf>
    <xf numFmtId="0" fontId="67" fillId="0" borderId="103" xfId="0" applyFont="1" applyBorder="1" applyAlignment="1">
      <alignment horizontal="left" vertical="center" wrapText="1"/>
    </xf>
    <xf numFmtId="0" fontId="67" fillId="0" borderId="107" xfId="0" applyFont="1" applyBorder="1" applyAlignment="1">
      <alignment horizontal="left" vertical="center" wrapText="1"/>
    </xf>
    <xf numFmtId="0" fontId="67" fillId="0" borderId="122" xfId="0" applyFont="1" applyBorder="1" applyAlignment="1">
      <alignment horizontal="left" vertical="center" wrapText="1"/>
    </xf>
    <xf numFmtId="0" fontId="67" fillId="0" borderId="123" xfId="0" applyFont="1" applyBorder="1" applyAlignment="1">
      <alignment horizontal="left" vertical="center" wrapText="1"/>
    </xf>
    <xf numFmtId="0" fontId="67" fillId="0" borderId="124" xfId="0" applyFont="1" applyBorder="1" applyAlignment="1">
      <alignment horizontal="left" vertical="center" wrapText="1"/>
    </xf>
    <xf numFmtId="49" fontId="67" fillId="23" borderId="125" xfId="0" applyNumberFormat="1" applyFont="1" applyFill="1" applyBorder="1" applyAlignment="1" applyProtection="1">
      <alignment horizontal="left" vertical="center" wrapText="1"/>
      <protection locked="0"/>
    </xf>
    <xf numFmtId="49" fontId="67" fillId="23" borderId="127"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28" xfId="0" applyNumberFormat="1" applyFont="1" applyFill="1" applyBorder="1" applyAlignment="1" applyProtection="1">
      <alignment horizontal="left" vertical="center" wrapText="1"/>
      <protection locked="0"/>
    </xf>
    <xf numFmtId="0" fontId="67" fillId="27" borderId="112" xfId="0" applyFont="1" applyFill="1" applyBorder="1" applyAlignment="1">
      <alignment horizontal="center" vertical="center" wrapText="1"/>
    </xf>
    <xf numFmtId="0" fontId="2" fillId="22" borderId="112" xfId="0" applyFont="1" applyFill="1" applyBorder="1" applyAlignment="1" applyProtection="1">
      <alignment horizontal="center" vertical="center" wrapText="1"/>
      <protection locked="0"/>
    </xf>
    <xf numFmtId="0" fontId="67" fillId="22" borderId="112" xfId="0" applyFont="1" applyFill="1" applyBorder="1" applyAlignment="1" applyProtection="1">
      <alignment horizontal="center" vertical="center" wrapText="1"/>
      <protection locked="0"/>
    </xf>
    <xf numFmtId="49" fontId="2" fillId="34" borderId="125" xfId="0" applyNumberFormat="1" applyFont="1" applyFill="1" applyBorder="1" applyAlignment="1" applyProtection="1">
      <alignment horizontal="left" vertical="center" wrapText="1"/>
      <protection locked="0"/>
    </xf>
    <xf numFmtId="49" fontId="67" fillId="34" borderId="108" xfId="0" applyNumberFormat="1" applyFont="1" applyFill="1" applyBorder="1" applyAlignment="1" applyProtection="1">
      <alignment horizontal="left" vertical="center" wrapText="1"/>
      <protection locked="0"/>
    </xf>
    <xf numFmtId="49" fontId="67" fillId="34" borderId="126" xfId="0" applyNumberFormat="1" applyFont="1" applyFill="1" applyBorder="1" applyAlignment="1" applyProtection="1">
      <alignment horizontal="left" vertical="center" wrapText="1"/>
      <protection locked="0"/>
    </xf>
    <xf numFmtId="49" fontId="67" fillId="34" borderId="102" xfId="0" applyNumberFormat="1" applyFont="1" applyFill="1" applyBorder="1" applyAlignment="1" applyProtection="1">
      <alignment horizontal="left" vertical="center" wrapText="1"/>
      <protection locked="0"/>
    </xf>
    <xf numFmtId="49" fontId="67" fillId="34" borderId="103" xfId="0" applyNumberFormat="1" applyFont="1" applyFill="1" applyBorder="1" applyAlignment="1" applyProtection="1">
      <alignment horizontal="left" vertical="center" wrapText="1"/>
      <protection locked="0"/>
    </xf>
    <xf numFmtId="49" fontId="67" fillId="34" borderId="107" xfId="0" applyNumberFormat="1" applyFont="1" applyFill="1" applyBorder="1" applyAlignment="1" applyProtection="1">
      <alignment horizontal="left" vertical="center" wrapText="1"/>
      <protection locked="0"/>
    </xf>
    <xf numFmtId="9" fontId="33" fillId="0" borderId="114" xfId="56" applyFont="1" applyFill="1" applyBorder="1" applyAlignment="1" applyProtection="1">
      <alignment horizontal="center" vertical="center"/>
    </xf>
    <xf numFmtId="9" fontId="33" fillId="0" borderId="115" xfId="56" applyFont="1" applyFill="1" applyBorder="1" applyAlignment="1" applyProtection="1">
      <alignment horizontal="center" vertical="center"/>
    </xf>
    <xf numFmtId="9" fontId="33" fillId="0" borderId="116" xfId="56" applyFont="1" applyFill="1" applyBorder="1" applyAlignment="1" applyProtection="1">
      <alignment horizontal="center" vertical="center"/>
    </xf>
    <xf numFmtId="49" fontId="67" fillId="22" borderId="45" xfId="0" applyNumberFormat="1" applyFont="1" applyFill="1" applyBorder="1" applyAlignment="1" applyProtection="1">
      <alignment horizontal="center" vertical="center" wrapText="1"/>
      <protection locked="0"/>
    </xf>
    <xf numFmtId="49" fontId="2" fillId="23" borderId="117" xfId="0" applyNumberFormat="1" applyFont="1" applyFill="1" applyBorder="1" applyAlignment="1" applyProtection="1">
      <alignment horizontal="center" vertical="center" wrapText="1"/>
      <protection locked="0"/>
    </xf>
    <xf numFmtId="49" fontId="67" fillId="23" borderId="118" xfId="0" applyNumberFormat="1" applyFont="1" applyFill="1" applyBorder="1" applyAlignment="1" applyProtection="1">
      <alignment horizontal="center" vertical="center" wrapText="1"/>
      <protection locked="0"/>
    </xf>
    <xf numFmtId="0" fontId="0" fillId="33" borderId="119" xfId="0" applyFill="1" applyBorder="1" applyAlignment="1">
      <alignment horizontal="center"/>
    </xf>
    <xf numFmtId="0" fontId="0" fillId="33" borderId="120" xfId="0" applyFill="1" applyBorder="1" applyAlignment="1">
      <alignment horizontal="center"/>
    </xf>
    <xf numFmtId="0" fontId="0" fillId="33" borderId="121" xfId="0" applyFill="1" applyBorder="1" applyAlignment="1">
      <alignment horizontal="center"/>
    </xf>
    <xf numFmtId="0" fontId="0" fillId="22" borderId="27" xfId="0" applyFill="1" applyBorder="1" applyAlignment="1">
      <alignment horizontal="center"/>
    </xf>
    <xf numFmtId="0" fontId="0" fillId="22" borderId="45" xfId="0" applyFill="1" applyBorder="1" applyAlignment="1">
      <alignment horizontal="center"/>
    </xf>
    <xf numFmtId="43" fontId="61" fillId="32" borderId="0" xfId="39" applyFont="1" applyFill="1" applyAlignment="1">
      <alignment horizontal="center" vertical="center"/>
    </xf>
    <xf numFmtId="49" fontId="14" fillId="0" borderId="101" xfId="0" applyNumberFormat="1" applyFont="1" applyBorder="1" applyAlignment="1">
      <alignment horizontal="center"/>
    </xf>
    <xf numFmtId="49" fontId="14" fillId="0" borderId="47" xfId="0" applyNumberFormat="1" applyFont="1" applyBorder="1" applyAlignment="1">
      <alignment horizontal="center"/>
    </xf>
    <xf numFmtId="0" fontId="77" fillId="0" borderId="134" xfId="0" applyFont="1" applyBorder="1" applyAlignment="1">
      <alignment horizontal="center" vertical="center"/>
    </xf>
    <xf numFmtId="0" fontId="77" fillId="0" borderId="135" xfId="0" applyFont="1" applyBorder="1" applyAlignment="1">
      <alignment horizontal="center" vertical="center"/>
    </xf>
    <xf numFmtId="0" fontId="77" fillId="0" borderId="136" xfId="0" applyFont="1" applyBorder="1" applyAlignment="1">
      <alignment horizontal="center" vertical="center"/>
    </xf>
    <xf numFmtId="0" fontId="112" fillId="0" borderId="0" xfId="0" applyFont="1" applyAlignment="1">
      <alignment horizontal="right"/>
    </xf>
    <xf numFmtId="49" fontId="67" fillId="22" borderId="117" xfId="0" applyNumberFormat="1" applyFont="1" applyFill="1" applyBorder="1" applyAlignment="1" applyProtection="1">
      <alignment horizontal="center" vertical="center" wrapText="1"/>
      <protection locked="0"/>
    </xf>
    <xf numFmtId="49" fontId="67" fillId="22" borderId="118" xfId="0" applyNumberFormat="1" applyFont="1" applyFill="1" applyBorder="1" applyAlignment="1" applyProtection="1">
      <alignment horizontal="center" vertical="center" wrapText="1"/>
      <protection locked="0"/>
    </xf>
    <xf numFmtId="0" fontId="0" fillId="0" borderId="129" xfId="0" applyBorder="1" applyAlignment="1">
      <alignment horizontal="center"/>
    </xf>
    <xf numFmtId="0" fontId="0" fillId="0" borderId="21" xfId="0" applyBorder="1" applyAlignment="1">
      <alignment horizontal="center"/>
    </xf>
    <xf numFmtId="0" fontId="84" fillId="0" borderId="130" xfId="0" applyFont="1" applyBorder="1" applyAlignment="1">
      <alignment horizontal="right"/>
    </xf>
    <xf numFmtId="0" fontId="121" fillId="0" borderId="130" xfId="0" applyFont="1" applyBorder="1"/>
    <xf numFmtId="0" fontId="0" fillId="0" borderId="131" xfId="0" applyBorder="1" applyAlignment="1" applyProtection="1">
      <alignment horizontal="center" vertical="center"/>
      <protection locked="0"/>
    </xf>
    <xf numFmtId="0" fontId="0" fillId="0" borderId="132" xfId="0" applyBorder="1" applyAlignment="1" applyProtection="1">
      <alignment horizontal="center" vertical="center"/>
      <protection locked="0"/>
    </xf>
    <xf numFmtId="0" fontId="0" fillId="0" borderId="133" xfId="0" applyBorder="1" applyAlignment="1" applyProtection="1">
      <alignment horizontal="center" vertical="center"/>
      <protection locked="0"/>
    </xf>
    <xf numFmtId="49" fontId="67" fillId="23" borderId="117" xfId="0" applyNumberFormat="1" applyFont="1" applyFill="1" applyBorder="1" applyAlignment="1" applyProtection="1">
      <alignment horizontal="center" vertical="center" wrapText="1"/>
      <protection locked="0"/>
    </xf>
    <xf numFmtId="0" fontId="67" fillId="0" borderId="134" xfId="0" applyFont="1" applyBorder="1" applyAlignment="1">
      <alignment horizontal="left" vertical="center" wrapText="1"/>
    </xf>
    <xf numFmtId="0" fontId="67" fillId="0" borderId="135" xfId="0" applyFont="1" applyBorder="1" applyAlignment="1">
      <alignment horizontal="left" vertical="center" wrapText="1"/>
    </xf>
    <xf numFmtId="0" fontId="67" fillId="0" borderId="136" xfId="0" applyFont="1" applyBorder="1" applyAlignment="1">
      <alignment horizontal="left" vertical="center" wrapText="1"/>
    </xf>
    <xf numFmtId="0" fontId="67" fillId="0" borderId="137" xfId="0" applyFont="1" applyBorder="1" applyAlignment="1">
      <alignment horizontal="left" vertical="center" wrapText="1"/>
    </xf>
    <xf numFmtId="0" fontId="67" fillId="0" borderId="44" xfId="0" applyFont="1" applyBorder="1" applyAlignment="1">
      <alignment horizontal="left" vertical="center" wrapText="1"/>
    </xf>
    <xf numFmtId="0" fontId="67" fillId="0" borderId="138" xfId="0" applyFont="1" applyBorder="1" applyAlignment="1">
      <alignment horizontal="left" vertical="center" wrapText="1"/>
    </xf>
    <xf numFmtId="0" fontId="67" fillId="27" borderId="137" xfId="0" applyFont="1" applyFill="1" applyBorder="1" applyAlignment="1">
      <alignment horizontal="left" vertical="center" wrapText="1"/>
    </xf>
    <xf numFmtId="0" fontId="67" fillId="27" borderId="44" xfId="0" applyFont="1" applyFill="1" applyBorder="1" applyAlignment="1">
      <alignment horizontal="left" vertical="center" wrapText="1"/>
    </xf>
    <xf numFmtId="0" fontId="67" fillId="27" borderId="138" xfId="0" applyFont="1" applyFill="1" applyBorder="1" applyAlignment="1">
      <alignment horizontal="left" vertical="center" wrapText="1"/>
    </xf>
    <xf numFmtId="49" fontId="2" fillId="23" borderId="108" xfId="0" applyNumberFormat="1" applyFont="1" applyFill="1" applyBorder="1" applyAlignment="1" applyProtection="1">
      <alignment horizontal="left" vertical="center" wrapText="1"/>
      <protection locked="0"/>
    </xf>
    <xf numFmtId="49" fontId="2" fillId="23" borderId="126" xfId="0" applyNumberFormat="1" applyFont="1" applyFill="1" applyBorder="1" applyAlignment="1" applyProtection="1">
      <alignment horizontal="left" vertical="center" wrapText="1"/>
      <protection locked="0"/>
    </xf>
    <xf numFmtId="49" fontId="2" fillId="23" borderId="102" xfId="0" applyNumberFormat="1" applyFont="1" applyFill="1" applyBorder="1" applyAlignment="1" applyProtection="1">
      <alignment horizontal="left" vertical="center" wrapText="1"/>
      <protection locked="0"/>
    </xf>
    <xf numFmtId="49" fontId="2" fillId="23" borderId="103" xfId="0" applyNumberFormat="1" applyFont="1" applyFill="1" applyBorder="1" applyAlignment="1" applyProtection="1">
      <alignment horizontal="left" vertical="center" wrapText="1"/>
      <protection locked="0"/>
    </xf>
    <xf numFmtId="49" fontId="2" fillId="23" borderId="107" xfId="0" applyNumberFormat="1" applyFont="1" applyFill="1" applyBorder="1" applyAlignment="1" applyProtection="1">
      <alignment horizontal="left" vertical="center" wrapText="1"/>
      <protection locked="0"/>
    </xf>
    <xf numFmtId="49" fontId="131" fillId="34" borderId="125" xfId="0" applyNumberFormat="1" applyFont="1" applyFill="1" applyBorder="1" applyAlignment="1" applyProtection="1">
      <alignment horizontal="left" vertical="center" wrapText="1"/>
      <protection locked="0"/>
    </xf>
    <xf numFmtId="49" fontId="131" fillId="34" borderId="108" xfId="0" applyNumberFormat="1" applyFont="1" applyFill="1" applyBorder="1" applyAlignment="1" applyProtection="1">
      <alignment horizontal="left" vertical="center" wrapText="1"/>
      <protection locked="0"/>
    </xf>
    <xf numFmtId="49" fontId="131" fillId="34" borderId="126" xfId="0" applyNumberFormat="1" applyFont="1" applyFill="1" applyBorder="1" applyAlignment="1" applyProtection="1">
      <alignment horizontal="left" vertical="center" wrapText="1"/>
      <protection locked="0"/>
    </xf>
    <xf numFmtId="49" fontId="131" fillId="34" borderId="102" xfId="0" applyNumberFormat="1" applyFont="1" applyFill="1" applyBorder="1" applyAlignment="1" applyProtection="1">
      <alignment horizontal="left" vertical="center" wrapText="1"/>
      <protection locked="0"/>
    </xf>
    <xf numFmtId="49" fontId="131" fillId="34" borderId="103" xfId="0" applyNumberFormat="1" applyFont="1" applyFill="1" applyBorder="1" applyAlignment="1" applyProtection="1">
      <alignment horizontal="left" vertical="center" wrapText="1"/>
      <protection locked="0"/>
    </xf>
    <xf numFmtId="49" fontId="131" fillId="34" borderId="107" xfId="0" applyNumberFormat="1" applyFont="1" applyFill="1" applyBorder="1" applyAlignment="1" applyProtection="1">
      <alignment horizontal="left" vertical="center" wrapText="1"/>
      <protection locked="0"/>
    </xf>
    <xf numFmtId="0" fontId="67" fillId="27" borderId="45" xfId="0" applyFont="1" applyFill="1" applyBorder="1" applyAlignment="1">
      <alignment horizontal="center" vertical="center" wrapText="1"/>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0" fillId="37" borderId="27" xfId="0" applyNumberFormat="1" applyFill="1" applyBorder="1" applyAlignment="1" applyProtection="1">
      <alignment horizontal="center" wrapText="1"/>
      <protection locked="0"/>
    </xf>
    <xf numFmtId="49" fontId="0" fillId="37" borderId="44" xfId="0" applyNumberFormat="1" applyFill="1" applyBorder="1" applyAlignment="1" applyProtection="1">
      <alignment horizontal="center" wrapText="1"/>
      <protection locked="0"/>
    </xf>
    <xf numFmtId="49" fontId="0" fillId="37" borderId="45" xfId="0" applyNumberFormat="1" applyFill="1" applyBorder="1" applyAlignment="1" applyProtection="1">
      <alignment horizontal="center" wrapText="1"/>
      <protection locked="0"/>
    </xf>
    <xf numFmtId="0" fontId="112" fillId="0" borderId="50" xfId="0" applyFont="1" applyBorder="1" applyAlignment="1">
      <alignment horizontal="right"/>
    </xf>
    <xf numFmtId="0" fontId="112" fillId="0" borderId="139" xfId="0" applyFont="1" applyBorder="1" applyAlignment="1">
      <alignment horizontal="right"/>
    </xf>
    <xf numFmtId="3" fontId="0" fillId="41" borderId="27" xfId="0" applyNumberFormat="1" applyFill="1" applyBorder="1" applyAlignment="1" applyProtection="1">
      <alignment horizontal="center"/>
      <protection locked="0"/>
    </xf>
    <xf numFmtId="3" fontId="0" fillId="41"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15" fontId="125" fillId="0" borderId="10" xfId="58" applyNumberFormat="1" applyFont="1" applyFill="1" applyBorder="1" applyAlignment="1" applyProtection="1">
      <alignment horizontal="center"/>
      <protection locked="0"/>
    </xf>
    <xf numFmtId="15" fontId="129" fillId="0" borderId="10" xfId="58" applyNumberFormat="1" applyFill="1" applyBorder="1" applyAlignment="1" applyProtection="1">
      <alignment horizontal="center"/>
      <protection locked="0"/>
    </xf>
    <xf numFmtId="43" fontId="15" fillId="38" borderId="10" xfId="58" applyFont="1" applyFill="1" applyBorder="1" applyAlignment="1" applyProtection="1">
      <alignment horizontal="center"/>
      <protection locked="0"/>
    </xf>
    <xf numFmtId="49" fontId="14" fillId="0" borderId="140" xfId="0" applyNumberFormat="1" applyFont="1" applyBorder="1" applyAlignment="1">
      <alignment horizontal="center"/>
    </xf>
    <xf numFmtId="49" fontId="14" fillId="0" borderId="10" xfId="0" applyNumberFormat="1" applyFont="1" applyBorder="1" applyAlignment="1">
      <alignment horizontal="center"/>
    </xf>
    <xf numFmtId="49" fontId="0" fillId="0" borderId="10" xfId="0" applyNumberFormat="1" applyBorder="1" applyAlignment="1" applyProtection="1">
      <alignment horizontal="center"/>
      <protection locked="0"/>
    </xf>
    <xf numFmtId="0" fontId="0" fillId="19" borderId="141" xfId="0" applyFill="1" applyBorder="1" applyAlignment="1">
      <alignment horizontal="center" vertical="center" textRotation="90"/>
    </xf>
    <xf numFmtId="43" fontId="14" fillId="0" borderId="142" xfId="0" applyNumberFormat="1" applyFont="1" applyBorder="1" applyAlignment="1">
      <alignment horizontal="center"/>
    </xf>
    <xf numFmtId="0" fontId="14" fillId="0" borderId="143" xfId="0" applyFont="1" applyBorder="1" applyAlignment="1">
      <alignment horizontal="center"/>
    </xf>
    <xf numFmtId="0" fontId="14" fillId="0" borderId="250" xfId="0" applyFont="1" applyBorder="1" applyAlignment="1">
      <alignment horizontal="center"/>
    </xf>
    <xf numFmtId="0" fontId="14" fillId="0" borderId="144" xfId="0" applyFont="1" applyBorder="1" applyAlignment="1">
      <alignment horizontal="center"/>
    </xf>
    <xf numFmtId="49" fontId="2" fillId="22" borderId="118" xfId="0" applyNumberFormat="1" applyFont="1" applyFill="1" applyBorder="1" applyAlignment="1" applyProtection="1">
      <alignment horizontal="left" vertical="center" wrapText="1"/>
      <protection locked="0"/>
    </xf>
    <xf numFmtId="49" fontId="67" fillId="22" borderId="106" xfId="0" applyNumberFormat="1" applyFont="1" applyFill="1" applyBorder="1" applyAlignment="1" applyProtection="1">
      <alignment horizontal="left" vertical="center" wrapText="1"/>
      <protection locked="0"/>
    </xf>
    <xf numFmtId="49" fontId="67" fillId="22" borderId="64" xfId="0" applyNumberFormat="1" applyFont="1" applyFill="1" applyBorder="1" applyAlignment="1" applyProtection="1">
      <alignment horizontal="left" vertical="center" wrapText="1"/>
      <protection locked="0"/>
    </xf>
    <xf numFmtId="49" fontId="67" fillId="22" borderId="145"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6" xfId="0" applyFont="1" applyBorder="1" applyAlignment="1">
      <alignment horizontal="center" wrapText="1"/>
    </xf>
    <xf numFmtId="0" fontId="26" fillId="0" borderId="147" xfId="0" applyFont="1" applyBorder="1" applyAlignment="1">
      <alignment horizontal="center" wrapText="1"/>
    </xf>
    <xf numFmtId="0" fontId="26" fillId="0" borderId="148" xfId="0" applyFont="1" applyBorder="1" applyAlignment="1">
      <alignment horizontal="center" wrapText="1"/>
    </xf>
    <xf numFmtId="49" fontId="2" fillId="23" borderId="145"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5" xfId="0" applyNumberFormat="1" applyFont="1" applyFill="1" applyBorder="1" applyAlignment="1" applyProtection="1">
      <alignment horizontal="left" vertical="center" wrapText="1"/>
      <protection locked="0"/>
    </xf>
    <xf numFmtId="49" fontId="2" fillId="22" borderId="145" xfId="0" applyNumberFormat="1" applyFont="1" applyFill="1" applyBorder="1" applyAlignment="1" applyProtection="1">
      <alignment horizontal="left" vertical="center" wrapText="1"/>
      <protection locked="0"/>
    </xf>
    <xf numFmtId="43" fontId="24" fillId="24" borderId="41" xfId="58" applyFont="1" applyFill="1" applyBorder="1" applyAlignment="1" applyProtection="1">
      <alignment horizontal="center"/>
    </xf>
    <xf numFmtId="43" fontId="1" fillId="0" borderId="41" xfId="58" applyFont="1" applyFill="1" applyBorder="1" applyAlignment="1" applyProtection="1">
      <alignment horizontal="right"/>
    </xf>
    <xf numFmtId="43" fontId="115"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xf numFmtId="43" fontId="105" fillId="32" borderId="0" xfId="39" applyFont="1" applyFill="1" applyAlignment="1">
      <alignment horizontal="center" vertical="center"/>
    </xf>
    <xf numFmtId="43" fontId="33" fillId="24" borderId="0" xfId="50" applyFont="1" applyFill="1" applyAlignment="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20" fillId="0" borderId="0" xfId="50" applyFont="1" applyAlignment="1">
      <alignment horizontal="right" vertical="center"/>
    </xf>
    <xf numFmtId="43" fontId="24" fillId="24" borderId="0" xfId="50" applyFont="1" applyFill="1" applyAlignment="1">
      <alignment horizontal="center" vertical="center" wrapText="1"/>
    </xf>
    <xf numFmtId="0" fontId="116" fillId="0" borderId="151" xfId="0" applyFont="1" applyBorder="1" applyAlignment="1">
      <alignment horizontal="left" wrapText="1"/>
    </xf>
    <xf numFmtId="0" fontId="116" fillId="0" borderId="152" xfId="0" applyFont="1" applyBorder="1" applyAlignment="1">
      <alignment horizontal="left" wrapText="1"/>
    </xf>
    <xf numFmtId="43" fontId="14" fillId="0" borderId="0" xfId="0" applyNumberFormat="1" applyFont="1" applyAlignment="1">
      <alignment horizontal="center" wrapText="1"/>
    </xf>
    <xf numFmtId="43" fontId="28" fillId="0" borderId="0" xfId="0" applyNumberFormat="1" applyFont="1" applyAlignment="1">
      <alignment horizontal="right"/>
    </xf>
    <xf numFmtId="15" fontId="28" fillId="0" borderId="0" xfId="0" applyNumberFormat="1" applyFont="1" applyAlignment="1">
      <alignment horizontal="right"/>
    </xf>
    <xf numFmtId="43" fontId="14" fillId="0" borderId="0" xfId="0" applyNumberFormat="1" applyFont="1" applyAlignment="1">
      <alignment horizontal="center"/>
    </xf>
    <xf numFmtId="43" fontId="28" fillId="0" borderId="0" xfId="0" applyNumberFormat="1" applyFont="1" applyAlignment="1">
      <alignment horizontal="left"/>
    </xf>
    <xf numFmtId="43" fontId="15" fillId="31" borderId="0" xfId="58" applyFont="1" applyFill="1" applyBorder="1" applyAlignment="1" applyProtection="1">
      <alignment horizontal="center"/>
    </xf>
    <xf numFmtId="0" fontId="109" fillId="0" borderId="0" xfId="0" applyFont="1" applyAlignment="1">
      <alignment horizontal="center"/>
    </xf>
    <xf numFmtId="43" fontId="108" fillId="0" borderId="119" xfId="0" applyNumberFormat="1" applyFont="1" applyBorder="1" applyAlignment="1">
      <alignment horizontal="center" vertical="center" wrapText="1"/>
    </xf>
    <xf numFmtId="43" fontId="108" fillId="0" borderId="120" xfId="0" applyNumberFormat="1" applyFont="1" applyBorder="1" applyAlignment="1">
      <alignment horizontal="center" vertical="center" wrapText="1"/>
    </xf>
    <xf numFmtId="43" fontId="108" fillId="0" borderId="121" xfId="0" applyNumberFormat="1" applyFont="1" applyBorder="1" applyAlignment="1">
      <alignment horizontal="center" vertical="center" wrapText="1"/>
    </xf>
    <xf numFmtId="0" fontId="0" fillId="0" borderId="153" xfId="0" applyBorder="1" applyAlignment="1">
      <alignment horizontal="center"/>
    </xf>
    <xf numFmtId="0" fontId="0" fillId="0" borderId="63" xfId="0" applyBorder="1" applyAlignment="1">
      <alignment horizontal="center"/>
    </xf>
    <xf numFmtId="0" fontId="116" fillId="0" borderId="149" xfId="0" applyFont="1" applyBorder="1" applyAlignment="1">
      <alignment horizontal="left" wrapText="1"/>
    </xf>
    <xf numFmtId="0" fontId="116" fillId="0" borderId="150" xfId="0" applyFont="1" applyBorder="1" applyAlignment="1">
      <alignment horizontal="left" wrapText="1"/>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245" xfId="0" applyBorder="1" applyAlignment="1">
      <alignment horizontal="center" vertical="center"/>
    </xf>
    <xf numFmtId="0" fontId="0" fillId="0" borderId="44" xfId="0" applyBorder="1" applyAlignment="1">
      <alignment horizontal="left" wrapText="1"/>
    </xf>
    <xf numFmtId="0" fontId="0" fillId="0" borderId="45" xfId="0" applyBorder="1" applyAlignment="1">
      <alignment horizontal="left" wrapText="1"/>
    </xf>
    <xf numFmtId="0" fontId="34" fillId="22" borderId="27" xfId="0" applyFont="1" applyFill="1" applyBorder="1" applyAlignment="1" applyProtection="1">
      <alignment horizontal="left" vertical="top" wrapText="1"/>
      <protection locked="0"/>
    </xf>
    <xf numFmtId="0" fontId="34" fillId="22" borderId="44" xfId="0" applyFont="1" applyFill="1" applyBorder="1" applyAlignment="1" applyProtection="1">
      <alignment horizontal="left" vertical="top" wrapText="1"/>
      <protection locked="0"/>
    </xf>
    <xf numFmtId="0" fontId="34" fillId="22" borderId="45" xfId="0" applyFont="1" applyFill="1" applyBorder="1" applyAlignment="1" applyProtection="1">
      <alignment horizontal="left" vertical="top" wrapText="1"/>
      <protection locked="0"/>
    </xf>
    <xf numFmtId="0" fontId="14" fillId="0" borderId="0" xfId="0" applyFont="1" applyAlignment="1">
      <alignment horizontal="center"/>
    </xf>
    <xf numFmtId="43" fontId="61" fillId="32" borderId="0" xfId="48" applyFont="1" applyFill="1" applyAlignment="1">
      <alignment horizontal="center" vertical="center"/>
    </xf>
    <xf numFmtId="0" fontId="85" fillId="0" borderId="0" xfId="0" applyFont="1" applyAlignment="1">
      <alignment horizontal="left" wrapText="1"/>
    </xf>
    <xf numFmtId="9" fontId="28" fillId="0" borderId="27" xfId="56" applyFont="1" applyBorder="1" applyAlignment="1" applyProtection="1">
      <alignment horizontal="center" vertical="center" wrapText="1"/>
    </xf>
    <xf numFmtId="9" fontId="28" fillId="0" borderId="44" xfId="56" applyFont="1" applyBorder="1" applyAlignment="1" applyProtection="1">
      <alignment horizontal="center" vertical="center" wrapText="1"/>
    </xf>
    <xf numFmtId="9" fontId="28" fillId="0" borderId="45" xfId="56" applyFont="1" applyBorder="1" applyAlignment="1" applyProtection="1">
      <alignment horizontal="center" vertical="center" wrapText="1"/>
    </xf>
    <xf numFmtId="0" fontId="34" fillId="0" borderId="108" xfId="0" applyFont="1" applyBorder="1" applyAlignment="1">
      <alignment horizontal="left" vertical="center"/>
    </xf>
    <xf numFmtId="43" fontId="109" fillId="0" borderId="0" xfId="0" applyNumberFormat="1" applyFont="1" applyAlignment="1">
      <alignment horizontal="center"/>
    </xf>
    <xf numFmtId="43" fontId="15" fillId="31" borderId="0" xfId="59" applyFont="1" applyFill="1" applyBorder="1" applyAlignment="1" applyProtection="1">
      <alignment horizontal="center"/>
    </xf>
    <xf numFmtId="0" fontId="34" fillId="20" borderId="0" xfId="0" applyFont="1" applyFill="1" applyAlignment="1">
      <alignment horizontal="center" vertical="center" wrapText="1"/>
    </xf>
    <xf numFmtId="0" fontId="28" fillId="0" borderId="27" xfId="0" applyFont="1" applyBorder="1" applyAlignment="1">
      <alignment vertical="center" wrapText="1"/>
    </xf>
    <xf numFmtId="0" fontId="28" fillId="0" borderId="44" xfId="0" applyFont="1" applyBorder="1" applyAlignment="1">
      <alignment vertical="center" wrapText="1"/>
    </xf>
    <xf numFmtId="0" fontId="28" fillId="0" borderId="45" xfId="0" applyFont="1" applyBorder="1" applyAlignment="1">
      <alignment vertical="center" wrapText="1"/>
    </xf>
    <xf numFmtId="0" fontId="28" fillId="0" borderId="10" xfId="0" applyFont="1" applyBorder="1" applyAlignment="1">
      <alignment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34" fillId="20" borderId="154"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174" fontId="130" fillId="0" borderId="44" xfId="0" applyNumberFormat="1" applyFont="1" applyBorder="1" applyAlignment="1">
      <alignment horizontal="center" vertical="center" wrapText="1"/>
    </xf>
    <xf numFmtId="174" fontId="130" fillId="0" borderId="45" xfId="0" applyNumberFormat="1" applyFont="1" applyBorder="1" applyAlignment="1">
      <alignment horizontal="center" vertical="center" wrapText="1"/>
    </xf>
    <xf numFmtId="0" fontId="130" fillId="0" borderId="44" xfId="0" applyFont="1" applyBorder="1" applyAlignment="1">
      <alignment horizontal="center" vertical="center" wrapText="1"/>
    </xf>
    <xf numFmtId="0" fontId="130" fillId="0" borderId="45" xfId="0" applyFont="1" applyBorder="1" applyAlignment="1">
      <alignment horizontal="center"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3" xfId="0" applyFont="1" applyBorder="1" applyAlignment="1">
      <alignment horizontal="center"/>
    </xf>
    <xf numFmtId="0" fontId="34" fillId="0" borderId="10" xfId="0" applyFont="1" applyBorder="1" applyAlignment="1">
      <alignment horizontal="center" vertical="center" wrapText="1"/>
    </xf>
    <xf numFmtId="0" fontId="34" fillId="0" borderId="27"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79" fillId="19" borderId="12" xfId="0" applyFont="1" applyFill="1" applyBorder="1" applyAlignment="1">
      <alignment horizontal="center" vertical="center"/>
    </xf>
    <xf numFmtId="0" fontId="60" fillId="25" borderId="161" xfId="0" applyFont="1" applyFill="1" applyBorder="1" applyAlignment="1">
      <alignment horizontal="center" vertical="center"/>
    </xf>
    <xf numFmtId="0" fontId="60" fillId="25" borderId="162" xfId="0" applyFont="1" applyFill="1" applyBorder="1" applyAlignment="1">
      <alignment horizontal="center" vertical="center"/>
    </xf>
    <xf numFmtId="0" fontId="60" fillId="25" borderId="163" xfId="0" applyFont="1" applyFill="1" applyBorder="1" applyAlignment="1">
      <alignment horizontal="center" vertical="center"/>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3" xfId="0" applyFont="1" applyBorder="1" applyAlignment="1">
      <alignment horizontal="center"/>
    </xf>
    <xf numFmtId="0" fontId="78" fillId="0" borderId="174" xfId="0" applyFont="1" applyBorder="1" applyAlignment="1">
      <alignment horizontal="center"/>
    </xf>
    <xf numFmtId="49" fontId="2" fillId="25" borderId="175" xfId="0" applyNumberFormat="1" applyFont="1" applyFill="1" applyBorder="1" applyAlignment="1" applyProtection="1">
      <alignment horizontal="center" vertical="center"/>
      <protection locked="0"/>
    </xf>
    <xf numFmtId="49" fontId="2" fillId="25" borderId="176" xfId="0" applyNumberFormat="1" applyFont="1" applyFill="1" applyBorder="1" applyAlignment="1" applyProtection="1">
      <alignment horizontal="center" vertical="center"/>
      <protection locked="0"/>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0" fontId="78" fillId="0" borderId="0" xfId="0" applyFont="1" applyAlignment="1">
      <alignment horizontal="center"/>
    </xf>
    <xf numFmtId="0" fontId="80" fillId="0" borderId="180" xfId="0" applyFont="1" applyBorder="1" applyAlignment="1">
      <alignment horizontal="left" vertical="top" wrapText="1"/>
    </xf>
    <xf numFmtId="0" fontId="80" fillId="0" borderId="181" xfId="0" applyFont="1" applyBorder="1" applyAlignment="1">
      <alignment horizontal="left" vertical="top" wrapText="1"/>
    </xf>
    <xf numFmtId="0" fontId="80" fillId="0" borderId="182" xfId="0" applyFont="1" applyBorder="1" applyAlignment="1">
      <alignment horizontal="left" vertical="top" wrapText="1"/>
    </xf>
    <xf numFmtId="0" fontId="80" fillId="0" borderId="183" xfId="0" applyFont="1" applyBorder="1" applyAlignment="1">
      <alignment horizontal="left" vertical="top" wrapText="1"/>
    </xf>
    <xf numFmtId="0" fontId="80" fillId="0" borderId="192" xfId="0" applyFont="1" applyBorder="1" applyAlignment="1">
      <alignment horizontal="left" vertical="top" wrapText="1"/>
    </xf>
    <xf numFmtId="49" fontId="2" fillId="25" borderId="184" xfId="0" applyNumberFormat="1" applyFont="1" applyFill="1" applyBorder="1" applyAlignment="1" applyProtection="1">
      <alignment horizontal="center" vertical="center"/>
      <protection locked="0"/>
    </xf>
    <xf numFmtId="49" fontId="2" fillId="25" borderId="185" xfId="0" applyNumberFormat="1" applyFont="1" applyFill="1" applyBorder="1" applyAlignment="1" applyProtection="1">
      <alignment horizontal="center" vertical="center"/>
      <protection locked="0"/>
    </xf>
    <xf numFmtId="49" fontId="2" fillId="25" borderId="186" xfId="0" applyNumberFormat="1" applyFont="1" applyFill="1" applyBorder="1" applyAlignment="1" applyProtection="1">
      <alignment horizontal="center" vertical="center"/>
      <protection locked="0"/>
    </xf>
    <xf numFmtId="0" fontId="123" fillId="24" borderId="193" xfId="0" applyFont="1" applyFill="1" applyBorder="1" applyAlignment="1">
      <alignment horizontal="center" vertical="center"/>
    </xf>
    <xf numFmtId="0" fontId="123" fillId="24" borderId="194" xfId="0" applyFont="1" applyFill="1" applyBorder="1" applyAlignment="1">
      <alignment horizontal="center" vertical="center"/>
    </xf>
    <xf numFmtId="0" fontId="0" fillId="0" borderId="194" xfId="0" applyBorder="1" applyAlignment="1">
      <alignment horizontal="center" vertical="center"/>
    </xf>
    <xf numFmtId="0" fontId="123" fillId="24" borderId="195" xfId="0" applyFont="1" applyFill="1" applyBorder="1" applyAlignment="1">
      <alignment horizontal="center" vertical="center"/>
    </xf>
    <xf numFmtId="0" fontId="123" fillId="24" borderId="196" xfId="0" applyFont="1" applyFill="1" applyBorder="1" applyAlignment="1">
      <alignment horizontal="center" vertical="center"/>
    </xf>
    <xf numFmtId="0" fontId="123" fillId="24" borderId="197" xfId="0" applyFont="1" applyFill="1" applyBorder="1" applyAlignment="1">
      <alignment horizontal="center" vertical="center"/>
    </xf>
    <xf numFmtId="9" fontId="2" fillId="0" borderId="187" xfId="56" applyFont="1" applyFill="1" applyBorder="1" applyAlignment="1" applyProtection="1">
      <alignment horizontal="left" vertical="center" wrapText="1"/>
    </xf>
    <xf numFmtId="0" fontId="2" fillId="0" borderId="176" xfId="56" applyNumberFormat="1" applyFont="1" applyFill="1" applyBorder="1" applyAlignment="1" applyProtection="1">
      <alignment horizontal="left" vertical="center" wrapText="1"/>
    </xf>
    <xf numFmtId="0" fontId="2" fillId="0" borderId="188" xfId="56" applyNumberFormat="1" applyFont="1" applyFill="1" applyBorder="1" applyAlignment="1" applyProtection="1">
      <alignment horizontal="left" vertical="center" wrapText="1"/>
    </xf>
    <xf numFmtId="0" fontId="80" fillId="0" borderId="198" xfId="0" applyFont="1" applyBorder="1" applyAlignment="1">
      <alignment horizontal="left" vertical="top" wrapText="1"/>
    </xf>
    <xf numFmtId="0" fontId="80" fillId="0" borderId="199" xfId="0" applyFont="1" applyBorder="1" applyAlignment="1">
      <alignment horizontal="left" vertical="top" wrapText="1"/>
    </xf>
    <xf numFmtId="0" fontId="2" fillId="0" borderId="187" xfId="56" applyNumberFormat="1" applyFont="1" applyFill="1" applyBorder="1" applyAlignment="1" applyProtection="1">
      <alignment horizontal="left" vertical="center" wrapText="1"/>
    </xf>
    <xf numFmtId="0" fontId="80" fillId="0" borderId="200" xfId="0" applyFont="1" applyBorder="1" applyAlignment="1">
      <alignment horizontal="left" vertical="top" wrapText="1"/>
    </xf>
    <xf numFmtId="0" fontId="80" fillId="0" borderId="201" xfId="0" applyFont="1" applyBorder="1" applyAlignment="1">
      <alignment horizontal="left" vertical="top" wrapText="1"/>
    </xf>
    <xf numFmtId="0" fontId="2" fillId="22" borderId="189" xfId="0" applyFont="1" applyFill="1" applyBorder="1" applyAlignment="1" applyProtection="1">
      <alignment horizontal="center" vertical="top" wrapText="1"/>
      <protection locked="0"/>
    </xf>
    <xf numFmtId="0" fontId="2" fillId="22" borderId="190" xfId="0" applyFont="1" applyFill="1" applyBorder="1" applyAlignment="1" applyProtection="1">
      <alignment horizontal="center" vertical="top" wrapText="1"/>
      <protection locked="0"/>
    </xf>
    <xf numFmtId="0" fontId="2" fillId="22" borderId="191" xfId="0" applyFont="1" applyFill="1" applyBorder="1" applyAlignment="1" applyProtection="1">
      <alignment horizontal="center" vertical="top" wrapText="1"/>
      <protection locked="0"/>
    </xf>
    <xf numFmtId="0" fontId="60" fillId="22" borderId="202" xfId="0" applyFont="1" applyFill="1" applyBorder="1" applyAlignment="1">
      <alignment horizontal="center" vertical="center"/>
    </xf>
    <xf numFmtId="0" fontId="60" fillId="22" borderId="203" xfId="0" applyFont="1" applyFill="1" applyBorder="1" applyAlignment="1">
      <alignment horizontal="center" vertical="center"/>
    </xf>
    <xf numFmtId="0" fontId="60" fillId="22" borderId="204" xfId="0" applyFont="1" applyFill="1" applyBorder="1" applyAlignment="1">
      <alignment horizontal="center" vertical="center"/>
    </xf>
    <xf numFmtId="0" fontId="80" fillId="0" borderId="205" xfId="0" applyFont="1" applyBorder="1" applyAlignment="1">
      <alignment horizontal="left" vertical="center" wrapText="1"/>
    </xf>
    <xf numFmtId="0" fontId="80" fillId="0" borderId="206" xfId="0" applyFont="1" applyBorder="1" applyAlignment="1">
      <alignment horizontal="left" vertical="center" wrapText="1"/>
    </xf>
    <xf numFmtId="0" fontId="80" fillId="0" borderId="207" xfId="0" applyFont="1" applyBorder="1" applyAlignment="1">
      <alignment horizontal="left" vertical="center" wrapText="1"/>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98" fillId="21" borderId="222" xfId="0" applyFont="1" applyFill="1" applyBorder="1" applyAlignment="1">
      <alignment horizontal="center" vertical="center" textRotation="90"/>
    </xf>
    <xf numFmtId="0" fontId="0" fillId="21" borderId="86" xfId="0" applyFill="1" applyBorder="1" applyAlignment="1">
      <alignment horizontal="center" vertical="center" textRotation="90"/>
    </xf>
    <xf numFmtId="0" fontId="0" fillId="21" borderId="106" xfId="0" applyFill="1" applyBorder="1" applyAlignment="1">
      <alignment horizontal="center" vertical="center" textRotation="90"/>
    </xf>
    <xf numFmtId="0" fontId="77" fillId="21" borderId="221" xfId="53" applyFont="1" applyFill="1" applyBorder="1" applyAlignment="1">
      <alignment horizontal="center" vertical="center" wrapText="1"/>
    </xf>
    <xf numFmtId="0" fontId="77" fillId="21" borderId="13" xfId="53" applyFont="1" applyFill="1" applyBorder="1" applyAlignment="1">
      <alignment horizontal="center" vertical="center" wrapText="1"/>
    </xf>
    <xf numFmtId="0" fontId="21" fillId="0" borderId="213" xfId="0" applyFont="1" applyBorder="1" applyAlignment="1" applyProtection="1">
      <alignment horizontal="left"/>
      <protection locked="0"/>
    </xf>
    <xf numFmtId="0" fontId="33" fillId="0" borderId="0" xfId="0" applyFont="1" applyAlignment="1">
      <alignment horizontal="center"/>
    </xf>
    <xf numFmtId="0" fontId="77" fillId="21" borderId="223" xfId="53" applyFont="1" applyFill="1" applyBorder="1" applyAlignment="1">
      <alignment horizontal="center" vertical="center" wrapText="1"/>
    </xf>
    <xf numFmtId="0" fontId="77" fillId="21" borderId="224" xfId="53" applyFont="1" applyFill="1" applyBorder="1" applyAlignment="1">
      <alignment horizontal="center" vertical="center" wrapText="1"/>
    </xf>
    <xf numFmtId="0" fontId="77" fillId="21" borderId="225" xfId="53" applyFont="1" applyFill="1" applyBorder="1" applyAlignment="1">
      <alignment horizontal="center" vertical="center" wrapText="1"/>
    </xf>
    <xf numFmtId="0" fontId="21" fillId="0" borderId="213" xfId="0" applyFont="1" applyBorder="1" applyAlignment="1" applyProtection="1">
      <alignment horizontal="left" wrapText="1"/>
      <protection locked="0"/>
    </xf>
    <xf numFmtId="0" fontId="21" fillId="0" borderId="226" xfId="0" applyFont="1" applyBorder="1" applyAlignment="1" applyProtection="1">
      <alignment horizontal="left"/>
      <protection locked="0"/>
    </xf>
    <xf numFmtId="0" fontId="21" fillId="0" borderId="227" xfId="0" applyFont="1" applyBorder="1" applyAlignment="1" applyProtection="1">
      <alignment horizontal="left"/>
      <protection locked="0"/>
    </xf>
    <xf numFmtId="0" fontId="21" fillId="0" borderId="228" xfId="0" applyFont="1" applyBorder="1" applyAlignment="1" applyProtection="1">
      <alignment horizontal="left" vertical="top" wrapText="1"/>
      <protection locked="0"/>
    </xf>
    <xf numFmtId="0" fontId="21" fillId="0" borderId="229" xfId="0" applyFont="1" applyBorder="1" applyAlignment="1" applyProtection="1">
      <alignment horizontal="left" vertical="top" wrapText="1"/>
      <protection locked="0"/>
    </xf>
    <xf numFmtId="0" fontId="21" fillId="0" borderId="230" xfId="0" applyFont="1" applyBorder="1" applyAlignment="1" applyProtection="1">
      <alignment horizontal="left" vertical="top" wrapText="1"/>
      <protection locked="0"/>
    </xf>
    <xf numFmtId="0" fontId="21" fillId="0" borderId="219" xfId="0" applyFont="1" applyBorder="1" applyAlignment="1" applyProtection="1">
      <alignment horizontal="left" vertical="top" wrapText="1"/>
      <protection locked="0"/>
    </xf>
    <xf numFmtId="0" fontId="21" fillId="0" borderId="185" xfId="0" applyFont="1" applyBorder="1" applyAlignment="1" applyProtection="1">
      <alignment horizontal="left" vertical="top" wrapText="1"/>
      <protection locked="0"/>
    </xf>
    <xf numFmtId="0" fontId="21" fillId="0" borderId="231" xfId="0" applyFont="1" applyBorder="1" applyAlignment="1" applyProtection="1">
      <alignment horizontal="left" vertical="top" wrapText="1"/>
      <protection locked="0"/>
    </xf>
    <xf numFmtId="0" fontId="21" fillId="0" borderId="232" xfId="0" applyFont="1" applyBorder="1" applyAlignment="1" applyProtection="1">
      <alignment horizontal="left"/>
      <protection locked="0"/>
    </xf>
    <xf numFmtId="0" fontId="21" fillId="0" borderId="176" xfId="0" applyFont="1" applyBorder="1" applyAlignment="1" applyProtection="1">
      <alignment horizontal="left"/>
      <protection locked="0"/>
    </xf>
    <xf numFmtId="0" fontId="21" fillId="0" borderId="209" xfId="0" applyFont="1" applyBorder="1" applyAlignment="1" applyProtection="1">
      <alignment horizontal="left"/>
      <protection locked="0"/>
    </xf>
    <xf numFmtId="0" fontId="21" fillId="0" borderId="233" xfId="0" applyFont="1" applyBorder="1" applyAlignment="1" applyProtection="1">
      <alignment horizontal="left"/>
      <protection locked="0"/>
    </xf>
    <xf numFmtId="0" fontId="21" fillId="0" borderId="210" xfId="0" applyFont="1" applyBorder="1" applyAlignment="1" applyProtection="1">
      <alignment horizontal="left"/>
      <protection locked="0"/>
    </xf>
    <xf numFmtId="0" fontId="21" fillId="0" borderId="211" xfId="0" applyFont="1" applyBorder="1" applyAlignment="1" applyProtection="1">
      <alignment horizontal="left"/>
      <protection locked="0"/>
    </xf>
    <xf numFmtId="0" fontId="21" fillId="0" borderId="176" xfId="0" applyFont="1" applyBorder="1" applyAlignment="1" applyProtection="1">
      <alignment horizontal="left" vertical="center" wrapText="1"/>
      <protection locked="0"/>
    </xf>
    <xf numFmtId="0" fontId="21" fillId="0" borderId="209" xfId="0" applyFont="1" applyBorder="1" applyAlignment="1" applyProtection="1">
      <alignment horizontal="left" vertical="center" wrapText="1"/>
      <protection locked="0"/>
    </xf>
    <xf numFmtId="0" fontId="21" fillId="0" borderId="210" xfId="0" applyFont="1" applyBorder="1" applyAlignment="1" applyProtection="1">
      <alignment horizontal="left" vertical="center" wrapText="1"/>
      <protection locked="0"/>
    </xf>
    <xf numFmtId="0" fontId="21" fillId="0" borderId="211" xfId="0" applyFont="1" applyBorder="1" applyAlignment="1" applyProtection="1">
      <alignment horizontal="left" vertical="center" wrapText="1"/>
      <protection locked="0"/>
    </xf>
    <xf numFmtId="0" fontId="21" fillId="0" borderId="212" xfId="0" applyFont="1" applyBorder="1" applyAlignment="1" applyProtection="1">
      <alignment horizontal="left"/>
      <protection locked="0"/>
    </xf>
    <xf numFmtId="0" fontId="0" fillId="22" borderId="109"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0" fillId="22" borderId="110" xfId="0" applyFill="1" applyBorder="1" applyAlignment="1" applyProtection="1">
      <alignment horizontal="center"/>
      <protection locked="0"/>
    </xf>
    <xf numFmtId="0" fontId="0" fillId="22" borderId="64" xfId="0" applyFill="1" applyBorder="1" applyAlignment="1" applyProtection="1">
      <alignment horizontal="center"/>
      <protection locked="0"/>
    </xf>
    <xf numFmtId="0" fontId="0" fillId="22" borderId="103" xfId="0" applyFill="1" applyBorder="1" applyAlignment="1" applyProtection="1">
      <alignment horizontal="center"/>
      <protection locked="0"/>
    </xf>
    <xf numFmtId="0" fontId="0" fillId="22" borderId="105" xfId="0" applyFill="1" applyBorder="1" applyAlignment="1" applyProtection="1">
      <alignment horizontal="center"/>
      <protection locked="0"/>
    </xf>
    <xf numFmtId="0" fontId="77" fillId="21" borderId="208" xfId="53" applyFont="1" applyFill="1" applyBorder="1" applyAlignment="1">
      <alignment horizontal="center" vertical="center" wrapText="1"/>
    </xf>
    <xf numFmtId="0" fontId="21" fillId="0" borderId="216" xfId="0" applyFont="1" applyBorder="1" applyAlignment="1" applyProtection="1">
      <alignment horizontal="left" vertical="top" wrapText="1"/>
      <protection locked="0"/>
    </xf>
    <xf numFmtId="0" fontId="21" fillId="0" borderId="217" xfId="0" applyFont="1" applyBorder="1" applyAlignment="1" applyProtection="1">
      <alignment horizontal="left" vertical="top" wrapText="1"/>
      <protection locked="0"/>
    </xf>
    <xf numFmtId="0" fontId="21" fillId="0" borderId="218" xfId="0" applyFont="1" applyBorder="1" applyAlignment="1" applyProtection="1">
      <alignment horizontal="left" vertical="top" wrapText="1"/>
      <protection locked="0"/>
    </xf>
    <xf numFmtId="0" fontId="21" fillId="0" borderId="220" xfId="0" applyFont="1" applyBorder="1" applyAlignment="1" applyProtection="1">
      <alignment horizontal="left" vertical="top" wrapText="1"/>
      <protection locked="0"/>
    </xf>
    <xf numFmtId="17" fontId="21" fillId="0" borderId="37" xfId="0" applyNumberFormat="1" applyFont="1" applyBorder="1" applyAlignment="1" applyProtection="1">
      <alignment horizontal="left"/>
      <protection locked="0"/>
    </xf>
    <xf numFmtId="0" fontId="21" fillId="0" borderId="235" xfId="0" applyFont="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234" xfId="0" applyFont="1" applyBorder="1" applyAlignment="1" applyProtection="1">
      <alignment horizontal="left"/>
      <protection locked="0"/>
    </xf>
    <xf numFmtId="43" fontId="17" fillId="32" borderId="0" xfId="39" applyFont="1" applyFill="1" applyAlignment="1">
      <alignment horizontal="center" vertical="center"/>
    </xf>
  </cellXfs>
  <cellStyles count="7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63"/>
    <cellStyle name="Comma 3" xfId="65"/>
    <cellStyle name="Comma 4" xfId="64"/>
    <cellStyle name="Currency" xfId="69" builtinId="4"/>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10" xfId="67"/>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Percent 2" xfId="68"/>
    <cellStyle name="Percent 3" xfId="66"/>
    <cellStyle name="Title" xfId="57"/>
    <cellStyle name="Título 3 3" xfId="58"/>
    <cellStyle name="Título 3 3_Prototipo" xfId="59"/>
    <cellStyle name="Título 3 3_PrototipoRep1" xfId="60"/>
    <cellStyle name="Título 3 7" xfId="61"/>
    <cellStyle name="Warning Text" xfId="62"/>
  </cellStyles>
  <dxfs count="52">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63"/>
        </patternFill>
      </fill>
    </dxf>
    <dxf>
      <fill>
        <patternFill>
          <bgColor indexed="42"/>
        </patternFill>
      </fill>
    </dxf>
    <dxf>
      <font>
        <condense val="0"/>
        <extend val="0"/>
        <color indexed="9"/>
      </font>
      <fill>
        <patternFill>
          <bgColor indexed="63"/>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Entry'!$C$33:$P$33</c:f>
              <c:numCache>
                <c:formatCode>#,##0</c:formatCode>
                <c:ptCount val="14"/>
                <c:pt idx="0">
                  <c:v>424079.9146866285</c:v>
                </c:pt>
                <c:pt idx="1">
                  <c:v>1337923.4335749494</c:v>
                </c:pt>
                <c:pt idx="2">
                  <c:v>1770980.9172928263</c:v>
                </c:pt>
                <c:pt idx="3">
                  <c:v>2394267.6233103643</c:v>
                </c:pt>
                <c:pt idx="4">
                  <c:v>3100053.5928245177</c:v>
                </c:pt>
                <c:pt idx="5">
                  <c:v>4244265.8025888493</c:v>
                </c:pt>
                <c:pt idx="6">
                  <c:v>5406657.9342111498</c:v>
                </c:pt>
                <c:pt idx="7">
                  <c:v>6226822.5061334791</c:v>
                </c:pt>
                <c:pt idx="8">
                  <c:v>6878282.107988988</c:v>
                </c:pt>
                <c:pt idx="9">
                  <c:v>7755259.8662887113</c:v>
                </c:pt>
                <c:pt idx="10">
                  <c:v>8685605.1074573547</c:v>
                </c:pt>
                <c:pt idx="11">
                  <c:v>10526386.835724529</c:v>
                </c:pt>
                <c:pt idx="12">
                  <c:v>11730941.630486639</c:v>
                </c:pt>
                <c:pt idx="13">
                  <c:v>12265386.070854889</c:v>
                </c:pt>
              </c:numCache>
            </c:numRef>
          </c:val>
          <c:extLst xmlns:c16r2="http://schemas.microsoft.com/office/drawing/2015/06/char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Entry'!$C$34:$P$34</c:f>
              <c:numCache>
                <c:formatCode>#,##0</c:formatCode>
                <c:ptCount val="14"/>
                <c:pt idx="0">
                  <c:v>695428.56</c:v>
                </c:pt>
                <c:pt idx="1">
                  <c:v>1677808.6600000001</c:v>
                </c:pt>
                <c:pt idx="2">
                  <c:v>2351701.87</c:v>
                </c:pt>
                <c:pt idx="3">
                  <c:v>3162772.9000000004</c:v>
                </c:pt>
                <c:pt idx="4">
                  <c:v>4827622.7300000004</c:v>
                </c:pt>
                <c:pt idx="5">
                  <c:v>5155971.7200000007</c:v>
                </c:pt>
                <c:pt idx="6">
                  <c:v>6454914</c:v>
                </c:pt>
                <c:pt idx="7">
                  <c:v>7125948.0600000005</c:v>
                </c:pt>
                <c:pt idx="8">
                  <c:v>7413066.8300000001</c:v>
                </c:pt>
                <c:pt idx="9">
                  <c:v>8448136.1699999999</c:v>
                </c:pt>
                <c:pt idx="10">
                  <c:v>9186057.3599999994</c:v>
                </c:pt>
                <c:pt idx="11">
                  <c:v>10547228.689999999</c:v>
                </c:pt>
                <c:pt idx="12">
                  <c:v>10597517.58</c:v>
                </c:pt>
                <c:pt idx="13">
                  <c:v>11138169.09</c:v>
                </c:pt>
              </c:numCache>
            </c:numRef>
          </c:val>
          <c:extLst xmlns:c16r2="http://schemas.microsoft.com/office/drawing/2015/06/char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950549760"/>
        <c:axId val="950543232"/>
      </c:barChart>
      <c:catAx>
        <c:axId val="95054976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950543232"/>
        <c:crosses val="autoZero"/>
        <c:auto val="1"/>
        <c:lblAlgn val="ctr"/>
        <c:lblOffset val="100"/>
        <c:tickLblSkip val="1"/>
        <c:tickMarkSkip val="1"/>
        <c:noMultiLvlLbl val="0"/>
      </c:catAx>
      <c:valAx>
        <c:axId val="950543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95054976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Entry'!$H$122:$V$122</c:f>
              <c:numCache>
                <c:formatCode>_(* #,##0_);_(* \(#,##0\);_(* "-"??_);_(@_)</c:formatCode>
                <c:ptCount val="15"/>
                <c:pt idx="0">
                  <c:v>5500</c:v>
                </c:pt>
                <c:pt idx="1">
                  <c:v>5500</c:v>
                </c:pt>
                <c:pt idx="2" formatCode="#,##0">
                  <c:v>6110</c:v>
                </c:pt>
                <c:pt idx="3" formatCode="#,##0">
                  <c:v>6110</c:v>
                </c:pt>
                <c:pt idx="4" formatCode="#,##0">
                  <c:v>6110</c:v>
                </c:pt>
                <c:pt idx="5" formatCode="#,##0">
                  <c:v>6110</c:v>
                </c:pt>
                <c:pt idx="6" formatCode="#,##0">
                  <c:v>7614</c:v>
                </c:pt>
                <c:pt idx="8" formatCode="#,##0">
                  <c:v>7614</c:v>
                </c:pt>
                <c:pt idx="9" formatCode="#,##0">
                  <c:v>7614</c:v>
                </c:pt>
                <c:pt idx="10" formatCode="#,##0">
                  <c:v>7614</c:v>
                </c:pt>
                <c:pt idx="11" formatCode="#,##0">
                  <c:v>7140</c:v>
                </c:pt>
                <c:pt idx="12" formatCode="#,##0">
                  <c:v>7140</c:v>
                </c:pt>
                <c:pt idx="13" formatCode="#,##0">
                  <c:v>7140</c:v>
                </c:pt>
                <c:pt idx="14" formatCode="#,##0">
                  <c:v>7140</c:v>
                </c:pt>
              </c:numCache>
            </c:numRef>
          </c:val>
          <c:extLst xmlns:c16r2="http://schemas.microsoft.com/office/drawing/2015/06/char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Entry'!$H$123:$V$123</c:f>
              <c:numCache>
                <c:formatCode>_(* #,##0_);_(* \(#,##0\);_(* "-"??_);_(@_)</c:formatCode>
                <c:ptCount val="15"/>
                <c:pt idx="0">
                  <c:v>4381</c:v>
                </c:pt>
                <c:pt idx="1">
                  <c:v>5098</c:v>
                </c:pt>
                <c:pt idx="2" formatCode="#,##0">
                  <c:v>5210</c:v>
                </c:pt>
                <c:pt idx="3" formatCode="#,##0">
                  <c:v>5245</c:v>
                </c:pt>
                <c:pt idx="4" formatCode="#,##0">
                  <c:v>5348</c:v>
                </c:pt>
                <c:pt idx="5" formatCode="#,##0">
                  <c:v>5442</c:v>
                </c:pt>
                <c:pt idx="6" formatCode="#,##0">
                  <c:v>5513</c:v>
                </c:pt>
                <c:pt idx="8" formatCode="#,##0">
                  <c:v>5602</c:v>
                </c:pt>
                <c:pt idx="9" formatCode="#,##0">
                  <c:v>5673</c:v>
                </c:pt>
                <c:pt idx="10" formatCode="#,##0">
                  <c:v>5746</c:v>
                </c:pt>
                <c:pt idx="11" formatCode="#,##0">
                  <c:v>5785</c:v>
                </c:pt>
                <c:pt idx="12" formatCode="#,##0">
                  <c:v>5907</c:v>
                </c:pt>
                <c:pt idx="13" formatCode="#,##0">
                  <c:v>5954</c:v>
                </c:pt>
                <c:pt idx="14" formatCode="#,##0">
                  <c:v>6050</c:v>
                </c:pt>
              </c:numCache>
            </c:numRef>
          </c:val>
          <c:extLst xmlns:c16r2="http://schemas.microsoft.com/office/drawing/2015/06/char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1239363856"/>
        <c:axId val="1239364400"/>
      </c:barChart>
      <c:catAx>
        <c:axId val="1239363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39364400"/>
        <c:crosses val="autoZero"/>
        <c:auto val="1"/>
        <c:lblAlgn val="ctr"/>
        <c:lblOffset val="100"/>
        <c:tickLblSkip val="1"/>
        <c:tickMarkSkip val="1"/>
        <c:noMultiLvlLbl val="0"/>
      </c:catAx>
      <c:valAx>
        <c:axId val="123936440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39363856"/>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Entry'!$H$116:$V$116</c:f>
              <c:strCache>
                <c:ptCount val="15"/>
                <c:pt idx="0">
                  <c:v>P1</c:v>
                </c:pt>
                <c:pt idx="1">
                  <c:v>P2</c:v>
                </c:pt>
                <c:pt idx="2">
                  <c:v>P3</c:v>
                </c:pt>
                <c:pt idx="3">
                  <c:v>P4</c:v>
                </c:pt>
                <c:pt idx="4">
                  <c:v>P5</c:v>
                </c:pt>
                <c:pt idx="5">
                  <c:v>P6</c:v>
                </c:pt>
                <c:pt idx="6">
                  <c:v>P7</c:v>
                </c:pt>
                <c:pt idx="8">
                  <c:v>P8</c:v>
                </c:pt>
                <c:pt idx="9">
                  <c:v>P9</c:v>
                </c:pt>
                <c:pt idx="10">
                  <c:v>P10</c:v>
                </c:pt>
                <c:pt idx="11">
                  <c:v>P11</c:v>
                </c:pt>
                <c:pt idx="12">
                  <c:v>P12</c:v>
                </c:pt>
                <c:pt idx="13">
                  <c:v>P13</c:v>
                </c:pt>
                <c:pt idx="14">
                  <c:v>P14</c:v>
                </c:pt>
              </c:strCache>
            </c:strRef>
          </c:cat>
          <c:val>
            <c:numRef>
              <c:f>'Data Entry'!$H$118:$V$118</c:f>
              <c:numCache>
                <c:formatCode>_(* #,##0_);_(* \(#,##0\);_(* "-"??_);_(@_)</c:formatCode>
                <c:ptCount val="15"/>
                <c:pt idx="0">
                  <c:v>25593.75</c:v>
                </c:pt>
                <c:pt idx="1">
                  <c:v>34125</c:v>
                </c:pt>
                <c:pt idx="2" formatCode="#,##0">
                  <c:v>8860</c:v>
                </c:pt>
                <c:pt idx="3" formatCode="#,##0">
                  <c:v>17720</c:v>
                </c:pt>
                <c:pt idx="4" formatCode="#,##0">
                  <c:v>26580</c:v>
                </c:pt>
                <c:pt idx="5" formatCode="#,##0">
                  <c:v>35440</c:v>
                </c:pt>
                <c:pt idx="6" formatCode="#,##0">
                  <c:v>9187.5</c:v>
                </c:pt>
                <c:pt idx="8" formatCode="#,##0">
                  <c:v>18375</c:v>
                </c:pt>
                <c:pt idx="9" formatCode="#,##0">
                  <c:v>27562.5</c:v>
                </c:pt>
                <c:pt idx="10" formatCode="#,##0">
                  <c:v>36750</c:v>
                </c:pt>
                <c:pt idx="11" formatCode="#,##0">
                  <c:v>9620</c:v>
                </c:pt>
                <c:pt idx="12" formatCode="#,##0">
                  <c:v>19240</c:v>
                </c:pt>
                <c:pt idx="13" formatCode="#,##0">
                  <c:v>28860</c:v>
                </c:pt>
                <c:pt idx="14" formatCode="#,##0">
                  <c:v>38440</c:v>
                </c:pt>
              </c:numCache>
            </c:numRef>
          </c:val>
          <c:extLst xmlns:c16r2="http://schemas.microsoft.com/office/drawing/2015/06/char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Entry'!$H$116:$V$116</c:f>
              <c:strCache>
                <c:ptCount val="15"/>
                <c:pt idx="0">
                  <c:v>P1</c:v>
                </c:pt>
                <c:pt idx="1">
                  <c:v>P2</c:v>
                </c:pt>
                <c:pt idx="2">
                  <c:v>P3</c:v>
                </c:pt>
                <c:pt idx="3">
                  <c:v>P4</c:v>
                </c:pt>
                <c:pt idx="4">
                  <c:v>P5</c:v>
                </c:pt>
                <c:pt idx="5">
                  <c:v>P6</c:v>
                </c:pt>
                <c:pt idx="6">
                  <c:v>P7</c:v>
                </c:pt>
                <c:pt idx="8">
                  <c:v>P8</c:v>
                </c:pt>
                <c:pt idx="9">
                  <c:v>P9</c:v>
                </c:pt>
                <c:pt idx="10">
                  <c:v>P10</c:v>
                </c:pt>
                <c:pt idx="11">
                  <c:v>P11</c:v>
                </c:pt>
                <c:pt idx="12">
                  <c:v>P12</c:v>
                </c:pt>
                <c:pt idx="13">
                  <c:v>P13</c:v>
                </c:pt>
                <c:pt idx="14">
                  <c:v>P14</c:v>
                </c:pt>
              </c:strCache>
            </c:strRef>
          </c:cat>
          <c:val>
            <c:numRef>
              <c:f>'Data Entry'!$H$119:$V$119</c:f>
              <c:numCache>
                <c:formatCode>_(* #,##0_);_(* \(#,##0\);_(* "-"??_);_(@_)</c:formatCode>
                <c:ptCount val="15"/>
                <c:pt idx="0">
                  <c:v>23876</c:v>
                </c:pt>
                <c:pt idx="1">
                  <c:v>29403</c:v>
                </c:pt>
                <c:pt idx="2" formatCode="#,##0">
                  <c:v>5241</c:v>
                </c:pt>
                <c:pt idx="3" formatCode="#,##0">
                  <c:v>8847</c:v>
                </c:pt>
                <c:pt idx="4" formatCode="#,##0">
                  <c:v>18564</c:v>
                </c:pt>
                <c:pt idx="5" formatCode="#,##0">
                  <c:v>27892</c:v>
                </c:pt>
                <c:pt idx="6" formatCode="#,##0">
                  <c:v>8829</c:v>
                </c:pt>
                <c:pt idx="8" formatCode="#,##0">
                  <c:v>18216</c:v>
                </c:pt>
                <c:pt idx="9" formatCode="#,##0">
                  <c:v>27017</c:v>
                </c:pt>
                <c:pt idx="10" formatCode="#,##0">
                  <c:v>35255</c:v>
                </c:pt>
                <c:pt idx="11" formatCode="#,##0">
                  <c:v>9596</c:v>
                </c:pt>
                <c:pt idx="12" formatCode="#,##0">
                  <c:v>20278</c:v>
                </c:pt>
                <c:pt idx="13" formatCode="#,##0">
                  <c:v>29992</c:v>
                </c:pt>
                <c:pt idx="14" formatCode="#,##0">
                  <c:v>40204</c:v>
                </c:pt>
              </c:numCache>
            </c:numRef>
          </c:val>
          <c:extLst xmlns:c16r2="http://schemas.microsoft.com/office/drawing/2015/06/char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1239368208"/>
        <c:axId val="1239370928"/>
      </c:barChart>
      <c:catAx>
        <c:axId val="123936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39370928"/>
        <c:crosses val="autoZero"/>
        <c:auto val="1"/>
        <c:lblAlgn val="ctr"/>
        <c:lblOffset val="100"/>
        <c:tickLblSkip val="1"/>
        <c:tickMarkSkip val="1"/>
        <c:noMultiLvlLbl val="0"/>
      </c:catAx>
      <c:valAx>
        <c:axId val="123937092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39368208"/>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424079.9146866285</c:v>
                </c:pt>
                <c:pt idx="1">
                  <c:v>1337923.4335749494</c:v>
                </c:pt>
                <c:pt idx="2">
                  <c:v>1770980.9172928263</c:v>
                </c:pt>
                <c:pt idx="3">
                  <c:v>2394267.6233103643</c:v>
                </c:pt>
                <c:pt idx="4">
                  <c:v>3100053.5928245177</c:v>
                </c:pt>
                <c:pt idx="5">
                  <c:v>4244265.8025888493</c:v>
                </c:pt>
                <c:pt idx="6">
                  <c:v>5406657.9342111498</c:v>
                </c:pt>
                <c:pt idx="7">
                  <c:v>6226822.5061334791</c:v>
                </c:pt>
                <c:pt idx="8">
                  <c:v>6878282.107988988</c:v>
                </c:pt>
                <c:pt idx="9">
                  <c:v>7755259.8662887113</c:v>
                </c:pt>
                <c:pt idx="10">
                  <c:v>8685605.1074573547</c:v>
                </c:pt>
              </c:numCache>
            </c:numRef>
          </c:val>
          <c:extLst xmlns:c16r2="http://schemas.microsoft.com/office/drawing/2015/06/char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695428.56</c:v>
                </c:pt>
                <c:pt idx="1">
                  <c:v>1677808.6600000001</c:v>
                </c:pt>
                <c:pt idx="2">
                  <c:v>2351701.87</c:v>
                </c:pt>
                <c:pt idx="3">
                  <c:v>3162772.9000000004</c:v>
                </c:pt>
                <c:pt idx="4">
                  <c:v>4827622.7300000004</c:v>
                </c:pt>
                <c:pt idx="5">
                  <c:v>5155971.7200000007</c:v>
                </c:pt>
                <c:pt idx="6">
                  <c:v>6454914</c:v>
                </c:pt>
                <c:pt idx="7">
                  <c:v>7125948.0600000005</c:v>
                </c:pt>
                <c:pt idx="8">
                  <c:v>7413066.8300000001</c:v>
                </c:pt>
                <c:pt idx="9">
                  <c:v>8448136.1699999999</c:v>
                </c:pt>
                <c:pt idx="10">
                  <c:v>9186057.3599999994</c:v>
                </c:pt>
              </c:numCache>
            </c:numRef>
          </c:val>
          <c:extLst xmlns:c16r2="http://schemas.microsoft.com/office/drawing/2015/06/char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1239374192"/>
        <c:axId val="1239372560"/>
      </c:areaChart>
      <c:catAx>
        <c:axId val="1239374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239372560"/>
        <c:crosses val="autoZero"/>
        <c:auto val="1"/>
        <c:lblAlgn val="ctr"/>
        <c:lblOffset val="100"/>
        <c:tickLblSkip val="8"/>
        <c:tickMarkSkip val="1"/>
        <c:noMultiLvlLbl val="0"/>
      </c:catAx>
      <c:valAx>
        <c:axId val="123937256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23937419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c:v>
                </c:pt>
                <c:pt idx="3">
                  <c:v>SR expenditures</c:v>
                </c:pt>
              </c:strCache>
            </c:strRef>
          </c:cat>
          <c:val>
            <c:numRef>
              <c:f>'Data Entry'!$C$52:$C$55</c:f>
              <c:numCache>
                <c:formatCode>#,##0</c:formatCode>
                <c:ptCount val="4"/>
                <c:pt idx="0">
                  <c:v>10597517.58</c:v>
                </c:pt>
                <c:pt idx="1">
                  <c:v>9705250.4399999995</c:v>
                </c:pt>
                <c:pt idx="2">
                  <c:v>503148.50068893528</c:v>
                </c:pt>
                <c:pt idx="3">
                  <c:v>508262.55999999994</c:v>
                </c:pt>
              </c:numCache>
            </c:numRef>
          </c:val>
          <c:extLst xmlns:c16r2="http://schemas.microsoft.com/office/drawing/2015/06/char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c:v>
                </c:pt>
                <c:pt idx="3">
                  <c:v>SR expenditures</c:v>
                </c:pt>
              </c:strCache>
            </c:strRef>
          </c:cat>
          <c:val>
            <c:numRef>
              <c:f>'Data Entry'!$D$52:$D$55</c:f>
              <c:numCache>
                <c:formatCode>#,##0</c:formatCode>
                <c:ptCount val="4"/>
                <c:pt idx="0">
                  <c:v>540651.51</c:v>
                </c:pt>
                <c:pt idx="1">
                  <c:v>937303.87</c:v>
                </c:pt>
                <c:pt idx="2">
                  <c:v>37703.43</c:v>
                </c:pt>
                <c:pt idx="3">
                  <c:v>15747</c:v>
                </c:pt>
              </c:numCache>
            </c:numRef>
          </c:val>
          <c:extLst xmlns:c16r2="http://schemas.microsoft.com/office/drawing/2015/06/char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950538336"/>
        <c:axId val="950542688"/>
      </c:barChart>
      <c:catAx>
        <c:axId val="95053833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50542688"/>
        <c:crossesAt val="0"/>
        <c:auto val="1"/>
        <c:lblAlgn val="ctr"/>
        <c:lblOffset val="100"/>
        <c:noMultiLvlLbl val="0"/>
      </c:catAx>
      <c:valAx>
        <c:axId val="95054268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5053833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Entry'!$C$39:$C$43</c:f>
              <c:numCache>
                <c:formatCode>#,##0</c:formatCode>
                <c:ptCount val="5"/>
                <c:pt idx="0">
                  <c:v>1656132.9904864714</c:v>
                </c:pt>
                <c:pt idx="1">
                  <c:v>1430613.9780110903</c:v>
                </c:pt>
                <c:pt idx="2">
                  <c:v>1917580.7546870101</c:v>
                </c:pt>
                <c:pt idx="3">
                  <c:v>4785026.1433185292</c:v>
                </c:pt>
                <c:pt idx="4">
                  <c:v>700146.13257148501</c:v>
                </c:pt>
              </c:numCache>
            </c:numRef>
          </c:val>
          <c:extLst xmlns:c16r2="http://schemas.microsoft.com/office/drawing/2015/06/char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Entry'!$D$39:$D$43</c:f>
              <c:numCache>
                <c:formatCode>#,##0</c:formatCode>
                <c:ptCount val="5"/>
                <c:pt idx="0">
                  <c:v>1616706.18</c:v>
                </c:pt>
                <c:pt idx="1">
                  <c:v>1241379.3699999999</c:v>
                </c:pt>
                <c:pt idx="2">
                  <c:v>1682980.49</c:v>
                </c:pt>
                <c:pt idx="3">
                  <c:v>3716843.76</c:v>
                </c:pt>
                <c:pt idx="4">
                  <c:v>642340.28</c:v>
                </c:pt>
              </c:numCache>
            </c:numRef>
          </c:val>
          <c:extLst xmlns:c16r2="http://schemas.microsoft.com/office/drawing/2015/06/char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950539424"/>
        <c:axId val="950539968"/>
      </c:barChart>
      <c:catAx>
        <c:axId val="95053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50539968"/>
        <c:crosses val="autoZero"/>
        <c:auto val="1"/>
        <c:lblAlgn val="ctr"/>
        <c:lblOffset val="100"/>
        <c:tickMarkSkip val="1"/>
        <c:noMultiLvlLbl val="0"/>
      </c:catAx>
      <c:valAx>
        <c:axId val="95053996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9505394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57A2-4CDC-8CE0-0E085F052E53}"/>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17</c:v>
                </c:pt>
              </c:numCache>
            </c:numRef>
          </c:val>
          <c:extLst xmlns:c16r2="http://schemas.microsoft.com/office/drawing/2015/06/char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950550304"/>
        <c:axId val="950541600"/>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pt idx="0">
                  <c:v>17</c:v>
                </c:pt>
              </c:numCache>
            </c:numRef>
          </c:val>
          <c:extLst xmlns:c16r2="http://schemas.microsoft.com/office/drawing/2015/06/char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950550848"/>
        <c:axId val="950551392"/>
      </c:barChart>
      <c:catAx>
        <c:axId val="950550304"/>
        <c:scaling>
          <c:orientation val="minMax"/>
        </c:scaling>
        <c:delete val="1"/>
        <c:axPos val="l"/>
        <c:majorTickMark val="out"/>
        <c:minorTickMark val="none"/>
        <c:tickLblPos val="nextTo"/>
        <c:crossAx val="950541600"/>
        <c:crosses val="autoZero"/>
        <c:auto val="1"/>
        <c:lblAlgn val="ctr"/>
        <c:lblOffset val="100"/>
        <c:noMultiLvlLbl val="0"/>
      </c:catAx>
      <c:valAx>
        <c:axId val="95054160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50550304"/>
        <c:crosses val="max"/>
        <c:crossBetween val="between"/>
      </c:valAx>
      <c:catAx>
        <c:axId val="950550848"/>
        <c:scaling>
          <c:orientation val="minMax"/>
        </c:scaling>
        <c:delete val="1"/>
        <c:axPos val="l"/>
        <c:majorTickMark val="out"/>
        <c:minorTickMark val="none"/>
        <c:tickLblPos val="nextTo"/>
        <c:crossAx val="950551392"/>
        <c:crosses val="autoZero"/>
        <c:auto val="0"/>
        <c:lblAlgn val="ctr"/>
        <c:lblOffset val="100"/>
        <c:noMultiLvlLbl val="0"/>
      </c:catAx>
      <c:valAx>
        <c:axId val="950551392"/>
        <c:scaling>
          <c:orientation val="minMax"/>
        </c:scaling>
        <c:delete val="0"/>
        <c:axPos val="b"/>
        <c:numFmt formatCode="0%" sourceLinked="1"/>
        <c:majorTickMark val="none"/>
        <c:minorTickMark val="none"/>
        <c:tickLblPos val="none"/>
        <c:spPr>
          <a:ln w="3175">
            <a:solidFill>
              <a:srgbClr val="000000"/>
            </a:solidFill>
            <a:prstDash val="solid"/>
          </a:ln>
        </c:spPr>
        <c:crossAx val="950550848"/>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6</c:v>
                </c:pt>
              </c:numCache>
            </c:numRef>
          </c:val>
          <c:extLst xmlns:c16r2="http://schemas.microsoft.com/office/drawing/2015/06/char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6</c:v>
                </c:pt>
              </c:numCache>
            </c:numRef>
          </c:val>
          <c:extLst xmlns:c16r2="http://schemas.microsoft.com/office/drawing/2015/06/char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6</c:v>
                </c:pt>
              </c:numCache>
            </c:numRef>
          </c:val>
          <c:extLst xmlns:c16r2="http://schemas.microsoft.com/office/drawing/2015/06/char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6</c:v>
                </c:pt>
              </c:numCache>
            </c:numRef>
          </c:val>
          <c:extLst xmlns:c16r2="http://schemas.microsoft.com/office/drawing/2015/06/char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6</c:v>
                </c:pt>
              </c:numCache>
            </c:numRef>
          </c:val>
          <c:extLst xmlns:c16r2="http://schemas.microsoft.com/office/drawing/2015/06/char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950551936"/>
        <c:axId val="1239367664"/>
      </c:barChart>
      <c:catAx>
        <c:axId val="950551936"/>
        <c:scaling>
          <c:orientation val="minMax"/>
        </c:scaling>
        <c:delete val="0"/>
        <c:axPos val="b"/>
        <c:majorTickMark val="none"/>
        <c:minorTickMark val="none"/>
        <c:tickLblPos val="none"/>
        <c:spPr>
          <a:ln w="3175">
            <a:solidFill>
              <a:srgbClr val="000000"/>
            </a:solidFill>
            <a:prstDash val="solid"/>
          </a:ln>
        </c:spPr>
        <c:crossAx val="1239367664"/>
        <c:crosses val="autoZero"/>
        <c:auto val="0"/>
        <c:lblAlgn val="ctr"/>
        <c:lblOffset val="100"/>
        <c:tickMarkSkip val="1"/>
        <c:noMultiLvlLbl val="0"/>
      </c:catAx>
      <c:valAx>
        <c:axId val="12393676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50551936"/>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'Data Entry'!$B$72:$B$73</c:f>
            </c:multiLvlStrRef>
          </c:cat>
          <c:val>
            <c:numRef>
              <c:f>'Data Entry'!$D$72:$D$73</c:f>
            </c:numRef>
          </c:val>
          <c:extLst xmlns:c16r2="http://schemas.microsoft.com/office/drawing/2015/06/char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'Data Entry'!$B$72:$B$73</c:f>
            </c:multiLvlStrRef>
          </c:cat>
          <c:val>
            <c:numRef>
              <c:f>'Data Entry'!$E$72:$E$73</c:f>
            </c:numRef>
          </c:val>
          <c:extLst xmlns:c16r2="http://schemas.microsoft.com/office/drawing/2015/06/char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xmlns:c16r2="http://schemas.microsoft.com/office/drawing/2015/06/chart">
                <c:ext xmlns:c16="http://schemas.microsoft.com/office/drawing/2014/chart" uri="{C3380CC4-5D6E-409C-BE32-E72D297353CC}">
                  <c16:uniqueId val="{00000002-7D77-426D-8180-9FF2722F8EBA}"/>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'Data Entry'!$B$72:$B$73</c:f>
            </c:multiLvlStrRef>
          </c:cat>
          <c:val>
            <c:numRef>
              <c:f>'Data Entry'!$F$72:$F$73</c:f>
            </c:numRef>
          </c:val>
          <c:extLst xmlns:c16r2="http://schemas.microsoft.com/office/drawing/2015/06/char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1239369296"/>
        <c:axId val="1239370384"/>
      </c:barChart>
      <c:catAx>
        <c:axId val="12393692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9370384"/>
        <c:crosses val="autoZero"/>
        <c:auto val="1"/>
        <c:lblAlgn val="ctr"/>
        <c:lblOffset val="100"/>
        <c:tickLblSkip val="1"/>
        <c:tickMarkSkip val="1"/>
        <c:noMultiLvlLbl val="0"/>
      </c:catAx>
      <c:valAx>
        <c:axId val="123937038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9369296"/>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180</c:v>
                </c:pt>
                <c:pt idx="1">
                  <c:v>24</c:v>
                </c:pt>
              </c:numCache>
            </c:numRef>
          </c:val>
          <c:extLst xmlns:c16r2="http://schemas.microsoft.com/office/drawing/2015/06/char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1239369840"/>
        <c:axId val="1239372016"/>
      </c:barChart>
      <c:catAx>
        <c:axId val="12393698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39372016"/>
        <c:crosses val="autoZero"/>
        <c:auto val="1"/>
        <c:lblAlgn val="ctr"/>
        <c:lblOffset val="100"/>
        <c:noMultiLvlLbl val="0"/>
      </c:catAx>
      <c:valAx>
        <c:axId val="123937201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39369840"/>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Entry'!$C$98:$P$98</c:f>
              <c:numCache>
                <c:formatCode>#,##0</c:formatCode>
                <c:ptCount val="14"/>
                <c:pt idx="0">
                  <c:v>11777.304772573896</c:v>
                </c:pt>
                <c:pt idx="1">
                  <c:v>111546.41831053457</c:v>
                </c:pt>
                <c:pt idx="2">
                  <c:v>148551.41831053456</c:v>
                </c:pt>
                <c:pt idx="3">
                  <c:v>286288.63092035509</c:v>
                </c:pt>
                <c:pt idx="4">
                  <c:v>516739.63092035509</c:v>
                </c:pt>
                <c:pt idx="5">
                  <c:v>1061782.6309203552</c:v>
                </c:pt>
                <c:pt idx="6">
                  <c:v>1682707.6309203552</c:v>
                </c:pt>
                <c:pt idx="7">
                  <c:v>1982347.6309203552</c:v>
                </c:pt>
                <c:pt idx="8">
                  <c:v>2170190.6309203552</c:v>
                </c:pt>
                <c:pt idx="9">
                  <c:v>2444156.6309203552</c:v>
                </c:pt>
                <c:pt idx="10">
                  <c:v>2689371.6309203552</c:v>
                </c:pt>
                <c:pt idx="11">
                  <c:v>3140067.6309203552</c:v>
                </c:pt>
              </c:numCache>
            </c:numRef>
          </c:val>
          <c:smooth val="0"/>
          <c:extLst xmlns:c16r2="http://schemas.microsoft.com/office/drawing/2015/06/char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Entry'!$C$99:$P$99</c:f>
              <c:numCache>
                <c:formatCode>#,##0</c:formatCode>
                <c:ptCount val="14"/>
                <c:pt idx="0">
                  <c:v>74865.322144017322</c:v>
                </c:pt>
                <c:pt idx="1">
                  <c:v>251380.32214401732</c:v>
                </c:pt>
                <c:pt idx="2">
                  <c:v>349774.34863206727</c:v>
                </c:pt>
                <c:pt idx="3">
                  <c:v>641199.306736283</c:v>
                </c:pt>
                <c:pt idx="4">
                  <c:v>1101328.7254965482</c:v>
                </c:pt>
                <c:pt idx="5">
                  <c:v>2037060.1165158977</c:v>
                </c:pt>
                <c:pt idx="6">
                  <c:v>2167505.7195647284</c:v>
                </c:pt>
                <c:pt idx="7">
                  <c:v>2523236.6132381139</c:v>
                </c:pt>
                <c:pt idx="8">
                  <c:v>2729434.0150967026</c:v>
                </c:pt>
                <c:pt idx="9">
                  <c:v>2778294.0150967026</c:v>
                </c:pt>
                <c:pt idx="10">
                  <c:v>2873068.5253228056</c:v>
                </c:pt>
                <c:pt idx="11">
                  <c:v>3074437.1650967025</c:v>
                </c:pt>
              </c:numCache>
            </c:numRef>
          </c:val>
          <c:smooth val="0"/>
          <c:extLst xmlns:c16r2="http://schemas.microsoft.com/office/drawing/2015/06/char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Entry'!$C$100:$P$100</c:f>
              <c:numCache>
                <c:formatCode>#,##0</c:formatCode>
                <c:ptCount val="14"/>
                <c:pt idx="0">
                  <c:v>11777</c:v>
                </c:pt>
                <c:pt idx="1">
                  <c:v>150013.94007897607</c:v>
                </c:pt>
                <c:pt idx="2">
                  <c:v>188021.89007897605</c:v>
                </c:pt>
                <c:pt idx="3">
                  <c:v>325759.10007897601</c:v>
                </c:pt>
                <c:pt idx="4">
                  <c:v>563945.72007897601</c:v>
                </c:pt>
                <c:pt idx="5">
                  <c:v>1115122.4009204088</c:v>
                </c:pt>
                <c:pt idx="6">
                  <c:v>1849684.2409204086</c:v>
                </c:pt>
                <c:pt idx="7">
                  <c:v>1979095.7709204087</c:v>
                </c:pt>
                <c:pt idx="8">
                  <c:v>2188582.1809204086</c:v>
                </c:pt>
                <c:pt idx="9">
                  <c:v>2406561.6009204085</c:v>
                </c:pt>
                <c:pt idx="10">
                  <c:v>2603571.5010310411</c:v>
                </c:pt>
                <c:pt idx="11">
                  <c:v>2554346.9172464372</c:v>
                </c:pt>
              </c:numCache>
            </c:numRef>
          </c:val>
          <c:smooth val="0"/>
          <c:extLst xmlns:c16r2="http://schemas.microsoft.com/office/drawing/2015/06/char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1239378544"/>
        <c:axId val="1239364944"/>
      </c:lineChart>
      <c:catAx>
        <c:axId val="1239378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239364944"/>
        <c:crosses val="autoZero"/>
        <c:auto val="1"/>
        <c:lblAlgn val="ctr"/>
        <c:lblOffset val="100"/>
        <c:tickLblSkip val="1"/>
        <c:tickMarkSkip val="1"/>
        <c:noMultiLvlLbl val="0"/>
      </c:catAx>
      <c:valAx>
        <c:axId val="12393649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239378544"/>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Entry'!$H$116:$V$116</c:f>
              <c:strCache>
                <c:ptCount val="15"/>
                <c:pt idx="0">
                  <c:v>P1</c:v>
                </c:pt>
                <c:pt idx="1">
                  <c:v>P2</c:v>
                </c:pt>
                <c:pt idx="2">
                  <c:v>P3</c:v>
                </c:pt>
                <c:pt idx="3">
                  <c:v>P4</c:v>
                </c:pt>
                <c:pt idx="4">
                  <c:v>P5</c:v>
                </c:pt>
                <c:pt idx="5">
                  <c:v>P6</c:v>
                </c:pt>
                <c:pt idx="6">
                  <c:v>P7</c:v>
                </c:pt>
                <c:pt idx="8">
                  <c:v>P8</c:v>
                </c:pt>
                <c:pt idx="9">
                  <c:v>P9</c:v>
                </c:pt>
                <c:pt idx="10">
                  <c:v>P10</c:v>
                </c:pt>
                <c:pt idx="11">
                  <c:v>P11</c:v>
                </c:pt>
                <c:pt idx="12">
                  <c:v>P12</c:v>
                </c:pt>
                <c:pt idx="13">
                  <c:v>P13</c:v>
                </c:pt>
                <c:pt idx="14">
                  <c:v>P14</c:v>
                </c:pt>
              </c:strCache>
            </c:strRef>
          </c:cat>
          <c:val>
            <c:numRef>
              <c:f>'Data Entry'!$H$120:$V$120</c:f>
              <c:numCache>
                <c:formatCode>_(* #,##0_);_(* \(#,##0\);_(* "-"??_);_(@_)</c:formatCode>
                <c:ptCount val="15"/>
                <c:pt idx="0">
                  <c:v>6243.75</c:v>
                </c:pt>
                <c:pt idx="1">
                  <c:v>8325</c:v>
                </c:pt>
                <c:pt idx="2" formatCode="#,##0">
                  <c:v>2312.5</c:v>
                </c:pt>
                <c:pt idx="3" formatCode="#,##0">
                  <c:v>4625</c:v>
                </c:pt>
                <c:pt idx="4" formatCode="#,##0">
                  <c:v>6937.5</c:v>
                </c:pt>
                <c:pt idx="5" formatCode="#,##0">
                  <c:v>9250</c:v>
                </c:pt>
                <c:pt idx="6" formatCode="#,##0">
                  <c:v>2543.75</c:v>
                </c:pt>
                <c:pt idx="8" formatCode="#,##0">
                  <c:v>5087.5</c:v>
                </c:pt>
                <c:pt idx="9" formatCode="#,##0">
                  <c:v>7631.25</c:v>
                </c:pt>
                <c:pt idx="10" formatCode="#,##0">
                  <c:v>10175</c:v>
                </c:pt>
                <c:pt idx="11" formatCode="#,##0">
                  <c:v>2775</c:v>
                </c:pt>
                <c:pt idx="12" formatCode="#,##0">
                  <c:v>5550</c:v>
                </c:pt>
                <c:pt idx="13" formatCode="#,##0">
                  <c:v>8325</c:v>
                </c:pt>
                <c:pt idx="14" formatCode="#,##0">
                  <c:v>11100</c:v>
                </c:pt>
              </c:numCache>
            </c:numRef>
          </c:val>
          <c:extLst xmlns:c16r2="http://schemas.microsoft.com/office/drawing/2015/06/char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Entry'!$H$116:$V$116</c:f>
              <c:strCache>
                <c:ptCount val="15"/>
                <c:pt idx="0">
                  <c:v>P1</c:v>
                </c:pt>
                <c:pt idx="1">
                  <c:v>P2</c:v>
                </c:pt>
                <c:pt idx="2">
                  <c:v>P3</c:v>
                </c:pt>
                <c:pt idx="3">
                  <c:v>P4</c:v>
                </c:pt>
                <c:pt idx="4">
                  <c:v>P5</c:v>
                </c:pt>
                <c:pt idx="5">
                  <c:v>P6</c:v>
                </c:pt>
                <c:pt idx="6">
                  <c:v>P7</c:v>
                </c:pt>
                <c:pt idx="8">
                  <c:v>P8</c:v>
                </c:pt>
                <c:pt idx="9">
                  <c:v>P9</c:v>
                </c:pt>
                <c:pt idx="10">
                  <c:v>P10</c:v>
                </c:pt>
                <c:pt idx="11">
                  <c:v>P11</c:v>
                </c:pt>
                <c:pt idx="12">
                  <c:v>P12</c:v>
                </c:pt>
                <c:pt idx="13">
                  <c:v>P13</c:v>
                </c:pt>
                <c:pt idx="14">
                  <c:v>P14</c:v>
                </c:pt>
              </c:strCache>
            </c:strRef>
          </c:cat>
          <c:val>
            <c:numRef>
              <c:f>'Data Entry'!$H$121:$V$121</c:f>
              <c:numCache>
                <c:formatCode>_(* #,##0_);_(* \(#,##0\);_(* "-"??_);_(@_)</c:formatCode>
                <c:ptCount val="15"/>
                <c:pt idx="0">
                  <c:v>6672</c:v>
                </c:pt>
                <c:pt idx="1">
                  <c:v>8798</c:v>
                </c:pt>
                <c:pt idx="2" formatCode="#,##0">
                  <c:v>1831</c:v>
                </c:pt>
                <c:pt idx="3" formatCode="#,##0">
                  <c:v>2486</c:v>
                </c:pt>
                <c:pt idx="4" formatCode="#,##0">
                  <c:v>4046</c:v>
                </c:pt>
                <c:pt idx="5" formatCode="#,##0">
                  <c:v>6976</c:v>
                </c:pt>
                <c:pt idx="6" formatCode="#,##0">
                  <c:v>2227</c:v>
                </c:pt>
                <c:pt idx="8" formatCode="#,##0">
                  <c:v>4509</c:v>
                </c:pt>
                <c:pt idx="9" formatCode="#,##0">
                  <c:v>6433</c:v>
                </c:pt>
                <c:pt idx="10" formatCode="#,##0">
                  <c:v>7965</c:v>
                </c:pt>
                <c:pt idx="11" formatCode="#,##0">
                  <c:v>2404</c:v>
                </c:pt>
                <c:pt idx="12" formatCode="#,##0">
                  <c:v>5581</c:v>
                </c:pt>
                <c:pt idx="13" formatCode="#,##0">
                  <c:v>9238</c:v>
                </c:pt>
                <c:pt idx="14" formatCode="#,##0">
                  <c:v>11836</c:v>
                </c:pt>
              </c:numCache>
            </c:numRef>
          </c:val>
          <c:extLst xmlns:c16r2="http://schemas.microsoft.com/office/drawing/2015/06/char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1239378000"/>
        <c:axId val="1239367120"/>
      </c:barChart>
      <c:catAx>
        <c:axId val="1239378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39367120"/>
        <c:crosses val="autoZero"/>
        <c:auto val="1"/>
        <c:lblAlgn val="ctr"/>
        <c:lblOffset val="100"/>
        <c:tickLblSkip val="1"/>
        <c:tickMarkSkip val="1"/>
        <c:noMultiLvlLbl val="0"/>
      </c:catAx>
      <c:valAx>
        <c:axId val="123936712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39378000"/>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xmlns=""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xmlns=""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xmlns=""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xmlns=""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a16="http://schemas.microsoft.com/office/drawing/2014/main" xmlns=""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xmlns=""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a16="http://schemas.microsoft.com/office/drawing/2014/main" xmlns=""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xmlns=""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a16="http://schemas.microsoft.com/office/drawing/2014/main" xmlns=""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xmlns=""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a16="http://schemas.microsoft.com/office/drawing/2014/main" xmlns=""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xmlns=""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xmlns=""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xmlns=""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a16="http://schemas.microsoft.com/office/drawing/2014/main" xmlns=""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xmlns=""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a16="http://schemas.microsoft.com/office/drawing/2014/main" xmlns=""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xmlns=""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xmlns=""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xmlns=""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a16="http://schemas.microsoft.com/office/drawing/2014/main" xmlns=""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xmlns=""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xmlns=""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a16="http://schemas.microsoft.com/office/drawing/2014/main" xmlns=""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xmlns=""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xmlns=""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a16="http://schemas.microsoft.com/office/drawing/2014/main" xmlns=""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xmlns=""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xmlns=""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xmlns=""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xmlns=""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xmlns=""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15</xdr:col>
      <xdr:colOff>497898</xdr:colOff>
      <xdr:row>34</xdr:row>
      <xdr:rowOff>49071</xdr:rowOff>
    </xdr:from>
    <xdr:to>
      <xdr:col>15</xdr:col>
      <xdr:colOff>497898</xdr:colOff>
      <xdr:row>44</xdr:row>
      <xdr:rowOff>303071</xdr:rowOff>
    </xdr:to>
    <xdr:cxnSp macro="">
      <xdr:nvCxnSpPr>
        <xdr:cNvPr id="4254007" name="AutoShape 100">
          <a:extLst>
            <a:ext uri="{FF2B5EF4-FFF2-40B4-BE49-F238E27FC236}">
              <a16:creationId xmlns:a16="http://schemas.microsoft.com/office/drawing/2014/main" xmlns="" id="{00000000-0008-0000-0200-000037E94000}"/>
            </a:ext>
          </a:extLst>
        </xdr:cNvPr>
        <xdr:cNvCxnSpPr>
          <a:cxnSpLocks noChangeShapeType="1"/>
        </xdr:cNvCxnSpPr>
      </xdr:nvCxnSpPr>
      <xdr:spPr bwMode="auto">
        <a:xfrm rot="5400000">
          <a:off x="16645659" y="6951810"/>
          <a:ext cx="3310659"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a:extLst>
            <a:ext uri="{FF2B5EF4-FFF2-40B4-BE49-F238E27FC236}">
              <a16:creationId xmlns:a16="http://schemas.microsoft.com/office/drawing/2014/main" xmlns=""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xmlns=""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xmlns="" id="{00000000-0008-0000-0400-00000A945300}"/>
            </a:ext>
          </a:extLst>
        </xdr:cNvPr>
        <xdr:cNvGrpSpPr>
          <a:grpSpLocks/>
        </xdr:cNvGrpSpPr>
      </xdr:nvGrpSpPr>
      <xdr:grpSpPr bwMode="auto">
        <a:xfrm>
          <a:off x="3908714" y="2184977"/>
          <a:ext cx="3468831" cy="2206544"/>
          <a:chOff x="410" y="229"/>
          <a:chExt cx="366" cy="231"/>
        </a:xfrm>
      </xdr:grpSpPr>
      <xdr:graphicFrame macro="">
        <xdr:nvGraphicFramePr>
          <xdr:cNvPr id="5477390" name="Chart 31">
            <a:extLst>
              <a:ext uri="{FF2B5EF4-FFF2-40B4-BE49-F238E27FC236}">
                <a16:creationId xmlns:a16="http://schemas.microsoft.com/office/drawing/2014/main" xmlns=""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xmlns=""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xmlns="" id="{00000000-0008-0000-0400-00000B945300}"/>
            </a:ext>
          </a:extLst>
        </xdr:cNvPr>
        <xdr:cNvGrpSpPr>
          <a:grpSpLocks/>
        </xdr:cNvGrpSpPr>
      </xdr:nvGrpSpPr>
      <xdr:grpSpPr bwMode="auto">
        <a:xfrm>
          <a:off x="0" y="4814455"/>
          <a:ext cx="3870614" cy="2339949"/>
          <a:chOff x="0" y="505"/>
          <a:chExt cx="407" cy="245"/>
        </a:xfrm>
      </xdr:grpSpPr>
      <xdr:graphicFrame macro="">
        <xdr:nvGraphicFramePr>
          <xdr:cNvPr id="5477388" name="Chart 34">
            <a:extLst>
              <a:ext uri="{FF2B5EF4-FFF2-40B4-BE49-F238E27FC236}">
                <a16:creationId xmlns:a16="http://schemas.microsoft.com/office/drawing/2014/main" xmlns=""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xmlns=""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xmlns=""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xmlns=""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xmlns=""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xmlns=""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xmlns=""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xmlns=""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xmlns=""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xmlns=""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xmlns=""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a16="http://schemas.microsoft.com/office/drawing/2014/main" xmlns=""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xmlns=""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xmlns=""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a16="http://schemas.microsoft.com/office/drawing/2014/main" xmlns=""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xmlns=""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xmlns=""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a16="http://schemas.microsoft.com/office/drawing/2014/main" xmlns=""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xmlns=""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xmlns=""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a16="http://schemas.microsoft.com/office/drawing/2014/main" xmlns=""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xmlns=""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xmlns=""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P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P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P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P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P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P118" connectionId="0">
    <xmlCellPr id="1" uniqueName="1">
      <xmlPr mapId="43" xpath="/ns1:Root/ns1:Prog/ns1:Target_P7_1" xmlDataType="double"/>
    </xmlCellPr>
  </singleXmlCell>
  <singleXmlCell id="574" r="Q118" connectionId="0">
    <xmlCellPr id="1" uniqueName="1">
      <xmlPr mapId="43" xpath="/ns1:Root/ns1:Prog/ns1:Target_P8_1" xmlDataType="double"/>
    </xmlCellPr>
  </singleXmlCell>
  <singleXmlCell id="575" r="R118" connectionId="0">
    <xmlCellPr id="1" uniqueName="1">
      <xmlPr mapId="43" xpath="/ns1:Root/ns1:Prog/ns1:Target_P9_1" xmlDataType="double"/>
    </xmlCellPr>
  </singleXmlCell>
  <singleXmlCell id="576" r="S118" connectionId="0">
    <xmlCellPr id="1" uniqueName="1">
      <xmlPr mapId="43" xpath="/ns1:Root/ns1:Prog/ns1:Target_P10_1" xmlDataType="double"/>
    </xmlCellPr>
  </singleXmlCell>
  <singleXmlCell id="577" r="T118" connectionId="0">
    <xmlCellPr id="1" uniqueName="1">
      <xmlPr mapId="43" xpath="/ns1:Root/ns1:Prog/ns1:Target_P11_1" xmlDataType="double"/>
    </xmlCellPr>
  </singleXmlCell>
  <singleXmlCell id="578" r="V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P119" connectionId="0">
    <xmlCellPr id="1" uniqueName="1">
      <xmlPr mapId="43" xpath="/ns1:Root/ns1:Prog/ns1:Achieved__P7_1" xmlDataType="string"/>
    </xmlCellPr>
  </singleXmlCell>
  <singleXmlCell id="586" r="Q119" connectionId="0">
    <xmlCellPr id="1" uniqueName="1">
      <xmlPr mapId="43" xpath="/ns1:Root/ns1:Prog/ns1:Achieved__P8_1" xmlDataType="string"/>
    </xmlCellPr>
  </singleXmlCell>
  <singleXmlCell id="587" r="R119" connectionId="0">
    <xmlCellPr id="1" uniqueName="1">
      <xmlPr mapId="43" xpath="/ns1:Root/ns1:Prog/ns1:Achieved__P9_1" xmlDataType="string"/>
    </xmlCellPr>
  </singleXmlCell>
  <singleXmlCell id="588" r="S119" connectionId="0">
    <xmlCellPr id="1" uniqueName="1">
      <xmlPr mapId="43" xpath="/ns1:Root/ns1:Prog/ns1:Achieved__P10_1" xmlDataType="string"/>
    </xmlCellPr>
  </singleXmlCell>
  <singleXmlCell id="589" r="T119" connectionId="0">
    <xmlCellPr id="1" uniqueName="1">
      <xmlPr mapId="43" xpath="/ns1:Root/ns1:Prog/ns1:Achieved__P11_1" xmlDataType="string"/>
    </xmlCellPr>
  </singleXmlCell>
  <singleXmlCell id="590" r="V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P120" connectionId="0">
    <xmlCellPr id="1" uniqueName="1">
      <xmlPr mapId="43" xpath="/ns1:Root/ns1:Prog/ns1:Target_P7_2" xmlDataType="double"/>
    </xmlCellPr>
  </singleXmlCell>
  <singleXmlCell id="597" r="Q120" connectionId="0">
    <xmlCellPr id="1" uniqueName="1">
      <xmlPr mapId="43" xpath="/ns1:Root/ns1:Prog/ns1:Target_P8_2" xmlDataType="double"/>
    </xmlCellPr>
  </singleXmlCell>
  <singleXmlCell id="598" r="R120" connectionId="0">
    <xmlCellPr id="1" uniqueName="1">
      <xmlPr mapId="43" xpath="/ns1:Root/ns1:Prog/ns1:Target_P9_2" xmlDataType="double"/>
    </xmlCellPr>
  </singleXmlCell>
  <singleXmlCell id="599" r="S120" connectionId="0">
    <xmlCellPr id="1" uniqueName="1">
      <xmlPr mapId="43" xpath="/ns1:Root/ns1:Prog/ns1:Target_P10_2" xmlDataType="double"/>
    </xmlCellPr>
  </singleXmlCell>
  <singleXmlCell id="600" r="T120" connectionId="0">
    <xmlCellPr id="1" uniqueName="1">
      <xmlPr mapId="43" xpath="/ns1:Root/ns1:Prog/ns1:Target_P11_2" xmlDataType="double"/>
    </xmlCellPr>
  </singleXmlCell>
  <singleXmlCell id="601" r="V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P121" connectionId="0">
    <xmlCellPr id="1" uniqueName="1">
      <xmlPr mapId="43" xpath="/ns1:Root/ns1:Prog/ns1:Achieved__P7_2" xmlDataType="string"/>
    </xmlCellPr>
  </singleXmlCell>
  <singleXmlCell id="609" r="Q121" connectionId="0">
    <xmlCellPr id="1" uniqueName="1">
      <xmlPr mapId="43" xpath="/ns1:Root/ns1:Prog/ns1:Achieved__P8_2" xmlDataType="string"/>
    </xmlCellPr>
  </singleXmlCell>
  <singleXmlCell id="610" r="R121" connectionId="0">
    <xmlCellPr id="1" uniqueName="1">
      <xmlPr mapId="43" xpath="/ns1:Root/ns1:Prog/ns1:Achieved__P9_2" xmlDataType="string"/>
    </xmlCellPr>
  </singleXmlCell>
  <singleXmlCell id="611" r="S121" connectionId="0">
    <xmlCellPr id="1" uniqueName="1">
      <xmlPr mapId="43" xpath="/ns1:Root/ns1:Prog/ns1:Achieved__P10_2" xmlDataType="string"/>
    </xmlCellPr>
  </singleXmlCell>
  <singleXmlCell id="612" r="T121" connectionId="0">
    <xmlCellPr id="1" uniqueName="1">
      <xmlPr mapId="43" xpath="/ns1:Root/ns1:Prog/ns1:Achieved__P11_2" xmlDataType="string"/>
    </xmlCellPr>
  </singleXmlCell>
  <singleXmlCell id="613" r="V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P122" connectionId="0">
    <xmlCellPr id="1" uniqueName="1">
      <xmlPr mapId="43" xpath="/ns1:Root/ns1:Prog/ns1:Target_P7_3" xmlDataType="double"/>
    </xmlCellPr>
  </singleXmlCell>
  <singleXmlCell id="621" r="Q122" connectionId="0">
    <xmlCellPr id="1" uniqueName="1">
      <xmlPr mapId="43" xpath="/ns1:Root/ns1:Prog/ns1:Target_P8_3" xmlDataType="double"/>
    </xmlCellPr>
  </singleXmlCell>
  <singleXmlCell id="622" r="R122" connectionId="0">
    <xmlCellPr id="1" uniqueName="1">
      <xmlPr mapId="43" xpath="/ns1:Root/ns1:Prog/ns1:Target_P9_3" xmlDataType="double"/>
    </xmlCellPr>
  </singleXmlCell>
  <singleXmlCell id="623" r="S122" connectionId="0">
    <xmlCellPr id="1" uniqueName="1">
      <xmlPr mapId="43" xpath="/ns1:Root/ns1:Prog/ns1:Target_P10_3" xmlDataType="string"/>
    </xmlCellPr>
  </singleXmlCell>
  <singleXmlCell id="624" r="T122" connectionId="0">
    <xmlCellPr id="1" uniqueName="1">
      <xmlPr mapId="43" xpath="/ns1:Root/ns1:Prog/ns1:Target_P11_3" xmlDataType="string"/>
    </xmlCellPr>
  </singleXmlCell>
  <singleXmlCell id="625" r="V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P123" connectionId="0">
    <xmlCellPr id="1" uniqueName="1">
      <xmlPr mapId="43" xpath="/ns1:Root/ns1:Prog/ns1:Achieved__P7_3" xmlDataType="string"/>
    </xmlCellPr>
  </singleXmlCell>
  <singleXmlCell id="633" r="Q123" connectionId="0">
    <xmlCellPr id="1" uniqueName="1">
      <xmlPr mapId="43" xpath="/ns1:Root/ns1:Prog/ns1:Achieved__P8_3" xmlDataType="string"/>
    </xmlCellPr>
  </singleXmlCell>
  <singleXmlCell id="634" r="R123" connectionId="0">
    <xmlCellPr id="1" uniqueName="1">
      <xmlPr mapId="43" xpath="/ns1:Root/ns1:Prog/ns1:Achieved__P9_3" xmlDataType="string"/>
    </xmlCellPr>
  </singleXmlCell>
  <singleXmlCell id="635" r="S123" connectionId="0">
    <xmlCellPr id="1" uniqueName="1">
      <xmlPr mapId="43" xpath="/ns1:Root/ns1:Prog/ns1:Achieved__P10_3" xmlDataType="string"/>
    </xmlCellPr>
  </singleXmlCell>
  <singleXmlCell id="636" r="T123" connectionId="0">
    <xmlCellPr id="1" uniqueName="1">
      <xmlPr mapId="43" xpath="/ns1:Root/ns1:Prog/ns1:Achieved__P11_3" xmlDataType="string"/>
    </xmlCellPr>
  </singleXmlCell>
  <singleXmlCell id="637" r="V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P124" connectionId="0">
    <xmlCellPr id="1" uniqueName="1">
      <xmlPr mapId="43" xpath="/ns1:Root/ns1:Prog/ns1:Target_P7_4" xmlDataType="string"/>
    </xmlCellPr>
  </singleXmlCell>
  <singleXmlCell id="645" r="Q124" connectionId="0">
    <xmlCellPr id="1" uniqueName="1">
      <xmlPr mapId="43" xpath="/ns1:Root/ns1:Prog/ns1:Target_P8_4" xmlDataType="double"/>
    </xmlCellPr>
  </singleXmlCell>
  <singleXmlCell id="646" r="R124" connectionId="0">
    <xmlCellPr id="1" uniqueName="1">
      <xmlPr mapId="43" xpath="/ns1:Root/ns1:Prog/ns1:Target_P9_4" xmlDataType="string"/>
    </xmlCellPr>
  </singleXmlCell>
  <singleXmlCell id="647" r="S124" connectionId="0">
    <xmlCellPr id="1" uniqueName="1">
      <xmlPr mapId="43" xpath="/ns1:Root/ns1:Prog/ns1:Target_P10_4" xmlDataType="string"/>
    </xmlCellPr>
  </singleXmlCell>
  <singleXmlCell id="648" r="T124" connectionId="0">
    <xmlCellPr id="1" uniqueName="1">
      <xmlPr mapId="43" xpath="/ns1:Root/ns1:Prog/ns1:Target_P11_4" xmlDataType="string"/>
    </xmlCellPr>
  </singleXmlCell>
  <singleXmlCell id="649" r="V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P125" connectionId="0">
    <xmlCellPr id="1" uniqueName="1">
      <xmlPr mapId="43" xpath="/ns1:Root/ns1:Prog/ns1:Achieved__P7_4" xmlDataType="string"/>
    </xmlCellPr>
  </singleXmlCell>
  <singleXmlCell id="657" r="Q125" connectionId="0">
    <xmlCellPr id="1" uniqueName="1">
      <xmlPr mapId="43" xpath="/ns1:Root/ns1:Prog/ns1:Achieved__P8_4" xmlDataType="string"/>
    </xmlCellPr>
  </singleXmlCell>
  <singleXmlCell id="658" r="R125" connectionId="0">
    <xmlCellPr id="1" uniqueName="1">
      <xmlPr mapId="43" xpath="/ns1:Root/ns1:Prog/ns1:Achieved__P9_4" xmlDataType="string"/>
    </xmlCellPr>
  </singleXmlCell>
  <singleXmlCell id="659" r="S125" connectionId="0">
    <xmlCellPr id="1" uniqueName="1">
      <xmlPr mapId="43" xpath="/ns1:Root/ns1:Prog/ns1:Achieved__P10_4" xmlDataType="string"/>
    </xmlCellPr>
  </singleXmlCell>
  <singleXmlCell id="660" r="T125" connectionId="0">
    <xmlCellPr id="1" uniqueName="1">
      <xmlPr mapId="43" xpath="/ns1:Root/ns1:Prog/ns1:Achieved__P11_4" xmlDataType="string"/>
    </xmlCellPr>
  </singleXmlCell>
  <singleXmlCell id="661" r="V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P126" connectionId="0">
    <xmlCellPr id="1" uniqueName="1">
      <xmlPr mapId="43" xpath="/ns1:Root/ns1:Prog/ns1:Target_P7_5" xmlDataType="double"/>
    </xmlCellPr>
  </singleXmlCell>
  <singleXmlCell id="669" r="Q126" connectionId="0">
    <xmlCellPr id="1" uniqueName="1">
      <xmlPr mapId="43" xpath="/ns1:Root/ns1:Prog/ns1:Target_P8_5" xmlDataType="double"/>
    </xmlCellPr>
  </singleXmlCell>
  <singleXmlCell id="670" r="R126" connectionId="0">
    <xmlCellPr id="1" uniqueName="1">
      <xmlPr mapId="43" xpath="/ns1:Root/ns1:Prog/ns1:Target_P9_5" xmlDataType="double"/>
    </xmlCellPr>
  </singleXmlCell>
  <singleXmlCell id="671" r="S126" connectionId="0">
    <xmlCellPr id="1" uniqueName="1">
      <xmlPr mapId="43" xpath="/ns1:Root/ns1:Prog/ns1:Target_P10_5" xmlDataType="double"/>
    </xmlCellPr>
  </singleXmlCell>
  <singleXmlCell id="672" r="T126" connectionId="0">
    <xmlCellPr id="1" uniqueName="1">
      <xmlPr mapId="43" xpath="/ns1:Root/ns1:Prog/ns1:Target_P11_5" xmlDataType="double"/>
    </xmlCellPr>
  </singleXmlCell>
  <singleXmlCell id="673" r="V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P127" connectionId="0">
    <xmlCellPr id="1" uniqueName="1">
      <xmlPr mapId="43" xpath="/ns1:Root/ns1:Prog/ns1:Achieved__P7_5" xmlDataType="string"/>
    </xmlCellPr>
  </singleXmlCell>
  <singleXmlCell id="681" r="Q127" connectionId="0">
    <xmlCellPr id="1" uniqueName="1">
      <xmlPr mapId="43" xpath="/ns1:Root/ns1:Prog/ns1:Achieved__P8_5" xmlDataType="string"/>
    </xmlCellPr>
  </singleXmlCell>
  <singleXmlCell id="682" r="R127" connectionId="0">
    <xmlCellPr id="1" uniqueName="1">
      <xmlPr mapId="43" xpath="/ns1:Root/ns1:Prog/ns1:Achieved__P9_5" xmlDataType="string"/>
    </xmlCellPr>
  </singleXmlCell>
  <singleXmlCell id="683" r="S127" connectionId="0">
    <xmlCellPr id="1" uniqueName="1">
      <xmlPr mapId="43" xpath="/ns1:Root/ns1:Prog/ns1:Achieved__P10_5" xmlDataType="string"/>
    </xmlCellPr>
  </singleXmlCell>
  <singleXmlCell id="684" r="T127" connectionId="0">
    <xmlCellPr id="1" uniqueName="1">
      <xmlPr mapId="43" xpath="/ns1:Root/ns1:Prog/ns1:Achieved__P11_5" xmlDataType="string"/>
    </xmlCellPr>
  </singleXmlCell>
  <singleXmlCell id="685" r="V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P128" connectionId="0">
    <xmlCellPr id="1" uniqueName="1">
      <xmlPr mapId="43" xpath="/ns1:Root/ns1:Prog/ns1:Target_P7_6" xmlDataType="double"/>
    </xmlCellPr>
  </singleXmlCell>
  <singleXmlCell id="693" r="Q128" connectionId="0">
    <xmlCellPr id="1" uniqueName="1">
      <xmlPr mapId="43" xpath="/ns1:Root/ns1:Prog/ns1:Target_P8_6" xmlDataType="double"/>
    </xmlCellPr>
  </singleXmlCell>
  <singleXmlCell id="694" r="R128" connectionId="0">
    <xmlCellPr id="1" uniqueName="1">
      <xmlPr mapId="43" xpath="/ns1:Root/ns1:Prog/ns1:Target_P9_6" xmlDataType="double"/>
    </xmlCellPr>
  </singleXmlCell>
  <singleXmlCell id="695" r="S128" connectionId="0">
    <xmlCellPr id="1" uniqueName="1">
      <xmlPr mapId="43" xpath="/ns1:Root/ns1:Prog/ns1:Target_P10_6" xmlDataType="double"/>
    </xmlCellPr>
  </singleXmlCell>
  <singleXmlCell id="696" r="T128" connectionId="0">
    <xmlCellPr id="1" uniqueName="1">
      <xmlPr mapId="43" xpath="/ns1:Root/ns1:Prog/ns1:Target_P11_6" xmlDataType="double"/>
    </xmlCellPr>
  </singleXmlCell>
  <singleXmlCell id="697" r="V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P129" connectionId="0">
    <xmlCellPr id="1" uniqueName="1">
      <xmlPr mapId="43" xpath="/ns1:Root/ns1:Prog/ns1:Achieved__P7_6" xmlDataType="string"/>
    </xmlCellPr>
  </singleXmlCell>
  <singleXmlCell id="705" r="Q129" connectionId="0">
    <xmlCellPr id="1" uniqueName="1">
      <xmlPr mapId="43" xpath="/ns1:Root/ns1:Prog/ns1:Achieved__P8_6" xmlDataType="string"/>
    </xmlCellPr>
  </singleXmlCell>
  <singleXmlCell id="706" r="R129" connectionId="0">
    <xmlCellPr id="1" uniqueName="1">
      <xmlPr mapId="43" xpath="/ns1:Root/ns1:Prog/ns1:Achieved__P9_6" xmlDataType="string"/>
    </xmlCellPr>
  </singleXmlCell>
  <singleXmlCell id="707" r="S129" connectionId="0">
    <xmlCellPr id="1" uniqueName="1">
      <xmlPr mapId="43" xpath="/ns1:Root/ns1:Prog/ns1:Achieved__P10_6" xmlDataType="string"/>
    </xmlCellPr>
  </singleXmlCell>
  <singleXmlCell id="708" r="T129" connectionId="0">
    <xmlCellPr id="1" uniqueName="1">
      <xmlPr mapId="43" xpath="/ns1:Root/ns1:Prog/ns1:Achieved__P11_6" xmlDataType="string"/>
    </xmlCellPr>
  </singleXmlCell>
  <singleXmlCell id="709" r="V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P130" connectionId="0">
    <xmlCellPr id="1" uniqueName="1">
      <xmlPr mapId="43" xpath="/ns1:Root/ns1:Prog/ns1:Target_P7_7" xmlDataType="double"/>
    </xmlCellPr>
  </singleXmlCell>
  <singleXmlCell id="717" r="Q130" connectionId="0">
    <xmlCellPr id="1" uniqueName="1">
      <xmlPr mapId="43" xpath="/ns1:Root/ns1:Prog/ns1:Target_P8_7" xmlDataType="double"/>
    </xmlCellPr>
  </singleXmlCell>
  <singleXmlCell id="718" r="R130" connectionId="0">
    <xmlCellPr id="1" uniqueName="1">
      <xmlPr mapId="43" xpath="/ns1:Root/ns1:Prog/ns1:Target_P9_7" xmlDataType="double"/>
    </xmlCellPr>
  </singleXmlCell>
  <singleXmlCell id="719" r="S130" connectionId="0">
    <xmlCellPr id="1" uniqueName="1">
      <xmlPr mapId="43" xpath="/ns1:Root/ns1:Prog/ns1:Target_P10_7" xmlDataType="double"/>
    </xmlCellPr>
  </singleXmlCell>
  <singleXmlCell id="720" r="T130" connectionId="0">
    <xmlCellPr id="1" uniqueName="1">
      <xmlPr mapId="43" xpath="/ns1:Root/ns1:Prog/ns1:Target_P11_7" xmlDataType="double"/>
    </xmlCellPr>
  </singleXmlCell>
  <singleXmlCell id="721" r="V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P131" connectionId="0">
    <xmlCellPr id="1" uniqueName="1">
      <xmlPr mapId="43" xpath="/ns1:Root/ns1:Prog/ns1:Achieved__P7_7" xmlDataType="string"/>
    </xmlCellPr>
  </singleXmlCell>
  <singleXmlCell id="729" r="Q131" connectionId="0">
    <xmlCellPr id="1" uniqueName="1">
      <xmlPr mapId="43" xpath="/ns1:Root/ns1:Prog/ns1:Achieved__P8_7" xmlDataType="string"/>
    </xmlCellPr>
  </singleXmlCell>
  <singleXmlCell id="730" r="R131" connectionId="0">
    <xmlCellPr id="1" uniqueName="1">
      <xmlPr mapId="43" xpath="/ns1:Root/ns1:Prog/ns1:Achieved__P9_7" xmlDataType="string"/>
    </xmlCellPr>
  </singleXmlCell>
  <singleXmlCell id="731" r="S131" connectionId="0">
    <xmlCellPr id="1" uniqueName="1">
      <xmlPr mapId="43" xpath="/ns1:Root/ns1:Prog/ns1:Achieved__P10_7" xmlDataType="string"/>
    </xmlCellPr>
  </singleXmlCell>
  <singleXmlCell id="732" r="T131" connectionId="0">
    <xmlCellPr id="1" uniqueName="1">
      <xmlPr mapId="43" xpath="/ns1:Root/ns1:Prog/ns1:Achieved__P11_7" xmlDataType="string"/>
    </xmlCellPr>
  </singleXmlCell>
  <singleXmlCell id="733" r="V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P132" connectionId="0">
    <xmlCellPr id="1" uniqueName="1">
      <xmlPr mapId="43" xpath="/ns1:Root/ns1:Prog/ns1:Target_P7_8" xmlDataType="string"/>
    </xmlCellPr>
  </singleXmlCell>
  <singleXmlCell id="741" r="Q132" connectionId="0">
    <xmlCellPr id="1" uniqueName="1">
      <xmlPr mapId="43" xpath="/ns1:Root/ns1:Prog/ns1:Target_P8_8" xmlDataType="double"/>
    </xmlCellPr>
  </singleXmlCell>
  <singleXmlCell id="742" r="R132" connectionId="0">
    <xmlCellPr id="1" uniqueName="1">
      <xmlPr mapId="43" xpath="/ns1:Root/ns1:Prog/ns1:Target_P9_8" xmlDataType="double"/>
    </xmlCellPr>
  </singleXmlCell>
  <singleXmlCell id="743" r="S132" connectionId="0">
    <xmlCellPr id="1" uniqueName="1">
      <xmlPr mapId="43" xpath="/ns1:Root/ns1:Prog/ns1:Target_P10_8" xmlDataType="double"/>
    </xmlCellPr>
  </singleXmlCell>
  <singleXmlCell id="744" r="T132" connectionId="0">
    <xmlCellPr id="1" uniqueName="1">
      <xmlPr mapId="43" xpath="/ns1:Root/ns1:Prog/ns1:Target_P11_8" xmlDataType="double"/>
    </xmlCellPr>
  </singleXmlCell>
  <singleXmlCell id="745" r="V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P133" connectionId="0">
    <xmlCellPr id="1" uniqueName="1">
      <xmlPr mapId="43" xpath="/ns1:Root/ns1:Prog/ns1:Achieved__P7_8" xmlDataType="string"/>
    </xmlCellPr>
  </singleXmlCell>
  <singleXmlCell id="753" r="Q133" connectionId="0">
    <xmlCellPr id="1" uniqueName="1">
      <xmlPr mapId="43" xpath="/ns1:Root/ns1:Prog/ns1:Achieved__P8_8" xmlDataType="string"/>
    </xmlCellPr>
  </singleXmlCell>
  <singleXmlCell id="754" r="R133" connectionId="0">
    <xmlCellPr id="1" uniqueName="1">
      <xmlPr mapId="43" xpath="/ns1:Root/ns1:Prog/ns1:Achieved__P9_8" xmlDataType="string"/>
    </xmlCellPr>
  </singleXmlCell>
  <singleXmlCell id="755" r="S133" connectionId="0">
    <xmlCellPr id="1" uniqueName="1">
      <xmlPr mapId="43" xpath="/ns1:Root/ns1:Prog/ns1:Achieved__P10_8" xmlDataType="string"/>
    </xmlCellPr>
  </singleXmlCell>
  <singleXmlCell id="756" r="T133" connectionId="0">
    <xmlCellPr id="1" uniqueName="1">
      <xmlPr mapId="43" xpath="/ns1:Root/ns1:Prog/ns1:Achieved__P11_8" xmlDataType="string"/>
    </xmlCellPr>
  </singleXmlCell>
  <singleXmlCell id="757" r="V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P134" connectionId="0">
    <xmlCellPr id="1" uniqueName="1">
      <xmlPr mapId="43" xpath="/ns1:Root/ns1:Prog/ns1:Target_P7_9" xmlDataType="double"/>
    </xmlCellPr>
  </singleXmlCell>
  <singleXmlCell id="765" r="Q134" connectionId="0">
    <xmlCellPr id="1" uniqueName="1">
      <xmlPr mapId="43" xpath="/ns1:Root/ns1:Prog/ns1:Target_P8_9" xmlDataType="double"/>
    </xmlCellPr>
  </singleXmlCell>
  <singleXmlCell id="766" r="R134" connectionId="0">
    <xmlCellPr id="1" uniqueName="1">
      <xmlPr mapId="43" xpath="/ns1:Root/ns1:Prog/ns1:Target_P9_9" xmlDataType="double"/>
    </xmlCellPr>
  </singleXmlCell>
  <singleXmlCell id="767" r="S134" connectionId="0">
    <xmlCellPr id="1" uniqueName="1">
      <xmlPr mapId="43" xpath="/ns1:Root/ns1:Prog/ns1:Target_P10_9" xmlDataType="double"/>
    </xmlCellPr>
  </singleXmlCell>
  <singleXmlCell id="768" r="T134" connectionId="0">
    <xmlCellPr id="1" uniqueName="1">
      <xmlPr mapId="43" xpath="/ns1:Root/ns1:Prog/ns1:Target_P11_9" xmlDataType="double"/>
    </xmlCellPr>
  </singleXmlCell>
  <singleXmlCell id="769" r="U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P135" connectionId="0">
    <xmlCellPr id="1" uniqueName="1">
      <xmlPr mapId="43" xpath="/ns1:Root/ns1:Prog/ns1:Achieved__P7_9" xmlDataType="string"/>
    </xmlCellPr>
  </singleXmlCell>
  <singleXmlCell id="777" r="Q135" connectionId="0">
    <xmlCellPr id="1" uniqueName="1">
      <xmlPr mapId="43" xpath="/ns1:Root/ns1:Prog/ns1:Achieved__P8_9" xmlDataType="string"/>
    </xmlCellPr>
  </singleXmlCell>
  <singleXmlCell id="778" r="R135" connectionId="0">
    <xmlCellPr id="1" uniqueName="1">
      <xmlPr mapId="43" xpath="/ns1:Root/ns1:Prog/ns1:Achieved__P9_9" xmlDataType="string"/>
    </xmlCellPr>
  </singleXmlCell>
  <singleXmlCell id="779" r="S135" connectionId="0">
    <xmlCellPr id="1" uniqueName="1">
      <xmlPr mapId="43" xpath="/ns1:Root/ns1:Prog/ns1:Achieved__P10_9" xmlDataType="string"/>
    </xmlCellPr>
  </singleXmlCell>
  <singleXmlCell id="780" r="T135" connectionId="0">
    <xmlCellPr id="1" uniqueName="1">
      <xmlPr mapId="43" xpath="/ns1:Root/ns1:Prog/ns1:Achieved__P11_9" xmlDataType="string"/>
    </xmlCellPr>
  </singleXmlCell>
  <singleXmlCell id="781" r="U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P136" connectionId="0">
    <xmlCellPr id="1" uniqueName="1">
      <xmlPr mapId="43" xpath="/ns1:Root/ns1:Prog/ns1:Target_P7" xmlDataType="string"/>
    </xmlCellPr>
  </singleXmlCell>
  <singleXmlCell id="789" r="Q136" connectionId="0">
    <xmlCellPr id="1" uniqueName="1">
      <xmlPr mapId="43" xpath="/ns1:Root/ns1:Prog/ns1:Target_P8" xmlDataType="string"/>
    </xmlCellPr>
  </singleXmlCell>
  <singleXmlCell id="790" r="R136" connectionId="0">
    <xmlCellPr id="1" uniqueName="1">
      <xmlPr mapId="43" xpath="/ns1:Root/ns1:Prog/ns1:Target_P9" xmlDataType="string"/>
    </xmlCellPr>
  </singleXmlCell>
  <singleXmlCell id="791" r="S136" connectionId="0">
    <xmlCellPr id="1" uniqueName="1">
      <xmlPr mapId="43" xpath="/ns1:Root/ns1:Prog/ns1:Target_P10" xmlDataType="string"/>
    </xmlCellPr>
  </singleXmlCell>
  <singleXmlCell id="792" r="T136" connectionId="0">
    <xmlCellPr id="1" uniqueName="1">
      <xmlPr mapId="43" xpath="/ns1:Root/ns1:Prog/ns1:Target_P11" xmlDataType="string"/>
    </xmlCellPr>
  </singleXmlCell>
  <singleXmlCell id="793" r="U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P137" connectionId="0">
    <xmlCellPr id="1" uniqueName="1">
      <xmlPr mapId="43" xpath="/ns1:Root/ns1:Prog/ns1:Achieved__P7" xmlDataType="string"/>
    </xmlCellPr>
  </singleXmlCell>
  <singleXmlCell id="801" r="Q137" connectionId="0">
    <xmlCellPr id="1" uniqueName="1">
      <xmlPr mapId="43" xpath="/ns1:Root/ns1:Prog/ns1:Achieved__P8" xmlDataType="string"/>
    </xmlCellPr>
  </singleXmlCell>
  <singleXmlCell id="802" r="R137" connectionId="0">
    <xmlCellPr id="1" uniqueName="1">
      <xmlPr mapId="43" xpath="/ns1:Root/ns1:Prog/ns1:Achieved__P9" xmlDataType="string"/>
    </xmlCellPr>
  </singleXmlCell>
  <singleXmlCell id="803" r="S137" connectionId="0">
    <xmlCellPr id="1" uniqueName="1">
      <xmlPr mapId="43" xpath="/ns1:Root/ns1:Prog/ns1:Achieved__P10" xmlDataType="string"/>
    </xmlCellPr>
  </singleXmlCell>
  <singleXmlCell id="804" r="T137" connectionId="0">
    <xmlCellPr id="1" uniqueName="1">
      <xmlPr mapId="43" xpath="/ns1:Root/ns1:Prog/ns1:Achieved__P11" xmlDataType="string"/>
    </xmlCellPr>
  </singleXmlCell>
  <singleXmlCell id="805" r="U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02" t="str">
        <f>+'Grant Detail'!B3:J3</f>
        <v>Dashboard:  Georgia - HIV / AIDS</v>
      </c>
      <c r="C2" s="502"/>
      <c r="D2" s="502"/>
      <c r="E2" s="502"/>
      <c r="F2" s="502"/>
      <c r="G2" s="502"/>
      <c r="H2" s="502"/>
      <c r="I2" s="502"/>
      <c r="J2" s="502"/>
      <c r="K2" s="502"/>
      <c r="L2" s="502"/>
      <c r="M2" s="1"/>
      <c r="N2" s="1"/>
      <c r="O2" s="1"/>
    </row>
    <row r="4" spans="2:15" ht="21">
      <c r="B4" s="503" t="str">
        <f>+IF('Data Entry'!G6="Please Select", "",'Data Entry'!G6) &amp;"  "&amp;+IF('Data Entry'!G8="Please Select", "", 'Data Entry'!G8&amp;",  ")&amp;+IF('Data Entry'!I8="Please Select","",'Data Entry'!I8)</f>
        <v>HIV / AIDS  NFM,  N/A</v>
      </c>
      <c r="C4" s="503"/>
      <c r="D4" s="503"/>
      <c r="E4" s="504"/>
      <c r="F4" s="184"/>
      <c r="G4" s="184"/>
      <c r="H4" s="183" t="str">
        <f>+'Data Entry'!B6&amp;" "&amp;+'Data Entry'!C6</f>
        <v>Grant No.: GEO-H-NCDC</v>
      </c>
      <c r="I4" s="183"/>
      <c r="J4" s="183"/>
      <c r="K4" s="184"/>
      <c r="L4" s="184"/>
    </row>
    <row r="22" spans="2:12" ht="26.25">
      <c r="B22" s="505" t="s">
        <v>402</v>
      </c>
      <c r="C22" s="506"/>
      <c r="D22" s="506"/>
      <c r="E22" s="506"/>
      <c r="F22" s="506"/>
      <c r="G22" s="506"/>
      <c r="H22" s="506"/>
      <c r="I22" s="506"/>
      <c r="J22" s="506"/>
      <c r="K22" s="506"/>
      <c r="L22" s="506"/>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3" ht="25.5" customHeight="1"/>
    <row r="3" spans="2:13" ht="36">
      <c r="B3" s="912" t="str">
        <f>'Grant Detail'!B3:J3</f>
        <v>Dashboard:  Georgia - HIV / AIDS</v>
      </c>
      <c r="C3" s="912"/>
      <c r="D3" s="912"/>
      <c r="E3" s="912"/>
      <c r="F3" s="912"/>
      <c r="G3" s="912"/>
      <c r="H3" s="912"/>
      <c r="I3" s="1"/>
    </row>
    <row r="6" spans="2:13" ht="18.75">
      <c r="B6" s="873" t="s">
        <v>317</v>
      </c>
      <c r="C6" s="873"/>
      <c r="D6" s="873"/>
      <c r="E6" s="873"/>
      <c r="F6" s="873"/>
      <c r="G6" s="873"/>
      <c r="H6" s="873"/>
    </row>
    <row r="8" spans="2:13" ht="18.75">
      <c r="B8" s="48" t="s">
        <v>32</v>
      </c>
      <c r="C8" s="48" t="s">
        <v>35</v>
      </c>
      <c r="D8" s="48" t="s">
        <v>36</v>
      </c>
      <c r="E8" s="48" t="s">
        <v>41</v>
      </c>
      <c r="F8" s="48" t="s">
        <v>284</v>
      </c>
      <c r="G8" s="48" t="s">
        <v>264</v>
      </c>
      <c r="H8" s="48" t="s">
        <v>291</v>
      </c>
      <c r="I8" s="48" t="s">
        <v>87</v>
      </c>
      <c r="J8" s="48" t="s">
        <v>128</v>
      </c>
    </row>
    <row r="9" spans="2:13">
      <c r="B9" s="67" t="s">
        <v>370</v>
      </c>
      <c r="C9" s="67" t="s">
        <v>370</v>
      </c>
      <c r="D9" s="67" t="s">
        <v>370</v>
      </c>
      <c r="E9" s="67" t="s">
        <v>370</v>
      </c>
      <c r="F9" s="67" t="s">
        <v>370</v>
      </c>
      <c r="G9" s="67" t="s">
        <v>370</v>
      </c>
      <c r="H9" s="67" t="s">
        <v>370</v>
      </c>
      <c r="I9" s="336" t="s">
        <v>370</v>
      </c>
      <c r="J9" s="67" t="s">
        <v>370</v>
      </c>
    </row>
    <row r="10" spans="2:13">
      <c r="B10" s="43" t="s">
        <v>27</v>
      </c>
      <c r="C10" s="43" t="s">
        <v>18</v>
      </c>
      <c r="D10" s="43" t="s">
        <v>16</v>
      </c>
      <c r="E10" s="43" t="s">
        <v>17</v>
      </c>
      <c r="F10" s="43" t="s">
        <v>105</v>
      </c>
      <c r="G10" s="43" t="s">
        <v>43</v>
      </c>
      <c r="H10" s="46" t="s">
        <v>48</v>
      </c>
      <c r="I10" s="20" t="s">
        <v>297</v>
      </c>
      <c r="J10" s="67" t="s">
        <v>129</v>
      </c>
    </row>
    <row r="11" spans="2:13">
      <c r="B11" s="43" t="s">
        <v>33</v>
      </c>
      <c r="C11" s="43" t="s">
        <v>13</v>
      </c>
      <c r="D11" s="43" t="s">
        <v>19</v>
      </c>
      <c r="E11" s="43" t="s">
        <v>15</v>
      </c>
      <c r="F11" s="43" t="s">
        <v>106</v>
      </c>
      <c r="G11" s="43" t="s">
        <v>44</v>
      </c>
      <c r="H11" s="46" t="s">
        <v>49</v>
      </c>
      <c r="I11" s="20" t="s">
        <v>298</v>
      </c>
      <c r="J11" s="67" t="s">
        <v>130</v>
      </c>
    </row>
    <row r="12" spans="2:13">
      <c r="B12" s="43" t="s">
        <v>34</v>
      </c>
      <c r="D12" s="43" t="s">
        <v>22</v>
      </c>
      <c r="E12" s="43" t="s">
        <v>23</v>
      </c>
      <c r="F12" s="43" t="s">
        <v>107</v>
      </c>
      <c r="G12" s="43" t="s">
        <v>45</v>
      </c>
      <c r="H12" s="46" t="s">
        <v>50</v>
      </c>
      <c r="I12" s="20" t="s">
        <v>299</v>
      </c>
      <c r="J12" s="67" t="s">
        <v>131</v>
      </c>
      <c r="M12" s="160"/>
    </row>
    <row r="13" spans="2:13">
      <c r="B13" s="43" t="s">
        <v>83</v>
      </c>
      <c r="D13" s="43" t="s">
        <v>24</v>
      </c>
      <c r="E13" s="44"/>
      <c r="F13" s="43" t="s">
        <v>108</v>
      </c>
      <c r="G13" s="43" t="s">
        <v>46</v>
      </c>
      <c r="H13" s="46" t="s">
        <v>51</v>
      </c>
      <c r="I13" s="20" t="s">
        <v>300</v>
      </c>
      <c r="J13" s="67" t="s">
        <v>132</v>
      </c>
      <c r="M13" s="160"/>
    </row>
    <row r="14" spans="2:13">
      <c r="B14" s="43" t="s">
        <v>84</v>
      </c>
      <c r="D14" s="43" t="s">
        <v>37</v>
      </c>
      <c r="F14" s="43" t="s">
        <v>120</v>
      </c>
      <c r="G14" s="43" t="s">
        <v>47</v>
      </c>
      <c r="H14" s="46" t="s">
        <v>52</v>
      </c>
      <c r="I14" s="20" t="s">
        <v>269</v>
      </c>
      <c r="J14" s="67" t="s">
        <v>133</v>
      </c>
      <c r="M14" s="160"/>
    </row>
    <row r="15" spans="2:13">
      <c r="D15" s="43" t="s">
        <v>38</v>
      </c>
      <c r="F15" s="43" t="s">
        <v>121</v>
      </c>
      <c r="H15" s="46" t="s">
        <v>53</v>
      </c>
      <c r="I15" s="20" t="s">
        <v>70</v>
      </c>
      <c r="J15" s="67" t="s">
        <v>134</v>
      </c>
      <c r="M15" s="160"/>
    </row>
    <row r="16" spans="2:13">
      <c r="D16" s="43" t="s">
        <v>39</v>
      </c>
      <c r="F16" s="43" t="s">
        <v>122</v>
      </c>
      <c r="H16" s="46" t="s">
        <v>54</v>
      </c>
      <c r="I16" s="20" t="s">
        <v>71</v>
      </c>
      <c r="J16" s="67" t="s">
        <v>135</v>
      </c>
      <c r="M16" s="160"/>
    </row>
    <row r="17" spans="4:13">
      <c r="D17" s="43" t="s">
        <v>40</v>
      </c>
      <c r="F17" s="43" t="s">
        <v>123</v>
      </c>
      <c r="H17" s="46" t="s">
        <v>55</v>
      </c>
      <c r="I17" s="20" t="s">
        <v>72</v>
      </c>
      <c r="J17" s="67" t="s">
        <v>136</v>
      </c>
      <c r="M17" s="160"/>
    </row>
    <row r="18" spans="4:13">
      <c r="D18" s="43" t="s">
        <v>14</v>
      </c>
      <c r="F18" s="43" t="s">
        <v>124</v>
      </c>
      <c r="H18" s="46" t="s">
        <v>56</v>
      </c>
      <c r="I18" s="20" t="s">
        <v>73</v>
      </c>
      <c r="J18" s="67" t="s">
        <v>137</v>
      </c>
      <c r="M18" s="160"/>
    </row>
    <row r="19" spans="4:13">
      <c r="D19" s="340" t="s">
        <v>366</v>
      </c>
      <c r="F19" s="43" t="s">
        <v>125</v>
      </c>
      <c r="H19" s="46" t="s">
        <v>57</v>
      </c>
      <c r="I19" s="20" t="s">
        <v>74</v>
      </c>
      <c r="J19" s="67" t="s">
        <v>138</v>
      </c>
      <c r="M19" s="160"/>
    </row>
    <row r="20" spans="4:13">
      <c r="D20" s="45"/>
      <c r="F20" s="43" t="s">
        <v>126</v>
      </c>
      <c r="H20" s="46" t="s">
        <v>261</v>
      </c>
      <c r="I20" s="20" t="s">
        <v>75</v>
      </c>
      <c r="J20" s="67" t="s">
        <v>139</v>
      </c>
    </row>
    <row r="21" spans="4:13">
      <c r="D21" s="47"/>
      <c r="F21" s="43" t="s">
        <v>285</v>
      </c>
      <c r="H21" s="47"/>
      <c r="I21" s="20" t="s">
        <v>77</v>
      </c>
      <c r="J21" s="67" t="s">
        <v>140</v>
      </c>
    </row>
    <row r="22" spans="4:13">
      <c r="H22" s="47"/>
      <c r="I22" s="20" t="s">
        <v>78</v>
      </c>
      <c r="J22" s="67" t="s">
        <v>141</v>
      </c>
    </row>
    <row r="23" spans="4:13">
      <c r="I23" s="20" t="s">
        <v>76</v>
      </c>
      <c r="J23" s="67" t="s">
        <v>142</v>
      </c>
    </row>
    <row r="24" spans="4:13">
      <c r="I24" s="20" t="s">
        <v>308</v>
      </c>
      <c r="J24" s="67" t="s">
        <v>143</v>
      </c>
    </row>
    <row r="25" spans="4:13">
      <c r="I25" s="32"/>
      <c r="J25" s="67" t="s">
        <v>144</v>
      </c>
    </row>
    <row r="26" spans="4:13">
      <c r="I26" s="20" t="s">
        <v>312</v>
      </c>
      <c r="J26" s="67" t="s">
        <v>145</v>
      </c>
    </row>
    <row r="27" spans="4:13">
      <c r="I27" s="20" t="s">
        <v>307</v>
      </c>
      <c r="J27" s="67" t="s">
        <v>146</v>
      </c>
    </row>
    <row r="28" spans="4:13">
      <c r="I28" s="32"/>
      <c r="J28" s="67" t="s">
        <v>147</v>
      </c>
    </row>
    <row r="29" spans="4:13">
      <c r="I29" s="32"/>
      <c r="J29" s="67" t="s">
        <v>148</v>
      </c>
    </row>
    <row r="30" spans="4:13">
      <c r="I30" s="32"/>
      <c r="J30" s="67" t="s">
        <v>149</v>
      </c>
    </row>
    <row r="31" spans="4:13">
      <c r="J31" s="67" t="s">
        <v>150</v>
      </c>
    </row>
    <row r="32" spans="4:13">
      <c r="J32" s="67" t="s">
        <v>151</v>
      </c>
    </row>
    <row r="33" spans="10:10">
      <c r="J33" s="67" t="s">
        <v>152</v>
      </c>
    </row>
    <row r="34" spans="10:10">
      <c r="J34" s="67" t="s">
        <v>153</v>
      </c>
    </row>
    <row r="35" spans="10:10">
      <c r="J35" s="67" t="s">
        <v>154</v>
      </c>
    </row>
    <row r="36" spans="10:10">
      <c r="J36" s="67" t="s">
        <v>154</v>
      </c>
    </row>
    <row r="37" spans="10:10">
      <c r="J37" s="67" t="s">
        <v>155</v>
      </c>
    </row>
    <row r="38" spans="10:10">
      <c r="J38" s="67" t="s">
        <v>156</v>
      </c>
    </row>
    <row r="39" spans="10:10">
      <c r="J39" s="67" t="s">
        <v>157</v>
      </c>
    </row>
    <row r="40" spans="10:10">
      <c r="J40" s="67" t="s">
        <v>158</v>
      </c>
    </row>
    <row r="41" spans="10:10">
      <c r="J41" s="67" t="s">
        <v>159</v>
      </c>
    </row>
    <row r="42" spans="10:10">
      <c r="J42" s="67" t="s">
        <v>160</v>
      </c>
    </row>
    <row r="43" spans="10:10">
      <c r="J43" s="67" t="s">
        <v>161</v>
      </c>
    </row>
    <row r="44" spans="10:10">
      <c r="J44" s="67" t="s">
        <v>162</v>
      </c>
    </row>
    <row r="45" spans="10:10">
      <c r="J45" s="67" t="s">
        <v>163</v>
      </c>
    </row>
    <row r="46" spans="10:10">
      <c r="J46" s="67" t="s">
        <v>164</v>
      </c>
    </row>
    <row r="47" spans="10:10">
      <c r="J47" s="67" t="s">
        <v>165</v>
      </c>
    </row>
    <row r="48" spans="10:10">
      <c r="J48" s="67" t="s">
        <v>166</v>
      </c>
    </row>
    <row r="49" spans="10:10">
      <c r="J49" s="67" t="s">
        <v>167</v>
      </c>
    </row>
    <row r="50" spans="10:10">
      <c r="J50" s="67" t="s">
        <v>168</v>
      </c>
    </row>
    <row r="51" spans="10:10">
      <c r="J51" s="67" t="s">
        <v>169</v>
      </c>
    </row>
    <row r="52" spans="10:10">
      <c r="J52" s="67" t="s">
        <v>170</v>
      </c>
    </row>
    <row r="53" spans="10:10">
      <c r="J53" s="67" t="s">
        <v>171</v>
      </c>
    </row>
    <row r="54" spans="10:10">
      <c r="J54" s="67" t="s">
        <v>172</v>
      </c>
    </row>
    <row r="55" spans="10:10">
      <c r="J55" s="67" t="s">
        <v>173</v>
      </c>
    </row>
    <row r="56" spans="10:10">
      <c r="J56" s="67" t="s">
        <v>174</v>
      </c>
    </row>
    <row r="57" spans="10:10">
      <c r="J57" s="67" t="s">
        <v>175</v>
      </c>
    </row>
    <row r="58" spans="10:10">
      <c r="J58" s="67" t="s">
        <v>176</v>
      </c>
    </row>
    <row r="59" spans="10:10">
      <c r="J59" s="67" t="s">
        <v>177</v>
      </c>
    </row>
    <row r="60" spans="10:10">
      <c r="J60" s="67" t="s">
        <v>178</v>
      </c>
    </row>
    <row r="61" spans="10:10">
      <c r="J61" s="67" t="s">
        <v>179</v>
      </c>
    </row>
    <row r="62" spans="10:10">
      <c r="J62" s="67" t="s">
        <v>180</v>
      </c>
    </row>
    <row r="63" spans="10:10">
      <c r="J63" s="67" t="s">
        <v>181</v>
      </c>
    </row>
    <row r="64" spans="10:10">
      <c r="J64" s="67" t="s">
        <v>182</v>
      </c>
    </row>
    <row r="65" spans="10:10">
      <c r="J65" s="67" t="s">
        <v>183</v>
      </c>
    </row>
    <row r="66" spans="10:10">
      <c r="J66" s="67" t="s">
        <v>184</v>
      </c>
    </row>
    <row r="67" spans="10:10">
      <c r="J67" s="67" t="s">
        <v>185</v>
      </c>
    </row>
    <row r="68" spans="10:10">
      <c r="J68" s="67" t="s">
        <v>186</v>
      </c>
    </row>
    <row r="69" spans="10:10">
      <c r="J69" s="67" t="s">
        <v>187</v>
      </c>
    </row>
    <row r="70" spans="10:10">
      <c r="J70" s="67" t="s">
        <v>188</v>
      </c>
    </row>
    <row r="71" spans="10:10">
      <c r="J71" s="67" t="s">
        <v>189</v>
      </c>
    </row>
    <row r="72" spans="10:10">
      <c r="J72" s="67" t="s">
        <v>190</v>
      </c>
    </row>
    <row r="73" spans="10:10">
      <c r="J73" s="67" t="s">
        <v>191</v>
      </c>
    </row>
    <row r="74" spans="10:10">
      <c r="J74" s="67" t="s">
        <v>192</v>
      </c>
    </row>
    <row r="75" spans="10:10">
      <c r="J75" s="67" t="s">
        <v>193</v>
      </c>
    </row>
    <row r="76" spans="10:10">
      <c r="J76" s="67" t="s">
        <v>194</v>
      </c>
    </row>
    <row r="77" spans="10:10">
      <c r="J77" s="67" t="s">
        <v>195</v>
      </c>
    </row>
    <row r="78" spans="10:10">
      <c r="J78" s="67" t="s">
        <v>196</v>
      </c>
    </row>
    <row r="79" spans="10:10">
      <c r="J79" s="67" t="s">
        <v>197</v>
      </c>
    </row>
    <row r="80" spans="10:10">
      <c r="J80" s="67" t="s">
        <v>198</v>
      </c>
    </row>
    <row r="81" spans="10:10">
      <c r="J81" s="67" t="s">
        <v>199</v>
      </c>
    </row>
    <row r="82" spans="10:10">
      <c r="J82" s="67" t="s">
        <v>200</v>
      </c>
    </row>
    <row r="83" spans="10:10">
      <c r="J83" s="67" t="s">
        <v>201</v>
      </c>
    </row>
    <row r="84" spans="10:10">
      <c r="J84" s="67" t="s">
        <v>202</v>
      </c>
    </row>
    <row r="85" spans="10:10">
      <c r="J85" s="67" t="s">
        <v>203</v>
      </c>
    </row>
    <row r="86" spans="10:10">
      <c r="J86" s="67" t="s">
        <v>204</v>
      </c>
    </row>
    <row r="87" spans="10:10">
      <c r="J87" s="67" t="s">
        <v>205</v>
      </c>
    </row>
    <row r="88" spans="10:10">
      <c r="J88" s="67" t="s">
        <v>206</v>
      </c>
    </row>
    <row r="89" spans="10:10">
      <c r="J89" s="67" t="s">
        <v>207</v>
      </c>
    </row>
    <row r="90" spans="10:10">
      <c r="J90" s="67" t="s">
        <v>208</v>
      </c>
    </row>
    <row r="91" spans="10:10">
      <c r="J91" s="67" t="s">
        <v>209</v>
      </c>
    </row>
    <row r="92" spans="10:10">
      <c r="J92" s="67" t="s">
        <v>210</v>
      </c>
    </row>
    <row r="93" spans="10:10">
      <c r="J93" s="67" t="s">
        <v>211</v>
      </c>
    </row>
    <row r="94" spans="10:10">
      <c r="J94" s="67" t="s">
        <v>212</v>
      </c>
    </row>
    <row r="95" spans="10:10">
      <c r="J95" s="67" t="s">
        <v>213</v>
      </c>
    </row>
    <row r="96" spans="10:10">
      <c r="J96" s="67" t="s">
        <v>214</v>
      </c>
    </row>
    <row r="97" spans="10:10">
      <c r="J97" s="67" t="s">
        <v>215</v>
      </c>
    </row>
    <row r="98" spans="10:10">
      <c r="J98" s="67" t="s">
        <v>216</v>
      </c>
    </row>
    <row r="99" spans="10:10">
      <c r="J99" s="67" t="s">
        <v>217</v>
      </c>
    </row>
    <row r="100" spans="10:10">
      <c r="J100" s="67" t="s">
        <v>218</v>
      </c>
    </row>
    <row r="101" spans="10:10">
      <c r="J101" s="67" t="s">
        <v>219</v>
      </c>
    </row>
    <row r="102" spans="10:10">
      <c r="J102" s="67" t="s">
        <v>220</v>
      </c>
    </row>
    <row r="103" spans="10:10">
      <c r="J103" s="67" t="s">
        <v>221</v>
      </c>
    </row>
    <row r="104" spans="10:10">
      <c r="J104" s="67" t="s">
        <v>222</v>
      </c>
    </row>
    <row r="105" spans="10:10">
      <c r="J105" s="67" t="s">
        <v>223</v>
      </c>
    </row>
    <row r="106" spans="10:10">
      <c r="J106" s="67" t="s">
        <v>224</v>
      </c>
    </row>
    <row r="107" spans="10:10">
      <c r="J107" s="67" t="s">
        <v>225</v>
      </c>
    </row>
    <row r="108" spans="10:10">
      <c r="J108" s="67" t="s">
        <v>226</v>
      </c>
    </row>
    <row r="109" spans="10:10">
      <c r="J109" s="67" t="s">
        <v>227</v>
      </c>
    </row>
    <row r="110" spans="10:10">
      <c r="J110" s="67" t="s">
        <v>228</v>
      </c>
    </row>
    <row r="111" spans="10:10">
      <c r="J111" s="67" t="s">
        <v>80</v>
      </c>
    </row>
    <row r="112" spans="10:10">
      <c r="J112" s="67" t="s">
        <v>229</v>
      </c>
    </row>
    <row r="113" spans="10:10">
      <c r="J113" s="67" t="s">
        <v>230</v>
      </c>
    </row>
    <row r="114" spans="10:10">
      <c r="J114" s="67" t="s">
        <v>231</v>
      </c>
    </row>
    <row r="115" spans="10:10">
      <c r="J115" s="67" t="s">
        <v>232</v>
      </c>
    </row>
    <row r="116" spans="10:10">
      <c r="J116" s="67" t="s">
        <v>233</v>
      </c>
    </row>
    <row r="117" spans="10:10">
      <c r="J117" s="67" t="s">
        <v>234</v>
      </c>
    </row>
    <row r="118" spans="10:10">
      <c r="J118" s="67" t="s">
        <v>235</v>
      </c>
    </row>
    <row r="119" spans="10:10">
      <c r="J119" s="67" t="s">
        <v>236</v>
      </c>
    </row>
    <row r="120" spans="10:10">
      <c r="J120" s="67" t="s">
        <v>237</v>
      </c>
    </row>
    <row r="121" spans="10:10">
      <c r="J121" s="67" t="s">
        <v>238</v>
      </c>
    </row>
    <row r="122" spans="10:10">
      <c r="J122" s="67" t="s">
        <v>239</v>
      </c>
    </row>
    <row r="123" spans="10:10">
      <c r="J123" s="67" t="s">
        <v>240</v>
      </c>
    </row>
    <row r="124" spans="10:10">
      <c r="J124" s="67" t="s">
        <v>241</v>
      </c>
    </row>
    <row r="125" spans="10:10">
      <c r="J125" s="67" t="s">
        <v>242</v>
      </c>
    </row>
    <row r="126" spans="10:10">
      <c r="J126" s="67" t="s">
        <v>243</v>
      </c>
    </row>
    <row r="127" spans="10:10">
      <c r="J127" s="67" t="s">
        <v>244</v>
      </c>
    </row>
    <row r="128" spans="10:10">
      <c r="J128" s="67" t="s">
        <v>245</v>
      </c>
    </row>
    <row r="129" spans="10:10">
      <c r="J129" s="67" t="s">
        <v>246</v>
      </c>
    </row>
    <row r="130" spans="10:10">
      <c r="J130" s="67" t="s">
        <v>247</v>
      </c>
    </row>
    <row r="131" spans="10:10">
      <c r="J131" s="67" t="s">
        <v>248</v>
      </c>
    </row>
    <row r="132" spans="10:10">
      <c r="J132" s="67" t="s">
        <v>249</v>
      </c>
    </row>
    <row r="133" spans="10:10">
      <c r="J133" s="67" t="s">
        <v>250</v>
      </c>
    </row>
    <row r="134" spans="10:10">
      <c r="J134" s="67" t="s">
        <v>251</v>
      </c>
    </row>
    <row r="135" spans="10:10">
      <c r="J135" s="67" t="s">
        <v>252</v>
      </c>
    </row>
    <row r="136" spans="10:10">
      <c r="J136" s="67" t="s">
        <v>253</v>
      </c>
    </row>
    <row r="137" spans="10:10">
      <c r="J137" s="67" t="s">
        <v>254</v>
      </c>
    </row>
    <row r="138" spans="10:10">
      <c r="J138" s="67" t="s">
        <v>255</v>
      </c>
    </row>
    <row r="139" spans="10:10">
      <c r="J139" s="67" t="s">
        <v>256</v>
      </c>
    </row>
    <row r="140" spans="10:10">
      <c r="J140" s="67" t="s">
        <v>257</v>
      </c>
    </row>
    <row r="141" spans="10:10">
      <c r="J141" s="67" t="s">
        <v>258</v>
      </c>
    </row>
    <row r="142" spans="10:10">
      <c r="J142" s="67" t="s">
        <v>259</v>
      </c>
    </row>
    <row r="143" spans="10:10">
      <c r="J143" s="67" t="s">
        <v>260</v>
      </c>
    </row>
    <row r="144" spans="10:10">
      <c r="J144" s="33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3"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customWidth="1"/>
    <col min="15" max="15" width="3"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2:15" ht="34.5" customHeight="1"/>
    <row r="2" spans="2:15" ht="36" customHeight="1">
      <c r="B2" s="521" t="str">
        <f>+"Dashboard: "&amp;" "&amp;+IF('Data Entry'!C4="Please Select","",'Data Entry'!C4&amp;" - ")&amp;+IF('Data Entry'!G6="Please Select","",'Data Entry'!G6)</f>
        <v>Dashboard:  Georgia - HIV / AIDS</v>
      </c>
      <c r="C2" s="521"/>
      <c r="D2" s="521"/>
      <c r="E2" s="521"/>
      <c r="F2" s="521"/>
      <c r="G2" s="521"/>
      <c r="H2" s="521"/>
      <c r="I2" s="521"/>
      <c r="J2" s="521"/>
      <c r="K2" s="521"/>
      <c r="L2" s="521"/>
      <c r="M2" s="521"/>
    </row>
    <row r="3" spans="2:15" ht="15.75" customHeight="1">
      <c r="B3" s="175"/>
      <c r="C3" s="175"/>
      <c r="D3" s="175"/>
      <c r="E3" s="175"/>
      <c r="F3" s="175"/>
      <c r="G3" s="175"/>
      <c r="H3" s="175"/>
      <c r="I3" s="175"/>
      <c r="J3" s="175"/>
      <c r="K3" s="176"/>
      <c r="L3" s="176"/>
    </row>
    <row r="5" spans="2:15" ht="23.25">
      <c r="B5" s="520" t="s">
        <v>281</v>
      </c>
      <c r="C5" s="520"/>
      <c r="D5" s="520"/>
      <c r="E5" s="520"/>
      <c r="F5" s="520"/>
      <c r="G5" s="520"/>
      <c r="H5" s="520"/>
      <c r="I5" s="520"/>
      <c r="J5" s="520"/>
      <c r="K5" s="520"/>
      <c r="L5" s="520"/>
      <c r="M5" s="520"/>
      <c r="N5" s="520"/>
      <c r="O5" s="520"/>
    </row>
    <row r="7" spans="2:15" ht="21">
      <c r="B7" s="522" t="s">
        <v>270</v>
      </c>
      <c r="C7" s="523"/>
      <c r="D7" s="524"/>
      <c r="E7" s="522" t="s">
        <v>271</v>
      </c>
      <c r="F7" s="523"/>
      <c r="G7" s="523"/>
      <c r="H7" s="523"/>
      <c r="I7" s="524"/>
      <c r="J7" s="522" t="s">
        <v>272</v>
      </c>
      <c r="K7" s="523"/>
      <c r="L7" s="524"/>
      <c r="M7" s="522" t="s">
        <v>345</v>
      </c>
      <c r="N7" s="523"/>
      <c r="O7" s="524"/>
    </row>
    <row r="8" spans="2:15" ht="92.25" customHeight="1">
      <c r="B8" s="533" t="str">
        <f>+'Data Entry'!B27</f>
        <v>F1: Budget and disbursements by Global Fund</v>
      </c>
      <c r="C8" s="534"/>
      <c r="D8" s="535"/>
      <c r="E8" s="525" t="s">
        <v>390</v>
      </c>
      <c r="F8" s="526"/>
      <c r="G8" s="526"/>
      <c r="H8" s="526"/>
      <c r="I8" s="527"/>
      <c r="J8" s="508" t="s">
        <v>346</v>
      </c>
      <c r="K8" s="509"/>
      <c r="L8" s="510"/>
      <c r="M8" s="508" t="s">
        <v>391</v>
      </c>
      <c r="N8" s="509"/>
      <c r="O8" s="510"/>
    </row>
    <row r="9" spans="2:15" ht="117.75" customHeight="1">
      <c r="B9" s="533" t="str">
        <f>+'Data Entry'!B36</f>
        <v>F2: Budget and actual expenditures by Grant Objective</v>
      </c>
      <c r="C9" s="534"/>
      <c r="D9" s="535"/>
      <c r="E9" s="516" t="s">
        <v>354</v>
      </c>
      <c r="F9" s="517"/>
      <c r="G9" s="517"/>
      <c r="H9" s="517"/>
      <c r="I9" s="518"/>
      <c r="J9" s="508" t="s">
        <v>348</v>
      </c>
      <c r="K9" s="509"/>
      <c r="L9" s="510"/>
      <c r="M9" s="508" t="s">
        <v>391</v>
      </c>
      <c r="N9" s="509"/>
      <c r="O9" s="510"/>
    </row>
    <row r="10" spans="2:15" ht="152.25" customHeight="1">
      <c r="B10" s="528" t="str">
        <f>+'Data Entry'!B49</f>
        <v>F3: Disbursements and expenditures</v>
      </c>
      <c r="C10" s="531"/>
      <c r="D10" s="532"/>
      <c r="E10" s="516" t="s">
        <v>392</v>
      </c>
      <c r="F10" s="517"/>
      <c r="G10" s="517"/>
      <c r="H10" s="517"/>
      <c r="I10" s="518"/>
      <c r="J10" s="508" t="s">
        <v>355</v>
      </c>
      <c r="K10" s="509"/>
      <c r="L10" s="510"/>
      <c r="M10" s="508" t="s">
        <v>347</v>
      </c>
      <c r="N10" s="509"/>
      <c r="O10" s="510"/>
    </row>
    <row r="11" spans="2:15" ht="279.75" customHeight="1">
      <c r="B11" s="528" t="str">
        <f>+'Data Entry'!B58</f>
        <v>F4: Latest PR reporting and disbursement cycle</v>
      </c>
      <c r="C11" s="529"/>
      <c r="D11" s="530"/>
      <c r="E11" s="516" t="s">
        <v>403</v>
      </c>
      <c r="F11" s="517"/>
      <c r="G11" s="517"/>
      <c r="H11" s="517"/>
      <c r="I11" s="518"/>
      <c r="J11" s="508" t="s">
        <v>356</v>
      </c>
      <c r="K11" s="509"/>
      <c r="L11" s="510"/>
      <c r="M11" s="508" t="s">
        <v>275</v>
      </c>
      <c r="N11" s="509"/>
      <c r="O11" s="510"/>
    </row>
    <row r="12" spans="2:15">
      <c r="B12" s="507"/>
      <c r="C12" s="507"/>
      <c r="D12" s="507"/>
      <c r="E12" s="511"/>
      <c r="F12" s="511"/>
      <c r="G12" s="511"/>
      <c r="H12" s="511"/>
      <c r="I12" s="511"/>
      <c r="J12" s="511"/>
      <c r="K12" s="511"/>
      <c r="L12" s="511"/>
      <c r="M12" s="511"/>
      <c r="N12" s="511"/>
      <c r="O12" s="511"/>
    </row>
    <row r="13" spans="2:15">
      <c r="B13" s="519"/>
      <c r="C13" s="519"/>
      <c r="D13" s="519"/>
      <c r="E13" s="512"/>
      <c r="F13" s="512"/>
      <c r="G13" s="512"/>
      <c r="H13" s="512"/>
      <c r="I13" s="512"/>
      <c r="J13" s="512"/>
      <c r="K13" s="512"/>
      <c r="L13" s="512"/>
      <c r="M13" s="512"/>
      <c r="N13" s="512"/>
      <c r="O13" s="512"/>
    </row>
    <row r="14" spans="2:15">
      <c r="B14" s="519"/>
      <c r="C14" s="519"/>
      <c r="D14" s="519"/>
      <c r="E14" s="512"/>
      <c r="F14" s="512"/>
      <c r="G14" s="512"/>
      <c r="H14" s="512"/>
      <c r="I14" s="512"/>
      <c r="J14" s="512"/>
      <c r="K14" s="512"/>
      <c r="L14" s="512"/>
      <c r="M14" s="512"/>
      <c r="N14" s="512"/>
      <c r="O14" s="512"/>
    </row>
    <row r="15" spans="2:15">
      <c r="B15" s="519"/>
      <c r="C15" s="519"/>
      <c r="D15" s="519"/>
      <c r="E15" s="512"/>
      <c r="F15" s="512"/>
      <c r="G15" s="512"/>
      <c r="H15" s="512"/>
      <c r="I15" s="512"/>
      <c r="J15" s="512"/>
      <c r="K15" s="512"/>
      <c r="L15" s="512"/>
      <c r="M15" s="512"/>
      <c r="N15" s="512"/>
      <c r="O15" s="512"/>
    </row>
    <row r="16" spans="2:15" ht="23.25">
      <c r="B16" s="520" t="s">
        <v>282</v>
      </c>
      <c r="C16" s="520"/>
      <c r="D16" s="520"/>
      <c r="E16" s="520"/>
      <c r="F16" s="520"/>
      <c r="G16" s="520"/>
      <c r="H16" s="520"/>
      <c r="I16" s="520"/>
      <c r="J16" s="520"/>
      <c r="K16" s="520"/>
      <c r="L16" s="520"/>
      <c r="M16" s="520"/>
      <c r="N16" s="520"/>
      <c r="O16" s="520"/>
    </row>
    <row r="18" spans="1:15" ht="21">
      <c r="B18" s="513" t="s">
        <v>270</v>
      </c>
      <c r="C18" s="514"/>
      <c r="D18" s="515"/>
      <c r="E18" s="513" t="s">
        <v>271</v>
      </c>
      <c r="F18" s="514"/>
      <c r="G18" s="514"/>
      <c r="H18" s="514"/>
      <c r="I18" s="515"/>
      <c r="J18" s="513" t="s">
        <v>272</v>
      </c>
      <c r="K18" s="514"/>
      <c r="L18" s="515"/>
      <c r="M18" s="513" t="s">
        <v>273</v>
      </c>
      <c r="N18" s="514"/>
      <c r="O18" s="515"/>
    </row>
    <row r="19" spans="1:15" ht="114" customHeight="1">
      <c r="B19" s="533" t="str">
        <f>+'Data Entry'!B69</f>
        <v>M1: Status of Conditions Precedent (CPs) and Time Bound Actions (TBAs)</v>
      </c>
      <c r="C19" s="563"/>
      <c r="D19" s="564"/>
      <c r="E19" s="516" t="s">
        <v>280</v>
      </c>
      <c r="F19" s="517"/>
      <c r="G19" s="517"/>
      <c r="H19" s="517"/>
      <c r="I19" s="518"/>
      <c r="J19" s="508" t="s">
        <v>349</v>
      </c>
      <c r="K19" s="509"/>
      <c r="L19" s="510"/>
      <c r="M19" s="508" t="s">
        <v>350</v>
      </c>
      <c r="N19" s="509"/>
      <c r="O19" s="510"/>
    </row>
    <row r="20" spans="1:15" ht="102.75" customHeight="1">
      <c r="B20" s="533" t="str">
        <f>+'Data Entry'!B76</f>
        <v>M2: Status of key PR management positions</v>
      </c>
      <c r="C20" s="563"/>
      <c r="D20" s="564"/>
      <c r="E20" s="516" t="s">
        <v>393</v>
      </c>
      <c r="F20" s="517"/>
      <c r="G20" s="517"/>
      <c r="H20" s="517"/>
      <c r="I20" s="518"/>
      <c r="J20" s="508" t="s">
        <v>277</v>
      </c>
      <c r="K20" s="509"/>
      <c r="L20" s="510"/>
      <c r="M20" s="508" t="s">
        <v>276</v>
      </c>
      <c r="N20" s="509"/>
      <c r="O20" s="510"/>
    </row>
    <row r="21" spans="1:15" ht="111.75" customHeight="1">
      <c r="B21" s="533" t="str">
        <f>+'Data Entry'!B81</f>
        <v>M3: Contractual arrangements</v>
      </c>
      <c r="C21" s="563"/>
      <c r="D21" s="564"/>
      <c r="E21" s="565" t="s">
        <v>0</v>
      </c>
      <c r="F21" s="517"/>
      <c r="G21" s="517"/>
      <c r="H21" s="517"/>
      <c r="I21" s="518"/>
      <c r="J21" s="508" t="s">
        <v>351</v>
      </c>
      <c r="K21" s="509"/>
      <c r="L21" s="510"/>
      <c r="M21" s="508" t="s">
        <v>352</v>
      </c>
      <c r="N21" s="509"/>
      <c r="O21" s="510"/>
    </row>
    <row r="22" spans="1:15" ht="74.25" customHeight="1">
      <c r="B22" s="533" t="str">
        <f>+'Data Entry'!B86</f>
        <v>M4: Number of complete reports received on time</v>
      </c>
      <c r="C22" s="563"/>
      <c r="D22" s="564"/>
      <c r="E22" s="565" t="s">
        <v>404</v>
      </c>
      <c r="F22" s="572"/>
      <c r="G22" s="572"/>
      <c r="H22" s="572"/>
      <c r="I22" s="573"/>
      <c r="J22" s="508" t="s">
        <v>357</v>
      </c>
      <c r="K22" s="509"/>
      <c r="L22" s="510"/>
      <c r="M22" s="508" t="s">
        <v>278</v>
      </c>
      <c r="N22" s="509"/>
      <c r="O22" s="510"/>
    </row>
    <row r="23" spans="1:15" ht="207.75" customHeight="1">
      <c r="B23" s="566" t="str">
        <f>+'Data Entry'!B92</f>
        <v>M5: Budget and Procurement of health products, health equipment, medicines and pharmaceuticals</v>
      </c>
      <c r="C23" s="567"/>
      <c r="D23" s="568"/>
      <c r="E23" s="574" t="s">
        <v>358</v>
      </c>
      <c r="F23" s="575"/>
      <c r="G23" s="575"/>
      <c r="H23" s="575"/>
      <c r="I23" s="576"/>
      <c r="J23" s="586" t="s">
        <v>274</v>
      </c>
      <c r="K23" s="587"/>
      <c r="L23" s="588"/>
      <c r="M23" s="586" t="s">
        <v>279</v>
      </c>
      <c r="N23" s="587"/>
      <c r="O23" s="588"/>
    </row>
    <row r="24" spans="1:15" ht="114.75" customHeight="1">
      <c r="B24" s="569"/>
      <c r="C24" s="570"/>
      <c r="D24" s="571"/>
      <c r="E24" s="577" t="s">
        <v>353</v>
      </c>
      <c r="F24" s="578"/>
      <c r="G24" s="578"/>
      <c r="H24" s="578"/>
      <c r="I24" s="579"/>
      <c r="J24" s="589"/>
      <c r="K24" s="590"/>
      <c r="L24" s="591"/>
      <c r="M24" s="589"/>
      <c r="N24" s="590"/>
      <c r="O24" s="591"/>
    </row>
    <row r="25" spans="1:15" ht="409.5" customHeight="1">
      <c r="B25" s="533" t="str">
        <f>+'Data Entry'!B105</f>
        <v>M6: Difference between current and safety stock</v>
      </c>
      <c r="C25" s="563"/>
      <c r="D25" s="564"/>
      <c r="E25" s="597" t="s">
        <v>405</v>
      </c>
      <c r="F25" s="598"/>
      <c r="G25" s="598"/>
      <c r="H25" s="598"/>
      <c r="I25" s="599"/>
      <c r="J25" s="583" t="s">
        <v>359</v>
      </c>
      <c r="K25" s="584"/>
      <c r="L25" s="585"/>
      <c r="M25" s="580" t="s">
        <v>364</v>
      </c>
      <c r="N25" s="581"/>
      <c r="O25" s="582"/>
    </row>
    <row r="29" spans="1:15" ht="18.75">
      <c r="B29" s="207"/>
    </row>
    <row r="30" spans="1:15" ht="23.25">
      <c r="B30" s="520" t="s">
        <v>295</v>
      </c>
      <c r="C30" s="520"/>
      <c r="D30" s="520"/>
      <c r="E30" s="520"/>
      <c r="F30" s="520"/>
      <c r="G30" s="520"/>
      <c r="H30" s="520"/>
      <c r="I30" s="520"/>
      <c r="J30" s="520"/>
      <c r="K30" s="520"/>
      <c r="L30" s="520"/>
      <c r="M30" s="520"/>
      <c r="N30" s="520"/>
      <c r="O30" s="520"/>
    </row>
    <row r="32" spans="1:15" ht="28.5" customHeight="1">
      <c r="A32" s="22"/>
      <c r="B32" s="539" t="s">
        <v>343</v>
      </c>
      <c r="C32" s="540"/>
      <c r="D32" s="541"/>
      <c r="E32" s="542" t="s">
        <v>301</v>
      </c>
      <c r="F32" s="543"/>
      <c r="G32" s="543"/>
      <c r="H32" s="543"/>
      <c r="I32" s="544"/>
      <c r="J32" s="542" t="s">
        <v>272</v>
      </c>
      <c r="K32" s="543"/>
      <c r="L32" s="544"/>
      <c r="M32" s="542" t="s">
        <v>273</v>
      </c>
      <c r="N32" s="543"/>
      <c r="O32" s="544"/>
    </row>
    <row r="33" spans="1:15" ht="47.25" customHeight="1">
      <c r="A33" s="200"/>
      <c r="B33" s="557"/>
      <c r="C33" s="558"/>
      <c r="D33" s="559"/>
      <c r="E33" s="560"/>
      <c r="F33" s="561"/>
      <c r="G33" s="561"/>
      <c r="H33" s="561"/>
      <c r="I33" s="562"/>
      <c r="J33" s="554"/>
      <c r="K33" s="555"/>
      <c r="L33" s="556"/>
      <c r="M33" s="554"/>
      <c r="N33" s="555"/>
      <c r="O33" s="556"/>
    </row>
    <row r="34" spans="1:15" ht="59.25" customHeight="1">
      <c r="A34" s="200"/>
      <c r="B34" s="557"/>
      <c r="C34" s="558"/>
      <c r="D34" s="559"/>
      <c r="E34" s="560"/>
      <c r="F34" s="561"/>
      <c r="G34" s="561"/>
      <c r="H34" s="561"/>
      <c r="I34" s="562"/>
      <c r="J34" s="554"/>
      <c r="K34" s="555"/>
      <c r="L34" s="556"/>
      <c r="M34" s="554"/>
      <c r="N34" s="555"/>
      <c r="O34" s="556"/>
    </row>
    <row r="35" spans="1:15" ht="57.75" customHeight="1">
      <c r="A35" s="200"/>
      <c r="B35" s="557"/>
      <c r="C35" s="558"/>
      <c r="D35" s="559"/>
      <c r="E35" s="554"/>
      <c r="F35" s="555"/>
      <c r="G35" s="555"/>
      <c r="H35" s="555"/>
      <c r="I35" s="556"/>
      <c r="J35" s="554"/>
      <c r="K35" s="555"/>
      <c r="L35" s="556"/>
      <c r="M35" s="554"/>
      <c r="N35" s="555"/>
      <c r="O35" s="556"/>
    </row>
    <row r="36" spans="1:15" ht="9.75" customHeight="1">
      <c r="A36" s="200"/>
      <c r="B36" s="594"/>
      <c r="C36" s="595"/>
      <c r="D36" s="596"/>
      <c r="E36" s="201"/>
      <c r="F36" s="202"/>
      <c r="G36" s="202"/>
      <c r="H36" s="202"/>
      <c r="I36" s="203"/>
      <c r="J36" s="218"/>
      <c r="K36" s="219"/>
      <c r="L36" s="220"/>
      <c r="M36" s="218"/>
      <c r="N36" s="219"/>
      <c r="O36" s="220"/>
    </row>
    <row r="37" spans="1:15" ht="46.5" customHeight="1">
      <c r="A37" s="200"/>
      <c r="B37" s="557"/>
      <c r="C37" s="558"/>
      <c r="D37" s="559"/>
      <c r="E37" s="554"/>
      <c r="F37" s="592"/>
      <c r="G37" s="592"/>
      <c r="H37" s="592"/>
      <c r="I37" s="593"/>
      <c r="J37" s="213"/>
      <c r="K37" s="214"/>
      <c r="L37" s="215"/>
      <c r="M37" s="213"/>
      <c r="N37" s="214"/>
      <c r="O37" s="215"/>
    </row>
    <row r="38" spans="1:15" ht="69" customHeight="1">
      <c r="A38" s="200"/>
      <c r="B38" s="557"/>
      <c r="C38" s="558"/>
      <c r="D38" s="559"/>
      <c r="E38" s="560"/>
      <c r="F38" s="561"/>
      <c r="G38" s="561"/>
      <c r="H38" s="561"/>
      <c r="I38" s="562"/>
      <c r="J38" s="554"/>
      <c r="K38" s="555"/>
      <c r="L38" s="556"/>
      <c r="M38" s="554"/>
      <c r="N38" s="555"/>
      <c r="O38" s="556"/>
    </row>
    <row r="39" spans="1:15" ht="64.5" customHeight="1">
      <c r="A39" s="200"/>
      <c r="B39" s="557"/>
      <c r="C39" s="558"/>
      <c r="D39" s="559"/>
      <c r="E39" s="554"/>
      <c r="F39" s="555"/>
      <c r="G39" s="555"/>
      <c r="H39" s="555"/>
      <c r="I39" s="556"/>
      <c r="J39" s="213"/>
      <c r="K39" s="214"/>
      <c r="L39" s="215"/>
      <c r="M39" s="213"/>
      <c r="N39" s="214"/>
      <c r="O39" s="215"/>
    </row>
    <row r="40" spans="1:15" ht="45" customHeight="1">
      <c r="A40" s="200"/>
      <c r="B40" s="600"/>
      <c r="C40" s="601"/>
      <c r="D40" s="602"/>
      <c r="E40" s="554"/>
      <c r="F40" s="555"/>
      <c r="G40" s="555"/>
      <c r="H40" s="555"/>
      <c r="I40" s="556"/>
      <c r="J40" s="554"/>
      <c r="K40" s="555"/>
      <c r="L40" s="556"/>
      <c r="M40" s="554"/>
      <c r="N40" s="555"/>
      <c r="O40" s="556"/>
    </row>
    <row r="41" spans="1:15" ht="62.25" customHeight="1">
      <c r="A41" s="200"/>
      <c r="B41" s="557"/>
      <c r="C41" s="558"/>
      <c r="D41" s="559"/>
      <c r="E41" s="560"/>
      <c r="F41" s="561"/>
      <c r="G41" s="561"/>
      <c r="H41" s="561"/>
      <c r="I41" s="562"/>
      <c r="J41" s="554"/>
      <c r="K41" s="555"/>
      <c r="L41" s="556"/>
      <c r="M41" s="554"/>
      <c r="N41" s="555"/>
      <c r="O41" s="556"/>
    </row>
    <row r="42" spans="1:15" ht="84" customHeight="1">
      <c r="A42" s="200"/>
      <c r="B42" s="557"/>
      <c r="C42" s="558"/>
      <c r="D42" s="559"/>
      <c r="E42" s="554"/>
      <c r="F42" s="555"/>
      <c r="G42" s="555"/>
      <c r="H42" s="555"/>
      <c r="I42" s="556"/>
      <c r="J42" s="213"/>
      <c r="K42" s="214"/>
      <c r="L42" s="215"/>
      <c r="M42" s="213"/>
      <c r="N42" s="214"/>
      <c r="O42" s="215"/>
    </row>
    <row r="43" spans="1:15" ht="45" customHeight="1">
      <c r="A43" s="200"/>
      <c r="B43" s="557"/>
      <c r="C43" s="558"/>
      <c r="D43" s="559"/>
      <c r="E43" s="560"/>
      <c r="F43" s="561"/>
      <c r="G43" s="561"/>
      <c r="H43" s="561"/>
      <c r="I43" s="562"/>
      <c r="J43" s="554"/>
      <c r="K43" s="555"/>
      <c r="L43" s="556"/>
      <c r="M43" s="213"/>
      <c r="N43" s="214"/>
      <c r="O43" s="215"/>
    </row>
    <row r="44" spans="1:15" ht="64.5" customHeight="1">
      <c r="A44" s="200"/>
      <c r="B44" s="600"/>
      <c r="C44" s="601"/>
      <c r="D44" s="602"/>
      <c r="E44" s="560"/>
      <c r="F44" s="561"/>
      <c r="G44" s="561"/>
      <c r="H44" s="561"/>
      <c r="I44" s="562"/>
      <c r="J44" s="554"/>
      <c r="K44" s="555"/>
      <c r="L44" s="556"/>
      <c r="M44" s="213"/>
      <c r="N44" s="214"/>
      <c r="O44" s="215"/>
    </row>
    <row r="45" spans="1:15" ht="49.5" customHeight="1">
      <c r="B45" s="600"/>
      <c r="C45" s="601"/>
      <c r="D45" s="602"/>
      <c r="E45" s="560"/>
      <c r="F45" s="561"/>
      <c r="G45" s="561"/>
      <c r="H45" s="561"/>
      <c r="I45" s="562"/>
      <c r="J45" s="554"/>
      <c r="K45" s="555"/>
      <c r="L45" s="556"/>
      <c r="M45" s="213"/>
      <c r="N45" s="214"/>
      <c r="O45" s="215"/>
    </row>
    <row r="46" spans="1:15" ht="30" customHeight="1">
      <c r="B46" s="603"/>
      <c r="C46" s="604"/>
      <c r="D46" s="605"/>
      <c r="E46" s="204"/>
      <c r="F46" s="205"/>
      <c r="G46" s="205"/>
      <c r="H46" s="205"/>
      <c r="I46" s="206"/>
      <c r="J46" s="213"/>
      <c r="K46" s="214"/>
      <c r="L46" s="215"/>
      <c r="M46" s="213"/>
      <c r="N46" s="214"/>
      <c r="O46" s="215"/>
    </row>
    <row r="47" spans="1:15" ht="44.25" customHeight="1">
      <c r="B47" s="548" t="s">
        <v>296</v>
      </c>
      <c r="C47" s="549"/>
      <c r="D47" s="550"/>
      <c r="E47" s="551" t="s">
        <v>271</v>
      </c>
      <c r="F47" s="552"/>
      <c r="G47" s="552"/>
      <c r="H47" s="552"/>
      <c r="I47" s="553"/>
      <c r="J47" s="551" t="s">
        <v>272</v>
      </c>
      <c r="K47" s="552"/>
      <c r="L47" s="553"/>
      <c r="M47" s="551" t="s">
        <v>273</v>
      </c>
      <c r="N47" s="552"/>
      <c r="O47" s="553"/>
    </row>
    <row r="48" spans="1:15" ht="33.75" customHeight="1">
      <c r="B48" s="196"/>
      <c r="C48" s="197"/>
      <c r="D48" s="197"/>
      <c r="E48" s="190"/>
      <c r="F48" s="192"/>
      <c r="G48" s="192"/>
      <c r="H48" s="192"/>
      <c r="I48" s="192"/>
      <c r="J48" s="190"/>
      <c r="K48" s="190"/>
      <c r="L48" s="191"/>
      <c r="M48" s="189"/>
      <c r="N48" s="190"/>
      <c r="O48" s="191"/>
    </row>
    <row r="49" spans="2:15" ht="15.75" customHeight="1">
      <c r="B49" s="545" t="s">
        <v>293</v>
      </c>
      <c r="C49" s="546"/>
      <c r="D49" s="546"/>
      <c r="E49" s="546"/>
      <c r="F49" s="546"/>
      <c r="G49" s="546"/>
      <c r="H49" s="546"/>
      <c r="I49" s="546"/>
      <c r="J49" s="546"/>
      <c r="K49" s="546"/>
      <c r="L49" s="547"/>
      <c r="M49" s="536" t="s">
        <v>283</v>
      </c>
      <c r="N49" s="537"/>
      <c r="O49" s="538"/>
    </row>
    <row r="50" spans="2:15">
      <c r="D50" s="177"/>
    </row>
    <row r="52" spans="2:15">
      <c r="D52" s="177"/>
    </row>
    <row r="53" spans="2:15">
      <c r="D53" s="177"/>
    </row>
  </sheetData>
  <mergeCells count="120">
    <mergeCell ref="B41:D41"/>
    <mergeCell ref="B40:D40"/>
    <mergeCell ref="E41:I41"/>
    <mergeCell ref="B46:D46"/>
    <mergeCell ref="J43:L43"/>
    <mergeCell ref="J44:L44"/>
    <mergeCell ref="J45:L45"/>
    <mergeCell ref="E44:I44"/>
    <mergeCell ref="B44:D44"/>
    <mergeCell ref="B45:D45"/>
    <mergeCell ref="E45:I45"/>
    <mergeCell ref="B43:D43"/>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K149"/>
  <sheetViews>
    <sheetView showGridLines="0" tabSelected="1" zoomScale="90" zoomScaleNormal="90" zoomScalePageLayoutView="90" workbookViewId="0">
      <pane xSplit="4" topLeftCell="E1" activePane="topRight" state="frozen"/>
      <selection activeCell="A102" sqref="A102"/>
      <selection pane="topRight" activeCell="P97" sqref="P97"/>
    </sheetView>
  </sheetViews>
  <sheetFormatPr defaultColWidth="11" defaultRowHeight="15"/>
  <cols>
    <col min="1" max="1" width="2.7109375" customWidth="1"/>
    <col min="2" max="2" width="46.140625" customWidth="1"/>
    <col min="3" max="3" width="36" customWidth="1"/>
    <col min="4" max="4" width="18.57031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4" width="15.42578125" customWidth="1"/>
    <col min="15" max="15" width="15.42578125" style="489" customWidth="1"/>
    <col min="16" max="16" width="14.28515625" customWidth="1"/>
    <col min="17" max="17" width="15.42578125" customWidth="1"/>
    <col min="18" max="18" width="19.42578125" customWidth="1"/>
    <col min="19" max="19" width="16.140625" customWidth="1"/>
    <col min="20" max="20" width="17.42578125" customWidth="1"/>
    <col min="21" max="21" width="13.42578125" customWidth="1"/>
    <col min="22" max="22" width="14.85546875" customWidth="1"/>
    <col min="23" max="23" width="16" customWidth="1"/>
    <col min="24" max="24" width="32" customWidth="1"/>
    <col min="25" max="25" width="15.42578125" customWidth="1"/>
    <col min="26" max="26" width="11.42578125" customWidth="1"/>
    <col min="27" max="27" width="2.28515625" customWidth="1"/>
    <col min="28" max="28" width="1.140625" customWidth="1"/>
    <col min="29" max="29" width="3.28515625" customWidth="1"/>
    <col min="30" max="30" width="17" customWidth="1"/>
    <col min="31" max="31" width="15" customWidth="1"/>
    <col min="32" max="32" width="11.42578125" customWidth="1"/>
    <col min="33" max="33" width="13.42578125" customWidth="1"/>
    <col min="34" max="34" width="16.85546875" customWidth="1"/>
    <col min="35" max="35" width="11.42578125" customWidth="1"/>
    <col min="36" max="36" width="2" customWidth="1"/>
    <col min="37" max="37" width="3.28515625" customWidth="1"/>
    <col min="38" max="38" width="2.28515625" customWidth="1"/>
    <col min="39" max="39" width="40.7109375" customWidth="1"/>
    <col min="40" max="40" width="15.42578125" customWidth="1"/>
  </cols>
  <sheetData>
    <row r="1" spans="2:15" ht="29.25" customHeight="1"/>
    <row r="2" spans="2:15" ht="15.75" customHeight="1">
      <c r="B2" s="653" t="s">
        <v>371</v>
      </c>
      <c r="C2" s="653"/>
      <c r="D2" s="653"/>
      <c r="E2" s="653"/>
      <c r="F2" s="653"/>
      <c r="G2" s="653"/>
      <c r="H2" s="653"/>
      <c r="I2" s="653"/>
      <c r="J2" s="653"/>
      <c r="K2" s="234"/>
      <c r="L2" s="234"/>
      <c r="M2" s="234"/>
      <c r="N2" s="234"/>
      <c r="O2" s="234"/>
    </row>
    <row r="3" spans="2:15" ht="4.5" customHeight="1"/>
    <row r="4" spans="2:15">
      <c r="B4" s="232" t="s">
        <v>25</v>
      </c>
      <c r="C4" s="691" t="s">
        <v>175</v>
      </c>
      <c r="D4" s="692"/>
      <c r="E4" s="659" t="s">
        <v>11</v>
      </c>
      <c r="F4" s="659"/>
      <c r="G4" s="693" t="s">
        <v>432</v>
      </c>
      <c r="H4" s="694"/>
      <c r="I4" s="694"/>
      <c r="J4" s="695"/>
    </row>
    <row r="5" spans="2:15" ht="3" customHeight="1">
      <c r="B5" s="232"/>
      <c r="E5" s="235"/>
      <c r="F5" s="235"/>
    </row>
    <row r="6" spans="2:15">
      <c r="B6" s="232" t="s">
        <v>116</v>
      </c>
      <c r="C6" s="691" t="s">
        <v>410</v>
      </c>
      <c r="D6" s="692"/>
      <c r="E6" s="659" t="s">
        <v>26</v>
      </c>
      <c r="F6" s="659"/>
      <c r="G6" s="257" t="s">
        <v>27</v>
      </c>
      <c r="H6" s="232" t="s">
        <v>319</v>
      </c>
      <c r="I6" s="698">
        <v>11383890.09</v>
      </c>
      <c r="J6" s="699"/>
    </row>
    <row r="7" spans="2:15" ht="3" customHeight="1">
      <c r="B7" s="232"/>
      <c r="E7" s="235"/>
      <c r="F7" s="235"/>
      <c r="H7" s="232"/>
    </row>
    <row r="8" spans="2:15">
      <c r="B8" s="232" t="s">
        <v>267</v>
      </c>
      <c r="C8" s="691" t="s">
        <v>411</v>
      </c>
      <c r="D8" s="692"/>
      <c r="E8" s="235"/>
      <c r="F8" s="232" t="s">
        <v>321</v>
      </c>
      <c r="G8" s="427" t="s">
        <v>431</v>
      </c>
      <c r="H8" s="232" t="s">
        <v>320</v>
      </c>
      <c r="I8" s="691" t="s">
        <v>430</v>
      </c>
      <c r="J8" s="692"/>
    </row>
    <row r="9" spans="2:15" ht="3" customHeight="1">
      <c r="B9" s="235"/>
      <c r="E9" s="235"/>
      <c r="F9" s="235"/>
    </row>
    <row r="10" spans="2:15">
      <c r="B10" s="232" t="s">
        <v>399</v>
      </c>
      <c r="C10" s="702">
        <v>43653</v>
      </c>
      <c r="D10" s="703"/>
      <c r="E10" s="696" t="s">
        <v>30</v>
      </c>
      <c r="F10" s="697"/>
      <c r="G10" s="691" t="s">
        <v>261</v>
      </c>
      <c r="H10" s="701"/>
      <c r="I10" s="701"/>
      <c r="J10" s="692"/>
    </row>
    <row r="11" spans="2:15" ht="5.25" customHeight="1"/>
    <row r="12" spans="2:15" ht="15" customHeight="1">
      <c r="B12" s="232" t="s">
        <v>28</v>
      </c>
      <c r="C12" s="704" t="s">
        <v>47</v>
      </c>
      <c r="D12" s="704"/>
      <c r="E12" s="696" t="s">
        <v>287</v>
      </c>
      <c r="F12" s="659"/>
      <c r="G12" s="700" t="s">
        <v>435</v>
      </c>
      <c r="H12" s="700"/>
      <c r="I12" s="700"/>
      <c r="J12" s="700"/>
    </row>
    <row r="13" spans="2:15" ht="5.25" customHeight="1"/>
    <row r="14" spans="2:15" ht="15.75" customHeight="1">
      <c r="B14" s="653" t="s">
        <v>2</v>
      </c>
      <c r="C14" s="653"/>
      <c r="D14" s="653"/>
      <c r="E14" s="653"/>
      <c r="F14" s="653"/>
      <c r="G14" s="653"/>
      <c r="H14" s="653"/>
      <c r="I14" s="653"/>
      <c r="J14" s="653"/>
    </row>
    <row r="15" spans="2:15" ht="3" customHeight="1"/>
    <row r="16" spans="2:15">
      <c r="B16" s="232" t="s">
        <v>20</v>
      </c>
      <c r="C16" s="467" t="s">
        <v>370</v>
      </c>
      <c r="D16" s="232" t="s">
        <v>322</v>
      </c>
      <c r="E16" s="236">
        <v>44835</v>
      </c>
      <c r="F16" s="233" t="s">
        <v>8</v>
      </c>
      <c r="G16" s="236">
        <v>44926</v>
      </c>
      <c r="H16" s="696" t="s">
        <v>323</v>
      </c>
      <c r="I16" s="697"/>
      <c r="J16" s="432">
        <v>45090</v>
      </c>
    </row>
    <row r="17" spans="2:37" ht="3" customHeight="1"/>
    <row r="18" spans="2:37">
      <c r="B18" s="659" t="s">
        <v>31</v>
      </c>
      <c r="C18" s="697"/>
      <c r="D18" s="707" t="s">
        <v>456</v>
      </c>
      <c r="E18" s="707"/>
      <c r="F18" s="707"/>
    </row>
    <row r="19" spans="2:37" ht="3" customHeight="1"/>
    <row r="20" spans="2:37" ht="5.25" customHeight="1"/>
    <row r="21" spans="2:37" ht="15.75" customHeight="1">
      <c r="B21" s="653" t="s">
        <v>360</v>
      </c>
      <c r="C21" s="653"/>
      <c r="D21" s="653"/>
      <c r="E21" s="653"/>
      <c r="F21" s="653"/>
      <c r="G21" s="653"/>
      <c r="H21" s="653"/>
      <c r="I21" s="653"/>
      <c r="J21" s="653"/>
    </row>
    <row r="22" spans="2:37">
      <c r="B22" s="235" t="s">
        <v>3</v>
      </c>
    </row>
    <row r="23" spans="2:37" ht="3" customHeight="1"/>
    <row r="24" spans="2:37" ht="15.75" thickBot="1">
      <c r="B24" s="232" t="s">
        <v>395</v>
      </c>
      <c r="C24" s="322"/>
      <c r="D24" s="659" t="s">
        <v>396</v>
      </c>
      <c r="E24" s="659"/>
      <c r="F24" s="323"/>
      <c r="G24" s="659" t="s">
        <v>397</v>
      </c>
      <c r="H24" s="659"/>
      <c r="I24" s="651"/>
      <c r="J24" s="652"/>
    </row>
    <row r="25" spans="2:37" ht="19.5" thickBot="1">
      <c r="B25" s="68" t="s">
        <v>395</v>
      </c>
      <c r="C25" s="69"/>
      <c r="D25" s="69"/>
      <c r="E25" s="69"/>
      <c r="F25" s="69"/>
      <c r="G25" s="69"/>
      <c r="H25" s="221"/>
      <c r="I25" s="70"/>
      <c r="J25" s="70"/>
      <c r="K25" s="221" t="s">
        <v>324</v>
      </c>
      <c r="L25" s="69"/>
      <c r="M25" s="69"/>
      <c r="N25" s="69"/>
      <c r="O25" s="69"/>
      <c r="P25" s="329"/>
      <c r="Q25" s="28"/>
      <c r="AK25" s="31"/>
    </row>
    <row r="26" spans="2:37">
      <c r="B26" s="664" t="s">
        <v>367</v>
      </c>
      <c r="C26" s="665"/>
      <c r="D26" s="339" t="s">
        <v>18</v>
      </c>
      <c r="E26" s="72"/>
      <c r="F26" s="72"/>
      <c r="G26" s="72"/>
      <c r="H26" s="72"/>
      <c r="I26" s="72"/>
      <c r="J26" s="73"/>
      <c r="K26" s="72"/>
      <c r="L26" s="72"/>
      <c r="M26" s="72"/>
      <c r="N26" s="72"/>
      <c r="O26" s="72"/>
      <c r="P26" s="28"/>
      <c r="Q26" s="28"/>
      <c r="AK26" s="31"/>
    </row>
    <row r="27" spans="2:37" ht="18.75">
      <c r="B27" s="71" t="s">
        <v>377</v>
      </c>
      <c r="C27" s="72"/>
      <c r="D27" s="72"/>
      <c r="E27" s="72"/>
      <c r="F27" s="72"/>
      <c r="G27" s="72"/>
      <c r="H27" s="72"/>
      <c r="I27" s="72"/>
      <c r="J27" s="73"/>
      <c r="K27" s="72"/>
      <c r="L27" s="72"/>
      <c r="M27" s="72"/>
      <c r="N27" s="72"/>
      <c r="O27" s="72"/>
      <c r="P27" s="28"/>
      <c r="Q27" s="28"/>
      <c r="AK27" s="31"/>
    </row>
    <row r="28" spans="2:37" ht="15.75" thickBot="1"/>
    <row r="29" spans="2:37" ht="15.75" thickBot="1">
      <c r="B29" s="709" t="s">
        <v>59</v>
      </c>
      <c r="C29" s="710"/>
      <c r="D29" s="710"/>
      <c r="E29" s="710"/>
      <c r="F29" s="710"/>
      <c r="G29" s="710"/>
      <c r="H29" s="710"/>
      <c r="I29" s="710"/>
      <c r="J29" s="710"/>
      <c r="K29" s="710"/>
      <c r="L29" s="710"/>
      <c r="M29" s="710"/>
      <c r="N29" s="711"/>
      <c r="O29" s="711"/>
      <c r="P29" s="712"/>
      <c r="R29" s="167"/>
      <c r="S29" s="168"/>
      <c r="T29" s="169">
        <f>+C33</f>
        <v>424079.9146866285</v>
      </c>
      <c r="U29" s="167"/>
    </row>
    <row r="30" spans="2:37">
      <c r="B30" s="74" t="s">
        <v>266</v>
      </c>
      <c r="C30" s="302" t="s">
        <v>105</v>
      </c>
      <c r="D30" s="302" t="s">
        <v>106</v>
      </c>
      <c r="E30" s="302" t="s">
        <v>107</v>
      </c>
      <c r="F30" s="302" t="s">
        <v>108</v>
      </c>
      <c r="G30" s="302" t="s">
        <v>120</v>
      </c>
      <c r="H30" s="302" t="s">
        <v>121</v>
      </c>
      <c r="I30" s="302" t="s">
        <v>122</v>
      </c>
      <c r="J30" s="302" t="s">
        <v>123</v>
      </c>
      <c r="K30" s="302" t="s">
        <v>124</v>
      </c>
      <c r="L30" s="302" t="s">
        <v>125</v>
      </c>
      <c r="M30" s="302" t="s">
        <v>126</v>
      </c>
      <c r="N30" s="302" t="s">
        <v>285</v>
      </c>
      <c r="O30" s="302" t="s">
        <v>458</v>
      </c>
      <c r="P30" s="302" t="s">
        <v>460</v>
      </c>
      <c r="Q30" s="303" t="s">
        <v>4</v>
      </c>
      <c r="R30" s="167"/>
      <c r="S30" s="168"/>
      <c r="T30" s="169">
        <f>+D33</f>
        <v>1337923.4335749494</v>
      </c>
      <c r="U30" s="167"/>
    </row>
    <row r="31" spans="2:37">
      <c r="B31" s="229" t="str">
        <f>CONCATENATE("Budget (in ",'Data Entry'!$D$26,")")</f>
        <v>Budget (in $)</v>
      </c>
      <c r="C31" s="313">
        <v>424079.9146866285</v>
      </c>
      <c r="D31" s="312">
        <v>913843.51888832077</v>
      </c>
      <c r="E31" s="312">
        <v>433057.48371787695</v>
      </c>
      <c r="F31" s="312">
        <v>623286.70601753786</v>
      </c>
      <c r="G31" s="312">
        <v>705785.9695141532</v>
      </c>
      <c r="H31" s="312">
        <v>1144212.2097643318</v>
      </c>
      <c r="I31" s="312">
        <v>1162392.1316223003</v>
      </c>
      <c r="J31" s="312">
        <v>820164.57192232937</v>
      </c>
      <c r="K31" s="312">
        <v>651459.60185550863</v>
      </c>
      <c r="L31" s="312">
        <v>876977.75829972315</v>
      </c>
      <c r="M31" s="312">
        <v>930345.2411686437</v>
      </c>
      <c r="N31" s="312">
        <v>1840781.7282671733</v>
      </c>
      <c r="O31" s="312">
        <v>1204554.7947621099</v>
      </c>
      <c r="P31" s="312">
        <v>534444.4403682492</v>
      </c>
      <c r="Q31" s="642">
        <f>+SUM(C35:P35)</f>
        <v>0</v>
      </c>
      <c r="R31" s="167"/>
      <c r="S31" s="168"/>
      <c r="T31" s="169">
        <f>+E33</f>
        <v>1770980.9172928263</v>
      </c>
      <c r="U31" s="167"/>
    </row>
    <row r="32" spans="2:37">
      <c r="B32" s="74" t="str">
        <f>CONCATENATE("Disbursements by GF (in ", $D$26,")")</f>
        <v>Disbursements by GF (in $)</v>
      </c>
      <c r="C32" s="313">
        <v>695428.56</v>
      </c>
      <c r="D32" s="313">
        <v>982380.1</v>
      </c>
      <c r="E32" s="313">
        <v>673893.21</v>
      </c>
      <c r="F32" s="312">
        <v>811071.03</v>
      </c>
      <c r="G32" s="313">
        <f>783353.52+881496.31</f>
        <v>1664849.83</v>
      </c>
      <c r="H32" s="313">
        <v>328348.99</v>
      </c>
      <c r="I32" s="312">
        <v>1298942.2799999998</v>
      </c>
      <c r="J32" s="312">
        <v>671034.06000000006</v>
      </c>
      <c r="K32" s="312">
        <v>287118.77</v>
      </c>
      <c r="L32" s="312">
        <v>1035069.34</v>
      </c>
      <c r="M32" s="312">
        <v>737921.19</v>
      </c>
      <c r="N32" s="312">
        <v>1361171.33</v>
      </c>
      <c r="O32" s="312">
        <v>50288.89</v>
      </c>
      <c r="P32" s="312">
        <v>540651.51</v>
      </c>
      <c r="Q32" s="643"/>
      <c r="R32" s="167"/>
      <c r="S32" s="168"/>
      <c r="T32" s="169">
        <f>+F33</f>
        <v>2394267.6233103643</v>
      </c>
      <c r="U32" s="167"/>
    </row>
    <row r="33" spans="2:21">
      <c r="B33" s="75" t="s">
        <v>383</v>
      </c>
      <c r="C33" s="314">
        <f>+C31</f>
        <v>424079.9146866285</v>
      </c>
      <c r="D33" s="314">
        <f>IF(AND(D31=0,D32=0),0,+C33+D31)</f>
        <v>1337923.4335749494</v>
      </c>
      <c r="E33" s="314">
        <f t="shared" ref="E33:M33" si="0">IF(AND(E31=0,E32=0),0,+D33+E31)</f>
        <v>1770980.9172928263</v>
      </c>
      <c r="F33" s="314">
        <f t="shared" si="0"/>
        <v>2394267.6233103643</v>
      </c>
      <c r="G33" s="314">
        <f t="shared" si="0"/>
        <v>3100053.5928245177</v>
      </c>
      <c r="H33" s="314">
        <f t="shared" si="0"/>
        <v>4244265.8025888493</v>
      </c>
      <c r="I33" s="314">
        <f t="shared" si="0"/>
        <v>5406657.9342111498</v>
      </c>
      <c r="J33" s="314">
        <f t="shared" si="0"/>
        <v>6226822.5061334791</v>
      </c>
      <c r="K33" s="314">
        <f t="shared" si="0"/>
        <v>6878282.107988988</v>
      </c>
      <c r="L33" s="314">
        <f t="shared" si="0"/>
        <v>7755259.8662887113</v>
      </c>
      <c r="M33" s="314">
        <f t="shared" si="0"/>
        <v>8685605.1074573547</v>
      </c>
      <c r="N33" s="314">
        <f t="shared" ref="N33" si="1">IF(AND(N31=0,N32=0),0,+M33+N31)</f>
        <v>10526386.835724529</v>
      </c>
      <c r="O33" s="314">
        <f t="shared" ref="O33" si="2">IF(AND(O31=0,O32=0),0,+N33+O31)</f>
        <v>11730941.630486639</v>
      </c>
      <c r="P33" s="314">
        <f t="shared" ref="P33" si="3">IF(AND(P31=0,P32=0),0,+O33+P31)</f>
        <v>12265386.070854889</v>
      </c>
      <c r="Q33" s="643"/>
      <c r="R33" s="296"/>
      <c r="S33" s="168"/>
      <c r="T33" s="169">
        <f>+G33</f>
        <v>3100053.5928245177</v>
      </c>
      <c r="U33" s="167"/>
    </row>
    <row r="34" spans="2:21" ht="15.75" thickBot="1">
      <c r="B34" s="76" t="s">
        <v>384</v>
      </c>
      <c r="C34" s="315">
        <f>+C32</f>
        <v>695428.56</v>
      </c>
      <c r="D34" s="315">
        <f>IF(AND(D31=0,D32=0),0,+C34+D32)</f>
        <v>1677808.6600000001</v>
      </c>
      <c r="E34" s="315">
        <f t="shared" ref="E34:M34" si="4">IF(AND(E31=0,E32=0),0,+D34+E32)</f>
        <v>2351701.87</v>
      </c>
      <c r="F34" s="315">
        <f t="shared" si="4"/>
        <v>3162772.9000000004</v>
      </c>
      <c r="G34" s="315">
        <f>IF(AND(G31=0,G32=0),0,+F34+G32)</f>
        <v>4827622.7300000004</v>
      </c>
      <c r="H34" s="315">
        <f t="shared" si="4"/>
        <v>5155971.7200000007</v>
      </c>
      <c r="I34" s="315">
        <f t="shared" si="4"/>
        <v>6454914</v>
      </c>
      <c r="J34" s="315">
        <f t="shared" si="4"/>
        <v>7125948.0600000005</v>
      </c>
      <c r="K34" s="315">
        <f t="shared" si="4"/>
        <v>7413066.8300000001</v>
      </c>
      <c r="L34" s="315">
        <f t="shared" si="4"/>
        <v>8448136.1699999999</v>
      </c>
      <c r="M34" s="315">
        <f t="shared" si="4"/>
        <v>9186057.3599999994</v>
      </c>
      <c r="N34" s="315">
        <f t="shared" ref="N34" si="5">IF(AND(N31=0,N32=0),0,+M34+N32)</f>
        <v>10547228.689999999</v>
      </c>
      <c r="O34" s="315">
        <f t="shared" ref="O34" si="6">IF(AND(O31=0,O32=0),0,+N34+O32)</f>
        <v>10597517.58</v>
      </c>
      <c r="P34" s="315">
        <f t="shared" ref="P34" si="7">IF(AND(P31=0,P32=0),0,+O34+P32)</f>
        <v>11138169.09</v>
      </c>
      <c r="Q34" s="644"/>
      <c r="R34" s="296"/>
      <c r="S34" s="168"/>
      <c r="T34" s="169">
        <f>+H33</f>
        <v>4244265.8025888493</v>
      </c>
      <c r="U34" s="167"/>
    </row>
    <row r="35" spans="2:21">
      <c r="C35" s="279">
        <f>+IF(AND(C30=$C$16,C33&lt;&gt;0),C34/C33,0)</f>
        <v>0</v>
      </c>
      <c r="D35" s="279">
        <f t="shared" ref="D35:P35" si="8">+IF(AND(D30=$C$16,D33&lt;&gt;0),D34/D33,0)</f>
        <v>0</v>
      </c>
      <c r="E35" s="279">
        <f t="shared" si="8"/>
        <v>0</v>
      </c>
      <c r="F35" s="279">
        <f t="shared" si="8"/>
        <v>0</v>
      </c>
      <c r="G35" s="279">
        <f t="shared" si="8"/>
        <v>0</v>
      </c>
      <c r="H35" s="279">
        <f t="shared" si="8"/>
        <v>0</v>
      </c>
      <c r="I35" s="279">
        <f t="shared" si="8"/>
        <v>0</v>
      </c>
      <c r="J35" s="279">
        <f t="shared" si="8"/>
        <v>0</v>
      </c>
      <c r="K35" s="279">
        <f t="shared" si="8"/>
        <v>0</v>
      </c>
      <c r="L35" s="279">
        <f t="shared" si="8"/>
        <v>0</v>
      </c>
      <c r="M35" s="279">
        <f t="shared" si="8"/>
        <v>0</v>
      </c>
      <c r="N35" s="279"/>
      <c r="O35" s="279"/>
      <c r="P35" s="279">
        <f t="shared" si="8"/>
        <v>0</v>
      </c>
      <c r="Q35" s="165"/>
      <c r="R35" s="170"/>
      <c r="S35" s="168"/>
      <c r="T35" s="169">
        <f>+I33</f>
        <v>5406657.9342111498</v>
      </c>
      <c r="U35" s="167"/>
    </row>
    <row r="36" spans="2:21" ht="18.75">
      <c r="B36" s="71" t="s">
        <v>376</v>
      </c>
      <c r="E36" s="290"/>
      <c r="G36" s="212"/>
      <c r="P36" s="29"/>
      <c r="Q36" s="29"/>
    </row>
    <row r="37" spans="2:21" ht="15.75" thickBot="1">
      <c r="P37" s="16"/>
      <c r="Q37" s="16"/>
    </row>
    <row r="38" spans="2:21" ht="30" customHeight="1">
      <c r="B38" s="324" t="s">
        <v>398</v>
      </c>
      <c r="C38" s="325" t="str">
        <f>CONCATENATE("Cumulative Budget (in ",'Data Entry'!$D$26,")")</f>
        <v>Cumulative Budget (in $)</v>
      </c>
      <c r="D38" s="326" t="str">
        <f>CONCATENATE("Cumulative Expenditures (in ",'Data Entry'!$D$26,")")</f>
        <v>Cumulative Expenditures (in $)</v>
      </c>
      <c r="E38" s="453"/>
      <c r="H38" s="165"/>
      <c r="J38" s="30"/>
      <c r="K38" s="490"/>
    </row>
    <row r="39" spans="2:21" ht="30" customHeight="1">
      <c r="B39" s="327" t="s">
        <v>414</v>
      </c>
      <c r="C39" s="395">
        <v>1656132.9904864714</v>
      </c>
      <c r="D39" s="455">
        <f>1601284+15422.18</f>
        <v>1616706.18</v>
      </c>
      <c r="E39" s="453"/>
      <c r="F39" s="102"/>
      <c r="G39" s="297"/>
      <c r="I39" s="165"/>
      <c r="J39" s="80"/>
      <c r="K39" s="477"/>
      <c r="L39" s="477"/>
      <c r="M39" s="477"/>
      <c r="N39" s="481"/>
      <c r="O39" s="481"/>
      <c r="P39" s="481"/>
      <c r="Q39" s="481"/>
      <c r="R39" s="482"/>
      <c r="S39" s="482"/>
    </row>
    <row r="40" spans="2:21" ht="27" customHeight="1">
      <c r="B40" s="327" t="s">
        <v>415</v>
      </c>
      <c r="C40" s="395">
        <v>1430613.9780110903</v>
      </c>
      <c r="D40" s="455">
        <f>1233078.49+8300.88</f>
        <v>1241379.3699999999</v>
      </c>
      <c r="E40" s="453"/>
      <c r="F40" s="102"/>
      <c r="G40" s="297"/>
      <c r="I40" s="165"/>
      <c r="K40" s="477"/>
      <c r="L40" s="477"/>
      <c r="M40" s="477"/>
      <c r="N40" s="481"/>
      <c r="O40" s="481"/>
      <c r="P40" s="481"/>
      <c r="Q40" s="481"/>
      <c r="R40" s="482"/>
      <c r="S40" s="482"/>
    </row>
    <row r="41" spans="2:21" ht="29.1" customHeight="1">
      <c r="B41" s="327" t="s">
        <v>436</v>
      </c>
      <c r="C41" s="395">
        <v>1917580.7546870101</v>
      </c>
      <c r="D41" s="455">
        <f>1643791.32+39189.17</f>
        <v>1682980.49</v>
      </c>
      <c r="E41" s="453"/>
      <c r="F41" s="102"/>
      <c r="I41" s="165"/>
      <c r="K41" s="477"/>
      <c r="L41" s="477"/>
      <c r="M41" s="477"/>
      <c r="N41" s="481"/>
      <c r="O41" s="481"/>
      <c r="P41" s="481"/>
      <c r="Q41" s="481"/>
      <c r="R41" s="482"/>
      <c r="S41" s="482"/>
    </row>
    <row r="42" spans="2:21" ht="30" customHeight="1">
      <c r="B42" s="327" t="s">
        <v>437</v>
      </c>
      <c r="C42" s="395">
        <v>4785026.1433185292</v>
      </c>
      <c r="D42" s="455">
        <f>3577343.77+139499.99</f>
        <v>3716843.76</v>
      </c>
      <c r="E42" s="453"/>
      <c r="F42" s="102"/>
      <c r="I42" s="165"/>
      <c r="K42" s="477"/>
      <c r="L42" s="477"/>
      <c r="M42" s="477"/>
      <c r="N42" s="481"/>
      <c r="O42" s="481"/>
      <c r="P42" s="481"/>
      <c r="Q42" s="481"/>
      <c r="R42" s="482"/>
      <c r="S42" s="482"/>
    </row>
    <row r="43" spans="2:21" ht="30">
      <c r="B43" s="327" t="s">
        <v>438</v>
      </c>
      <c r="C43" s="395">
        <v>700146.13257148501</v>
      </c>
      <c r="D43" s="455">
        <f>626910.81+15429.47</f>
        <v>642340.28</v>
      </c>
      <c r="E43" s="453"/>
      <c r="F43" s="102"/>
      <c r="I43" s="165"/>
      <c r="K43" s="477"/>
      <c r="L43" s="477"/>
      <c r="M43" s="477"/>
      <c r="N43" s="481"/>
      <c r="O43" s="481"/>
      <c r="P43" s="481"/>
      <c r="Q43" s="481"/>
      <c r="R43" s="482"/>
      <c r="S43" s="482"/>
    </row>
    <row r="44" spans="2:21">
      <c r="B44" s="327" t="s">
        <v>439</v>
      </c>
      <c r="C44" s="395">
        <v>336926.76693446311</v>
      </c>
      <c r="D44" s="455">
        <f>305403.32+6882.54</f>
        <v>312285.86</v>
      </c>
      <c r="E44" s="453"/>
      <c r="F44" s="102"/>
      <c r="I44" s="165"/>
      <c r="K44" s="477"/>
      <c r="L44" s="477"/>
      <c r="M44" s="477"/>
      <c r="N44" s="481"/>
      <c r="O44" s="481"/>
      <c r="P44" s="481"/>
      <c r="Q44" s="481"/>
      <c r="R44" s="482"/>
      <c r="S44" s="482"/>
    </row>
    <row r="45" spans="2:21" ht="30">
      <c r="B45" s="327" t="s">
        <v>440</v>
      </c>
      <c r="C45" s="395">
        <v>43014.88052099663</v>
      </c>
      <c r="D45" s="455">
        <v>0</v>
      </c>
      <c r="E45" s="453"/>
      <c r="F45" s="102"/>
      <c r="I45" s="165"/>
      <c r="K45" s="477"/>
      <c r="L45" s="477"/>
      <c r="M45" s="477"/>
      <c r="N45" s="477"/>
      <c r="O45" s="477"/>
      <c r="P45" s="477"/>
      <c r="Q45" s="477"/>
      <c r="R45" s="482"/>
      <c r="S45" s="165"/>
    </row>
    <row r="46" spans="2:21" ht="15.75" thickBot="1">
      <c r="B46" s="447" t="s">
        <v>447</v>
      </c>
      <c r="C46" s="448">
        <v>1395944.4289732846</v>
      </c>
      <c r="D46" s="455">
        <v>1430018.37</v>
      </c>
      <c r="E46" s="453"/>
      <c r="F46" s="102"/>
      <c r="I46" s="165"/>
      <c r="K46" s="477"/>
      <c r="L46" s="477"/>
      <c r="M46" s="477"/>
      <c r="N46" s="477"/>
      <c r="O46" s="477"/>
      <c r="P46" s="477"/>
      <c r="Q46" s="477"/>
      <c r="R46" s="477"/>
      <c r="S46" s="453"/>
    </row>
    <row r="47" spans="2:21" ht="15.75" thickBot="1">
      <c r="B47" s="328" t="s">
        <v>58</v>
      </c>
      <c r="C47" s="396">
        <f>SUM(C39:C46)</f>
        <v>12265386.075503331</v>
      </c>
      <c r="D47" s="396">
        <f>SUM(D39:D46)</f>
        <v>10642554.309999999</v>
      </c>
      <c r="E47" s="165"/>
      <c r="F47" s="648" t="e">
        <f ca="1">+IF((ROUND(C47,0)=ROUND(OFFSET(B33,0,RIGHT('Data Entry'!$C$16,LEN('Data Entry'!$C$16)-1),1,1),0)),"OK: Data match","Warning: Data does not match")</f>
        <v>#VALUE!</v>
      </c>
      <c r="G47" s="649"/>
      <c r="H47" s="649"/>
      <c r="I47" s="650"/>
      <c r="J47" s="501">
        <f>C47-SUM(C31:P31)</f>
        <v>4.6484414488077164E-3</v>
      </c>
      <c r="K47" s="165"/>
      <c r="L47" s="165"/>
      <c r="M47" s="170"/>
      <c r="N47" s="170"/>
      <c r="O47" s="170"/>
      <c r="P47" s="168"/>
      <c r="Q47" s="169"/>
      <c r="R47" s="167"/>
      <c r="S47" s="102"/>
    </row>
    <row r="48" spans="2:21">
      <c r="C48" s="165"/>
      <c r="D48" s="165"/>
      <c r="E48" s="224"/>
      <c r="F48" s="165"/>
      <c r="G48" s="165"/>
      <c r="H48" s="165"/>
      <c r="I48" s="165"/>
      <c r="J48" s="165"/>
      <c r="K48" s="165"/>
      <c r="L48" s="165"/>
      <c r="M48" s="165"/>
      <c r="N48" s="165"/>
      <c r="O48" s="165"/>
      <c r="P48" s="165"/>
      <c r="Q48" s="165"/>
      <c r="R48" s="170"/>
      <c r="S48" s="168"/>
      <c r="T48" s="169"/>
      <c r="U48" s="167"/>
    </row>
    <row r="49" spans="2:21" ht="18.75">
      <c r="B49" s="71" t="s">
        <v>375</v>
      </c>
      <c r="R49" s="167"/>
      <c r="S49" s="168"/>
      <c r="T49" s="169">
        <f>+J33</f>
        <v>6226822.5061334791</v>
      </c>
      <c r="U49" s="167"/>
    </row>
    <row r="50" spans="2:21" ht="15.75" thickBot="1">
      <c r="F50" s="165"/>
      <c r="R50" s="167"/>
      <c r="S50" s="168"/>
      <c r="T50" s="169">
        <f>+K33</f>
        <v>6878282.107988988</v>
      </c>
      <c r="U50" s="167"/>
    </row>
    <row r="51" spans="2:21" ht="35.25" customHeight="1">
      <c r="B51" s="241"/>
      <c r="C51" s="242" t="s">
        <v>373</v>
      </c>
      <c r="D51" s="242" t="s">
        <v>374</v>
      </c>
      <c r="E51" s="335" t="str">
        <f>CONCATENATE("Total Spent and Disbursement (in ",D26,")")</f>
        <v>Total Spent and Disbursement (in $)</v>
      </c>
      <c r="G51" s="478"/>
      <c r="H51" s="238"/>
      <c r="I51" s="230"/>
      <c r="J51" s="475"/>
      <c r="K51" s="480"/>
      <c r="L51" s="230"/>
      <c r="M51" s="15"/>
      <c r="N51" s="15"/>
      <c r="O51" s="15"/>
      <c r="P51" s="15"/>
      <c r="Q51" s="167"/>
      <c r="R51" s="168"/>
      <c r="S51" s="169">
        <f>+M33</f>
        <v>8685605.1074573547</v>
      </c>
      <c r="T51" s="167"/>
    </row>
    <row r="52" spans="2:21">
      <c r="B52" s="239" t="s">
        <v>309</v>
      </c>
      <c r="C52" s="449">
        <f>C32+D32+E32+F32+G32+H32+I32+J32+K32+L32+M32+N32+O32</f>
        <v>10597517.58</v>
      </c>
      <c r="D52" s="450">
        <f>P32</f>
        <v>540651.51</v>
      </c>
      <c r="E52" s="318">
        <f>+D52+C52</f>
        <v>11138169.09</v>
      </c>
      <c r="G52" s="479"/>
      <c r="H52" s="243"/>
      <c r="I52" s="77"/>
      <c r="J52" s="474"/>
      <c r="K52" s="480"/>
      <c r="L52" s="78"/>
      <c r="M52" s="26"/>
      <c r="N52" s="26"/>
      <c r="O52" s="26"/>
      <c r="P52" s="26"/>
      <c r="Q52" s="167"/>
      <c r="R52" s="167"/>
      <c r="S52" s="167"/>
      <c r="T52" s="167"/>
    </row>
    <row r="53" spans="2:21">
      <c r="B53" s="239" t="s">
        <v>288</v>
      </c>
      <c r="C53" s="317">
        <v>9705250.4399999995</v>
      </c>
      <c r="D53" s="317">
        <f>712579.64+224724.23</f>
        <v>937303.87</v>
      </c>
      <c r="E53" s="318">
        <f>+D53+C53</f>
        <v>10642554.309999999</v>
      </c>
      <c r="G53" s="487"/>
      <c r="H53" s="243"/>
      <c r="I53" s="243"/>
      <c r="J53" s="243"/>
      <c r="K53" s="480"/>
      <c r="L53" s="78"/>
      <c r="M53" s="27"/>
      <c r="N53" s="27"/>
      <c r="O53" s="27"/>
      <c r="P53" s="27"/>
      <c r="Q53" s="167"/>
      <c r="R53" s="167"/>
      <c r="S53" s="167"/>
      <c r="T53" s="167"/>
    </row>
    <row r="54" spans="2:21">
      <c r="B54" s="239" t="s">
        <v>441</v>
      </c>
      <c r="C54" s="316">
        <v>503148.50068893528</v>
      </c>
      <c r="D54" s="317">
        <f>32298.42+5405.01</f>
        <v>37703.43</v>
      </c>
      <c r="E54" s="318">
        <f>+D54+C54</f>
        <v>540851.93068893533</v>
      </c>
      <c r="F54" s="165"/>
      <c r="G54" s="483"/>
      <c r="H54" s="483"/>
      <c r="I54" s="485"/>
      <c r="J54" s="488"/>
      <c r="K54" s="473"/>
      <c r="L54" s="78"/>
      <c r="M54" s="26"/>
      <c r="N54" s="26"/>
      <c r="O54" s="26"/>
      <c r="P54" s="26"/>
    </row>
    <row r="55" spans="2:21" ht="15.75" thickBot="1">
      <c r="B55" s="240" t="s">
        <v>268</v>
      </c>
      <c r="C55" s="316">
        <v>508262.55999999994</v>
      </c>
      <c r="D55" s="317">
        <v>15747</v>
      </c>
      <c r="E55" s="319">
        <f>+D55+C55</f>
        <v>524009.55999999994</v>
      </c>
      <c r="G55" s="483"/>
      <c r="H55" s="483"/>
      <c r="I55" s="483"/>
      <c r="J55" s="488"/>
      <c r="K55" s="473"/>
      <c r="L55" s="484"/>
      <c r="M55" s="27"/>
      <c r="N55" s="27"/>
      <c r="O55" s="27"/>
      <c r="P55" s="27"/>
    </row>
    <row r="56" spans="2:21" ht="15.75" customHeight="1">
      <c r="G56" s="486"/>
      <c r="H56" s="453"/>
      <c r="I56" s="453"/>
      <c r="J56" s="476"/>
      <c r="K56" s="473"/>
    </row>
    <row r="57" spans="2:21">
      <c r="D57" s="228"/>
    </row>
    <row r="58" spans="2:21" ht="18.75">
      <c r="B58" s="71" t="s">
        <v>378</v>
      </c>
    </row>
    <row r="59" spans="2:21" ht="15.75" thickBot="1"/>
    <row r="60" spans="2:21">
      <c r="B60" s="719" t="s">
        <v>344</v>
      </c>
      <c r="C60" s="720"/>
      <c r="D60" s="721"/>
    </row>
    <row r="61" spans="2:21">
      <c r="B61" s="81"/>
      <c r="C61" s="245" t="s">
        <v>60</v>
      </c>
      <c r="D61" s="246" t="s">
        <v>61</v>
      </c>
    </row>
    <row r="62" spans="2:21">
      <c r="B62" s="82" t="s">
        <v>1</v>
      </c>
      <c r="C62" s="298">
        <v>60</v>
      </c>
      <c r="D62" s="298" t="s">
        <v>430</v>
      </c>
    </row>
    <row r="63" spans="2:21">
      <c r="B63" s="244" t="s">
        <v>361</v>
      </c>
      <c r="C63" s="298">
        <v>45</v>
      </c>
      <c r="D63" s="299" t="s">
        <v>430</v>
      </c>
      <c r="H63" s="243"/>
      <c r="I63" s="243"/>
    </row>
    <row r="64" spans="2:21" ht="15.75" thickBot="1">
      <c r="B64" s="83" t="s">
        <v>362</v>
      </c>
      <c r="C64" s="300">
        <v>5</v>
      </c>
      <c r="D64" s="301">
        <v>5</v>
      </c>
      <c r="H64" s="243"/>
      <c r="I64" s="243"/>
    </row>
    <row r="66" spans="2:21" ht="15.75" thickBot="1">
      <c r="L66" s="331"/>
    </row>
    <row r="67" spans="2:21" ht="19.5" thickBot="1">
      <c r="B67" s="84" t="s">
        <v>262</v>
      </c>
      <c r="C67" s="85"/>
      <c r="D67" s="85"/>
      <c r="E67" s="85"/>
      <c r="F67" s="85"/>
      <c r="G67" s="85"/>
      <c r="H67" s="268" t="s">
        <v>302</v>
      </c>
      <c r="I67" s="85"/>
      <c r="J67" s="86"/>
      <c r="K67" s="86"/>
      <c r="L67" s="332"/>
      <c r="M67" s="333"/>
      <c r="N67" s="87"/>
      <c r="O67" s="87"/>
      <c r="P67" s="65"/>
      <c r="Q67" s="65"/>
      <c r="R67" s="65"/>
      <c r="U67" s="31"/>
    </row>
    <row r="68" spans="2:21" ht="18.75">
      <c r="B68" s="88"/>
      <c r="C68" s="87"/>
      <c r="D68" s="87"/>
      <c r="E68" s="87"/>
      <c r="F68" s="87"/>
      <c r="G68" s="87"/>
      <c r="H68" s="87"/>
      <c r="I68" s="87"/>
      <c r="J68" s="87"/>
      <c r="K68" s="89"/>
      <c r="L68" s="89"/>
      <c r="M68" s="87"/>
      <c r="N68" s="87"/>
      <c r="O68" s="87"/>
      <c r="P68" s="65"/>
      <c r="Q68" s="65"/>
      <c r="R68" s="65"/>
      <c r="U68" s="31"/>
    </row>
    <row r="69" spans="2:21" ht="18.75" hidden="1">
      <c r="B69" s="88" t="s">
        <v>379</v>
      </c>
      <c r="C69" s="87"/>
      <c r="D69" s="87"/>
      <c r="E69" s="87"/>
      <c r="F69" s="87"/>
      <c r="G69" s="87"/>
      <c r="H69" s="87"/>
      <c r="I69" s="87"/>
      <c r="J69" s="87"/>
      <c r="K69" s="89"/>
      <c r="L69" s="89"/>
      <c r="M69" s="87"/>
      <c r="N69" s="87"/>
      <c r="O69" s="87"/>
      <c r="P69" s="65"/>
      <c r="Q69" s="65"/>
      <c r="R69" s="65"/>
      <c r="U69" s="31"/>
    </row>
    <row r="70" spans="2:21" ht="15.75" hidden="1" thickBot="1">
      <c r="C70" s="21"/>
      <c r="D70" s="21"/>
      <c r="E70" s="21"/>
      <c r="F70" s="21"/>
      <c r="G70" s="21"/>
      <c r="I70" s="21"/>
    </row>
    <row r="71" spans="2:21" ht="30" hidden="1">
      <c r="B71" s="662"/>
      <c r="C71" s="663"/>
      <c r="D71" s="91" t="s">
        <v>117</v>
      </c>
      <c r="E71" s="92" t="s">
        <v>294</v>
      </c>
      <c r="F71" s="92" t="s">
        <v>118</v>
      </c>
      <c r="G71" s="93" t="s">
        <v>58</v>
      </c>
      <c r="H71" s="254"/>
      <c r="I71" s="255"/>
    </row>
    <row r="72" spans="2:21" hidden="1">
      <c r="B72" s="705" t="s">
        <v>433</v>
      </c>
      <c r="C72" s="706"/>
      <c r="D72" s="209"/>
      <c r="E72" s="209"/>
      <c r="F72" s="209"/>
      <c r="G72" s="94">
        <f>SUM(D72:F72)</f>
        <v>0</v>
      </c>
      <c r="H72" s="237"/>
      <c r="I72" s="253"/>
      <c r="J72" s="253"/>
    </row>
    <row r="73" spans="2:21" ht="15.75" hidden="1" thickBot="1">
      <c r="B73" s="654"/>
      <c r="C73" s="655"/>
      <c r="D73" s="210"/>
      <c r="E73" s="210"/>
      <c r="F73" s="210"/>
      <c r="G73" s="95"/>
      <c r="H73" s="237"/>
    </row>
    <row r="76" spans="2:21" ht="18.75">
      <c r="B76" s="88" t="s">
        <v>380</v>
      </c>
    </row>
    <row r="77" spans="2:21" ht="15.75" thickBot="1"/>
    <row r="78" spans="2:21">
      <c r="B78" s="96"/>
      <c r="C78" s="90" t="s">
        <v>63</v>
      </c>
      <c r="D78" s="90" t="s">
        <v>81</v>
      </c>
      <c r="E78" s="97" t="s">
        <v>64</v>
      </c>
      <c r="I78" s="255"/>
    </row>
    <row r="79" spans="2:21" ht="15.75" thickBot="1">
      <c r="B79" s="397" t="s">
        <v>310</v>
      </c>
      <c r="C79" s="291">
        <v>17</v>
      </c>
      <c r="D79" s="291">
        <v>17</v>
      </c>
      <c r="E79" s="292">
        <f>+C79-D79</f>
        <v>0</v>
      </c>
      <c r="F79" s="217"/>
      <c r="G79" s="225"/>
      <c r="I79" s="253"/>
    </row>
    <row r="81" spans="2:16" ht="18.75">
      <c r="B81" s="88" t="s">
        <v>454</v>
      </c>
    </row>
    <row r="82" spans="2:16" ht="15.75" thickBot="1">
      <c r="H82" s="421"/>
      <c r="I82" s="421"/>
      <c r="J82" s="421"/>
      <c r="K82" s="421"/>
      <c r="L82" s="421"/>
      <c r="M82" s="421"/>
      <c r="N82" s="421"/>
      <c r="O82" s="421"/>
      <c r="P82" s="421"/>
    </row>
    <row r="83" spans="2:16" ht="30">
      <c r="B83" s="96"/>
      <c r="C83" s="90" t="s">
        <v>289</v>
      </c>
      <c r="D83" s="90" t="s">
        <v>67</v>
      </c>
      <c r="E83" s="90" t="s">
        <v>82</v>
      </c>
      <c r="F83" s="90" t="s">
        <v>68</v>
      </c>
      <c r="G83" s="118" t="s">
        <v>119</v>
      </c>
      <c r="H83" s="422"/>
      <c r="I83" s="423"/>
      <c r="J83" s="424"/>
      <c r="K83" s="424"/>
      <c r="L83" s="424"/>
      <c r="M83" s="424"/>
      <c r="N83" s="424"/>
      <c r="O83" s="424"/>
      <c r="P83" s="424"/>
    </row>
    <row r="84" spans="2:16" ht="15.75" thickBot="1">
      <c r="B84" s="397" t="s">
        <v>455</v>
      </c>
      <c r="C84" s="291">
        <v>6</v>
      </c>
      <c r="D84" s="291">
        <v>6</v>
      </c>
      <c r="E84" s="291">
        <v>6</v>
      </c>
      <c r="F84" s="291">
        <v>6</v>
      </c>
      <c r="G84" s="293">
        <v>6</v>
      </c>
      <c r="H84" s="425"/>
      <c r="I84" s="426"/>
      <c r="J84" s="424"/>
      <c r="K84" s="424"/>
      <c r="L84" s="424"/>
      <c r="M84" s="424"/>
      <c r="N84" s="424"/>
      <c r="O84" s="424"/>
      <c r="P84" s="424"/>
    </row>
    <row r="86" spans="2:16" ht="18.75">
      <c r="B86" s="88" t="s">
        <v>381</v>
      </c>
    </row>
    <row r="87" spans="2:16" ht="15.75" thickBot="1"/>
    <row r="88" spans="2:16">
      <c r="B88" s="96"/>
      <c r="C88" s="98" t="s">
        <v>65</v>
      </c>
      <c r="D88" s="98" t="s">
        <v>66</v>
      </c>
      <c r="E88" s="99" t="s">
        <v>286</v>
      </c>
    </row>
    <row r="89" spans="2:16">
      <c r="B89" s="398" t="s">
        <v>385</v>
      </c>
      <c r="C89" s="209">
        <v>180</v>
      </c>
      <c r="D89" s="211">
        <v>180</v>
      </c>
      <c r="E89" s="256">
        <f>C89-D89</f>
        <v>0</v>
      </c>
    </row>
    <row r="90" spans="2:16" ht="15.75" thickBot="1">
      <c r="B90" s="399" t="s">
        <v>386</v>
      </c>
      <c r="C90" s="407">
        <v>24</v>
      </c>
      <c r="D90" s="408">
        <v>24</v>
      </c>
      <c r="E90" s="409">
        <f>C90-D90</f>
        <v>0</v>
      </c>
    </row>
    <row r="92" spans="2:16" ht="18.75">
      <c r="B92" s="88" t="s">
        <v>387</v>
      </c>
    </row>
    <row r="93" spans="2:16" ht="15.75" thickBot="1"/>
    <row r="94" spans="2:16">
      <c r="B94" s="174"/>
      <c r="C94" s="304" t="s">
        <v>105</v>
      </c>
      <c r="D94" s="304" t="s">
        <v>106</v>
      </c>
      <c r="E94" s="304" t="s">
        <v>107</v>
      </c>
      <c r="F94" s="304" t="s">
        <v>108</v>
      </c>
      <c r="G94" s="304" t="s">
        <v>120</v>
      </c>
      <c r="H94" s="304" t="s">
        <v>121</v>
      </c>
      <c r="I94" s="304" t="s">
        <v>122</v>
      </c>
      <c r="J94" s="304" t="s">
        <v>123</v>
      </c>
      <c r="K94" s="304" t="s">
        <v>124</v>
      </c>
      <c r="L94" s="304" t="s">
        <v>125</v>
      </c>
      <c r="M94" s="304" t="s">
        <v>126</v>
      </c>
      <c r="N94" s="464" t="s">
        <v>285</v>
      </c>
      <c r="O94" s="305" t="s">
        <v>458</v>
      </c>
      <c r="P94" s="305" t="s">
        <v>460</v>
      </c>
    </row>
    <row r="95" spans="2:16" ht="15" customHeight="1">
      <c r="B95" s="306" t="s">
        <v>365</v>
      </c>
      <c r="C95" s="294">
        <v>11777.304772573896</v>
      </c>
      <c r="D95" s="294">
        <v>99769.113537960671</v>
      </c>
      <c r="E95" s="294">
        <v>37005</v>
      </c>
      <c r="F95" s="294">
        <v>137737.2126098205</v>
      </c>
      <c r="G95" s="294">
        <v>230451</v>
      </c>
      <c r="H95" s="294">
        <v>545043</v>
      </c>
      <c r="I95" s="294">
        <v>620925</v>
      </c>
      <c r="J95" s="294">
        <v>299640</v>
      </c>
      <c r="K95" s="294">
        <v>187843</v>
      </c>
      <c r="L95" s="294">
        <v>273966</v>
      </c>
      <c r="M95" s="294">
        <v>245215</v>
      </c>
      <c r="N95" s="366">
        <v>695911</v>
      </c>
      <c r="O95" s="366">
        <v>651003</v>
      </c>
      <c r="P95" s="366">
        <v>0</v>
      </c>
    </row>
    <row r="96" spans="2:16" ht="15" customHeight="1">
      <c r="B96" s="306" t="s">
        <v>363</v>
      </c>
      <c r="C96" s="294">
        <f>221242/2.9552</f>
        <v>74865.322144017322</v>
      </c>
      <c r="D96" s="294">
        <v>176515</v>
      </c>
      <c r="E96" s="294">
        <f>323175.18/3.2845</f>
        <v>98394.026488049931</v>
      </c>
      <c r="F96" s="294">
        <f>890361.532/3.0552</f>
        <v>291424.95810421574</v>
      </c>
      <c r="G96" s="294">
        <f>751211.072/3.2878+157210.6+21000+53434.4</f>
        <v>460129.41876026528</v>
      </c>
      <c r="H96" s="294">
        <v>935731.39101934945</v>
      </c>
      <c r="I96" s="294">
        <f>77131.99+42575+(30430+6208)/3.4118</f>
        <v>130445.60304883054</v>
      </c>
      <c r="J96" s="456">
        <v>355730.89367338549</v>
      </c>
      <c r="K96" s="456">
        <v>206197.40185858851</v>
      </c>
      <c r="L96" s="294">
        <v>48860</v>
      </c>
      <c r="M96" s="294">
        <v>94774.510226103201</v>
      </c>
      <c r="N96" s="366">
        <v>296143.15000000002</v>
      </c>
      <c r="O96" s="366">
        <v>159965.03308462116</v>
      </c>
      <c r="P96" s="366">
        <v>0</v>
      </c>
    </row>
    <row r="97" spans="2:16" ht="15" customHeight="1">
      <c r="B97" s="306" t="s">
        <v>311</v>
      </c>
      <c r="C97" s="294">
        <v>11777</v>
      </c>
      <c r="D97" s="294">
        <v>138236.94007897607</v>
      </c>
      <c r="E97" s="294">
        <v>38007.949999999997</v>
      </c>
      <c r="F97" s="294">
        <v>137737.21</v>
      </c>
      <c r="G97" s="294">
        <v>238186.62</v>
      </c>
      <c r="H97" s="294">
        <v>551176.68084143265</v>
      </c>
      <c r="I97" s="294">
        <v>734561.84</v>
      </c>
      <c r="J97" s="294">
        <v>129411.53</v>
      </c>
      <c r="K97" s="294">
        <v>209486.41</v>
      </c>
      <c r="L97" s="294">
        <v>217979.41999999998</v>
      </c>
      <c r="M97" s="294">
        <v>197009.90011063241</v>
      </c>
      <c r="N97" s="366">
        <v>147785.31632602887</v>
      </c>
      <c r="O97" s="366">
        <v>307140.79648645618</v>
      </c>
      <c r="P97" s="366">
        <f>67571.03+92393.53</f>
        <v>159964.56</v>
      </c>
    </row>
    <row r="98" spans="2:16" ht="15" customHeight="1">
      <c r="B98" s="258" t="s">
        <v>406</v>
      </c>
      <c r="C98" s="295">
        <f>+C95</f>
        <v>11777.304772573896</v>
      </c>
      <c r="D98" s="295">
        <f>+C98+D95</f>
        <v>111546.41831053457</v>
      </c>
      <c r="E98" s="295">
        <f t="shared" ref="E98:M98" si="9">+D98+E95</f>
        <v>148551.41831053456</v>
      </c>
      <c r="F98" s="295">
        <f t="shared" si="9"/>
        <v>286288.63092035509</v>
      </c>
      <c r="G98" s="295">
        <f t="shared" si="9"/>
        <v>516739.63092035509</v>
      </c>
      <c r="H98" s="295">
        <f t="shared" si="9"/>
        <v>1061782.6309203552</v>
      </c>
      <c r="I98" s="295">
        <f t="shared" si="9"/>
        <v>1682707.6309203552</v>
      </c>
      <c r="J98" s="295">
        <f t="shared" si="9"/>
        <v>1982347.6309203552</v>
      </c>
      <c r="K98" s="295">
        <f t="shared" si="9"/>
        <v>2170190.6309203552</v>
      </c>
      <c r="L98" s="295">
        <f t="shared" si="9"/>
        <v>2444156.6309203552</v>
      </c>
      <c r="M98" s="295">
        <f t="shared" si="9"/>
        <v>2689371.6309203552</v>
      </c>
      <c r="N98" s="295">
        <f>+L98+N95</f>
        <v>3140067.6309203552</v>
      </c>
      <c r="O98" s="295"/>
      <c r="P98" s="295"/>
    </row>
    <row r="99" spans="2:16" ht="15" customHeight="1">
      <c r="B99" s="258" t="s">
        <v>5</v>
      </c>
      <c r="C99" s="295">
        <f>+C96</f>
        <v>74865.322144017322</v>
      </c>
      <c r="D99" s="295">
        <f>+C99+D96</f>
        <v>251380.32214401732</v>
      </c>
      <c r="E99" s="295">
        <f t="shared" ref="E99:M99" si="10">+D99+E96</f>
        <v>349774.34863206727</v>
      </c>
      <c r="F99" s="295">
        <f t="shared" si="10"/>
        <v>641199.306736283</v>
      </c>
      <c r="G99" s="295">
        <f t="shared" si="10"/>
        <v>1101328.7254965482</v>
      </c>
      <c r="H99" s="295">
        <f t="shared" si="10"/>
        <v>2037060.1165158977</v>
      </c>
      <c r="I99" s="295">
        <f t="shared" si="10"/>
        <v>2167505.7195647284</v>
      </c>
      <c r="J99" s="295">
        <f t="shared" si="10"/>
        <v>2523236.6132381139</v>
      </c>
      <c r="K99" s="295">
        <f t="shared" si="10"/>
        <v>2729434.0150967026</v>
      </c>
      <c r="L99" s="295">
        <f t="shared" si="10"/>
        <v>2778294.0150967026</v>
      </c>
      <c r="M99" s="295">
        <f t="shared" si="10"/>
        <v>2873068.5253228056</v>
      </c>
      <c r="N99" s="295">
        <f>+L99+N96</f>
        <v>3074437.1650967025</v>
      </c>
      <c r="O99" s="295"/>
      <c r="P99" s="295"/>
    </row>
    <row r="100" spans="2:16" ht="15.75" thickBot="1">
      <c r="B100" s="363" t="s">
        <v>6</v>
      </c>
      <c r="C100" s="364">
        <f>+C97</f>
        <v>11777</v>
      </c>
      <c r="D100" s="365">
        <f>+C100+D97</f>
        <v>150013.94007897607</v>
      </c>
      <c r="E100" s="365">
        <f>+D100+E97</f>
        <v>188021.89007897605</v>
      </c>
      <c r="F100" s="365">
        <f t="shared" ref="F100:M100" si="11">+E100+F97</f>
        <v>325759.10007897601</v>
      </c>
      <c r="G100" s="365">
        <f t="shared" si="11"/>
        <v>563945.72007897601</v>
      </c>
      <c r="H100" s="365">
        <f t="shared" si="11"/>
        <v>1115122.4009204088</v>
      </c>
      <c r="I100" s="365">
        <f t="shared" si="11"/>
        <v>1849684.2409204086</v>
      </c>
      <c r="J100" s="365">
        <f t="shared" si="11"/>
        <v>1979095.7709204087</v>
      </c>
      <c r="K100" s="365">
        <f t="shared" si="11"/>
        <v>2188582.1809204086</v>
      </c>
      <c r="L100" s="365">
        <f t="shared" si="11"/>
        <v>2406561.6009204085</v>
      </c>
      <c r="M100" s="365">
        <f t="shared" si="11"/>
        <v>2603571.5010310411</v>
      </c>
      <c r="N100" s="365">
        <f>+L100+N97</f>
        <v>2554346.9172464372</v>
      </c>
      <c r="O100" s="491"/>
      <c r="P100" s="365"/>
    </row>
    <row r="101" spans="2:16">
      <c r="J101" s="100"/>
      <c r="K101" s="101"/>
      <c r="M101" s="102"/>
      <c r="N101" s="102"/>
      <c r="O101" s="102"/>
    </row>
    <row r="102" spans="2:16">
      <c r="B102" t="s">
        <v>400</v>
      </c>
      <c r="J102" s="100"/>
      <c r="K102" s="101"/>
      <c r="M102" s="102"/>
      <c r="N102" s="102"/>
      <c r="O102" s="102"/>
    </row>
    <row r="103" spans="2:16">
      <c r="J103" s="100"/>
      <c r="K103" s="102"/>
      <c r="M103" s="102"/>
      <c r="N103" s="102"/>
      <c r="O103" s="102"/>
    </row>
    <row r="105" spans="2:16" ht="18.75">
      <c r="B105" s="88" t="s">
        <v>382</v>
      </c>
    </row>
    <row r="106" spans="2:16" ht="15.75" thickBot="1"/>
    <row r="107" spans="2:16" ht="90.75" customHeight="1">
      <c r="B107" s="259" t="s">
        <v>32</v>
      </c>
      <c r="C107" s="260" t="s">
        <v>79</v>
      </c>
      <c r="D107" s="262" t="s">
        <v>413</v>
      </c>
      <c r="E107" s="262" t="s">
        <v>334</v>
      </c>
      <c r="F107" s="261" t="s">
        <v>335</v>
      </c>
      <c r="G107" s="261" t="s">
        <v>336</v>
      </c>
      <c r="H107" s="262" t="s">
        <v>337</v>
      </c>
      <c r="I107" s="262" t="s">
        <v>338</v>
      </c>
      <c r="J107" s="262" t="s">
        <v>339</v>
      </c>
      <c r="K107" s="263" t="s">
        <v>340</v>
      </c>
    </row>
    <row r="108" spans="2:16">
      <c r="B108" s="666" t="s">
        <v>370</v>
      </c>
      <c r="C108" s="457" t="s">
        <v>449</v>
      </c>
      <c r="D108" s="457">
        <v>1</v>
      </c>
      <c r="E108" s="374">
        <f>IF(ISBLANK(D108),"",D108*30)</f>
        <v>30</v>
      </c>
      <c r="F108" s="458">
        <v>3466</v>
      </c>
      <c r="G108" s="374">
        <f>IF(AND(E108&gt;0,F108&gt;0),(F108*E108),"")</f>
        <v>103980</v>
      </c>
      <c r="H108" s="459">
        <v>949170</v>
      </c>
      <c r="I108" s="462">
        <f>IF(AND(G108&gt;0,H108&gt;0),H108/G108,"")</f>
        <v>9.1283900750144262</v>
      </c>
      <c r="J108" s="459">
        <v>3</v>
      </c>
      <c r="K108" s="463">
        <f>IF(AND(I108&gt;0,J108&gt;0),I108-J108,"")</f>
        <v>6.1283900750144262</v>
      </c>
      <c r="L108" s="415"/>
    </row>
    <row r="109" spans="2:16">
      <c r="B109" s="667"/>
      <c r="C109" s="457" t="s">
        <v>412</v>
      </c>
      <c r="D109" s="457">
        <v>0.43</v>
      </c>
      <c r="E109" s="374">
        <f>IF(ISBLANK(D109),"",D109*30)</f>
        <v>12.9</v>
      </c>
      <c r="F109" s="458">
        <v>8000</v>
      </c>
      <c r="G109" s="374">
        <f>IF(AND(E109&gt;0,F109&gt;0),(F109*E109),"")</f>
        <v>103200</v>
      </c>
      <c r="H109" s="459">
        <v>1499300</v>
      </c>
      <c r="I109" s="419">
        <f>IF(AND(G109&gt;0,H109&gt;0),H109/G109,"")</f>
        <v>14.528100775193799</v>
      </c>
      <c r="J109" s="459">
        <v>3</v>
      </c>
      <c r="K109" s="451">
        <f>IF(AND(I109&gt;0,J109&gt;0),I109-J109,"")</f>
        <v>11.528100775193799</v>
      </c>
    </row>
    <row r="110" spans="2:16">
      <c r="B110" s="667"/>
      <c r="C110" s="457" t="s">
        <v>450</v>
      </c>
      <c r="D110" s="457">
        <v>0.28999999999999998</v>
      </c>
      <c r="E110" s="374">
        <f>IF(ISBLANK(D110),"",D110*30)</f>
        <v>8.6999999999999993</v>
      </c>
      <c r="F110" s="459">
        <v>13037</v>
      </c>
      <c r="G110" s="374">
        <f>IF(AND(E110&gt;0,F110&gt;0),(F110*E110),"")</f>
        <v>113421.9</v>
      </c>
      <c r="H110" s="459">
        <v>884880</v>
      </c>
      <c r="I110" s="419">
        <f>IF(AND(G110&gt;0,H110&gt;0),H110/G110,"")</f>
        <v>7.8016679318544302</v>
      </c>
      <c r="J110" s="459">
        <v>3</v>
      </c>
      <c r="K110" s="451">
        <f>IF(AND(I110&gt;0,J110&gt;0),I110-J110,"")</f>
        <v>4.8016679318544302</v>
      </c>
      <c r="L110" s="415"/>
    </row>
    <row r="111" spans="2:16" ht="15.75" thickBot="1">
      <c r="B111" s="668"/>
      <c r="C111" s="457" t="s">
        <v>451</v>
      </c>
      <c r="D111" s="461">
        <v>0.23</v>
      </c>
      <c r="E111" s="373">
        <f>IF(ISBLANK(D111),"",D111*30)</f>
        <v>6.9</v>
      </c>
      <c r="F111" s="459">
        <v>4277</v>
      </c>
      <c r="G111" s="373">
        <f>IF(AND(E111&gt;0,F111&gt;0),(F111*E111),"")</f>
        <v>29511.300000000003</v>
      </c>
      <c r="H111" s="460">
        <v>328200</v>
      </c>
      <c r="I111" s="420">
        <f>IF(AND(G111&gt;0,H111&gt;0),H111/G111,"")</f>
        <v>11.121163757611489</v>
      </c>
      <c r="J111" s="459">
        <v>3</v>
      </c>
      <c r="K111" s="452">
        <f>IF(AND(I111&gt;0,J111&gt;0),I111-J111,"")</f>
        <v>8.1211637576114892</v>
      </c>
    </row>
    <row r="112" spans="2:16">
      <c r="E112" s="372"/>
      <c r="F112" s="421"/>
      <c r="G112" s="371"/>
      <c r="H112" s="421"/>
    </row>
    <row r="113" spans="1:23" ht="15.75" thickBot="1">
      <c r="G113" s="165"/>
      <c r="H113" s="421"/>
      <c r="J113" s="87"/>
      <c r="K113" s="87"/>
    </row>
    <row r="114" spans="1:23" ht="19.5" thickBot="1">
      <c r="B114" s="193" t="s">
        <v>388</v>
      </c>
      <c r="C114" s="103"/>
      <c r="D114" s="103"/>
      <c r="E114" s="104"/>
      <c r="F114" s="104"/>
      <c r="G114" s="104"/>
      <c r="H114" s="104"/>
      <c r="I114" s="194"/>
      <c r="J114" s="277"/>
      <c r="K114" s="278" t="s">
        <v>368</v>
      </c>
      <c r="L114" s="104"/>
      <c r="M114" s="277"/>
      <c r="N114" s="277"/>
      <c r="O114" s="277"/>
      <c r="P114" s="277"/>
      <c r="Q114" s="277"/>
      <c r="R114" s="330"/>
    </row>
    <row r="115" spans="1:23" ht="15.75" thickBot="1">
      <c r="J115" t="s">
        <v>444</v>
      </c>
      <c r="K115" t="s">
        <v>445</v>
      </c>
      <c r="L115" t="s">
        <v>446</v>
      </c>
      <c r="M115" t="s">
        <v>448</v>
      </c>
      <c r="P115" t="s">
        <v>444</v>
      </c>
    </row>
    <row r="116" spans="1:23" ht="21.75" customHeight="1">
      <c r="B116" s="656" t="s">
        <v>394</v>
      </c>
      <c r="C116" s="657"/>
      <c r="D116" s="658"/>
      <c r="E116" s="267" t="s">
        <v>325</v>
      </c>
      <c r="F116" s="231" t="s">
        <v>342</v>
      </c>
      <c r="G116" s="198"/>
      <c r="H116" s="320" t="s">
        <v>105</v>
      </c>
      <c r="I116" s="320" t="s">
        <v>106</v>
      </c>
      <c r="J116" s="320" t="s">
        <v>107</v>
      </c>
      <c r="K116" s="320" t="s">
        <v>108</v>
      </c>
      <c r="L116" s="320" t="s">
        <v>120</v>
      </c>
      <c r="M116" s="320" t="s">
        <v>121</v>
      </c>
      <c r="N116" s="320" t="s">
        <v>122</v>
      </c>
      <c r="O116" s="320"/>
      <c r="P116" s="320" t="s">
        <v>123</v>
      </c>
      <c r="Q116" s="320" t="s">
        <v>124</v>
      </c>
      <c r="R116" s="320" t="s">
        <v>125</v>
      </c>
      <c r="S116" s="320" t="s">
        <v>126</v>
      </c>
      <c r="T116" s="320" t="s">
        <v>285</v>
      </c>
      <c r="U116" s="321" t="s">
        <v>458</v>
      </c>
      <c r="V116" s="321" t="s">
        <v>460</v>
      </c>
      <c r="W116" s="3"/>
    </row>
    <row r="117" spans="1:23" ht="21.75" customHeight="1">
      <c r="B117" s="388"/>
      <c r="C117" s="389"/>
      <c r="D117" s="389"/>
      <c r="E117" s="390"/>
      <c r="F117" s="391"/>
      <c r="G117" s="392"/>
      <c r="H117" s="393"/>
      <c r="I117" s="393"/>
      <c r="J117" s="393"/>
      <c r="K117" s="393"/>
      <c r="L117" s="393"/>
      <c r="M117" s="393"/>
      <c r="N117" s="393"/>
      <c r="O117" s="393"/>
      <c r="P117" s="393"/>
      <c r="Q117" s="393"/>
      <c r="R117" s="393"/>
      <c r="S117" s="393"/>
      <c r="T117" s="393"/>
      <c r="U117" s="393"/>
      <c r="V117" s="394"/>
      <c r="W117" s="3"/>
    </row>
    <row r="118" spans="1:23" ht="15" customHeight="1">
      <c r="A118" s="708" t="s">
        <v>372</v>
      </c>
      <c r="B118" s="713" t="s">
        <v>418</v>
      </c>
      <c r="C118" s="714"/>
      <c r="D118" s="715"/>
      <c r="E118" s="634" t="s">
        <v>419</v>
      </c>
      <c r="F118" s="645" t="s">
        <v>114</v>
      </c>
      <c r="G118" s="199" t="s">
        <v>85</v>
      </c>
      <c r="H118" s="377">
        <f>34125*3/4</f>
        <v>25593.75</v>
      </c>
      <c r="I118" s="428">
        <f>34125</f>
        <v>34125</v>
      </c>
      <c r="J118" s="403">
        <f>35440/4</f>
        <v>8860</v>
      </c>
      <c r="K118" s="445">
        <f>35440*2/4</f>
        <v>17720</v>
      </c>
      <c r="L118" s="445">
        <f>35440*3/4</f>
        <v>26580</v>
      </c>
      <c r="M118" s="445">
        <f>35440</f>
        <v>35440</v>
      </c>
      <c r="N118" s="445">
        <v>9187.5</v>
      </c>
      <c r="O118" s="445"/>
      <c r="P118" s="413">
        <v>18375</v>
      </c>
      <c r="Q118" s="413">
        <v>27562.5</v>
      </c>
      <c r="R118" s="413">
        <v>36750</v>
      </c>
      <c r="S118" s="413">
        <v>9620</v>
      </c>
      <c r="T118" s="413">
        <v>19240</v>
      </c>
      <c r="U118" s="493">
        <v>28860</v>
      </c>
      <c r="V118" s="468">
        <v>38440</v>
      </c>
      <c r="W118" s="3"/>
    </row>
    <row r="119" spans="1:23" ht="15" customHeight="1">
      <c r="A119" s="708"/>
      <c r="B119" s="716"/>
      <c r="C119" s="717"/>
      <c r="D119" s="718"/>
      <c r="E119" s="635"/>
      <c r="F119" s="645"/>
      <c r="G119" s="199" t="s">
        <v>86</v>
      </c>
      <c r="H119" s="383">
        <v>23876</v>
      </c>
      <c r="I119" s="428">
        <v>29403</v>
      </c>
      <c r="J119" s="107">
        <v>5241</v>
      </c>
      <c r="K119" s="226">
        <v>8847</v>
      </c>
      <c r="L119" s="226">
        <v>18564</v>
      </c>
      <c r="M119" s="107">
        <v>27892</v>
      </c>
      <c r="N119" s="107">
        <v>8829</v>
      </c>
      <c r="O119" s="107"/>
      <c r="P119" s="107">
        <v>18216</v>
      </c>
      <c r="Q119" s="226">
        <v>27017</v>
      </c>
      <c r="R119" s="226">
        <v>35255</v>
      </c>
      <c r="S119" s="107">
        <v>9596</v>
      </c>
      <c r="T119" s="107">
        <v>20278</v>
      </c>
      <c r="U119" s="494">
        <v>29992</v>
      </c>
      <c r="V119" s="108">
        <v>40204</v>
      </c>
      <c r="W119" s="3"/>
    </row>
    <row r="120" spans="1:23" ht="15" customHeight="1">
      <c r="A120" s="708"/>
      <c r="B120" s="722" t="s">
        <v>420</v>
      </c>
      <c r="C120" s="723"/>
      <c r="D120" s="724"/>
      <c r="E120" s="622" t="s">
        <v>421</v>
      </c>
      <c r="F120" s="646" t="s">
        <v>114</v>
      </c>
      <c r="G120" s="351" t="s">
        <v>85</v>
      </c>
      <c r="H120" s="378">
        <f>8325*3/4</f>
        <v>6243.75</v>
      </c>
      <c r="I120" s="429">
        <f>8325</f>
        <v>8325</v>
      </c>
      <c r="J120" s="404">
        <f>9250/4</f>
        <v>2312.5</v>
      </c>
      <c r="K120" s="446">
        <f>9250*2/4</f>
        <v>4625</v>
      </c>
      <c r="L120" s="446">
        <f>9250*3/4</f>
        <v>6937.5</v>
      </c>
      <c r="M120" s="446">
        <f>9250</f>
        <v>9250</v>
      </c>
      <c r="N120" s="446">
        <v>2543.75</v>
      </c>
      <c r="O120" s="446"/>
      <c r="P120" s="416">
        <v>5087.5</v>
      </c>
      <c r="Q120" s="416">
        <v>7631.25</v>
      </c>
      <c r="R120" s="416">
        <v>10175</v>
      </c>
      <c r="S120" s="416">
        <v>2775</v>
      </c>
      <c r="T120" s="416">
        <v>5550</v>
      </c>
      <c r="U120" s="495">
        <v>8325</v>
      </c>
      <c r="V120" s="468">
        <v>11100</v>
      </c>
      <c r="W120" s="3"/>
    </row>
    <row r="121" spans="1:23" ht="15" customHeight="1">
      <c r="A121" s="708"/>
      <c r="B121" s="725"/>
      <c r="C121" s="723"/>
      <c r="D121" s="724"/>
      <c r="E121" s="618"/>
      <c r="F121" s="647"/>
      <c r="G121" s="351" t="s">
        <v>86</v>
      </c>
      <c r="H121" s="384">
        <f>4910+1762</f>
        <v>6672</v>
      </c>
      <c r="I121" s="429">
        <v>8798</v>
      </c>
      <c r="J121" s="265">
        <v>1831</v>
      </c>
      <c r="K121" s="266">
        <v>2486</v>
      </c>
      <c r="L121" s="266">
        <v>4046</v>
      </c>
      <c r="M121" s="265">
        <v>6976</v>
      </c>
      <c r="N121" s="265">
        <v>2227</v>
      </c>
      <c r="O121" s="265"/>
      <c r="P121" s="265">
        <v>4509</v>
      </c>
      <c r="Q121" s="266">
        <v>6433</v>
      </c>
      <c r="R121" s="266">
        <v>7965</v>
      </c>
      <c r="S121" s="195">
        <v>2404</v>
      </c>
      <c r="T121" s="195">
        <v>5581</v>
      </c>
      <c r="U121" s="496">
        <v>9238</v>
      </c>
      <c r="V121" s="264">
        <v>11836</v>
      </c>
      <c r="W121" s="3"/>
    </row>
    <row r="122" spans="1:23" ht="15" customHeight="1">
      <c r="A122" s="708"/>
      <c r="B122" s="726" t="s">
        <v>428</v>
      </c>
      <c r="C122" s="717"/>
      <c r="D122" s="718"/>
      <c r="E122" s="634" t="s">
        <v>429</v>
      </c>
      <c r="F122" s="660" t="s">
        <v>114</v>
      </c>
      <c r="G122" s="199" t="s">
        <v>85</v>
      </c>
      <c r="H122" s="377">
        <v>5500</v>
      </c>
      <c r="I122" s="428">
        <v>5500</v>
      </c>
      <c r="J122" s="107">
        <v>6110</v>
      </c>
      <c r="K122" s="226">
        <v>6110</v>
      </c>
      <c r="L122" s="226">
        <v>6110</v>
      </c>
      <c r="M122" s="226">
        <v>6110</v>
      </c>
      <c r="N122" s="226">
        <v>7614</v>
      </c>
      <c r="O122" s="226"/>
      <c r="P122" s="413">
        <v>7614</v>
      </c>
      <c r="Q122" s="413">
        <v>7614</v>
      </c>
      <c r="R122" s="413">
        <v>7614</v>
      </c>
      <c r="S122" s="413">
        <v>7140</v>
      </c>
      <c r="T122" s="413">
        <v>7140</v>
      </c>
      <c r="U122" s="493">
        <v>7140</v>
      </c>
      <c r="V122" s="468">
        <v>7140</v>
      </c>
      <c r="W122" s="3"/>
    </row>
    <row r="123" spans="1:23" ht="15" customHeight="1">
      <c r="A123" s="708"/>
      <c r="B123" s="716"/>
      <c r="C123" s="717"/>
      <c r="D123" s="718"/>
      <c r="E123" s="635"/>
      <c r="F123" s="661"/>
      <c r="G123" s="199" t="s">
        <v>86</v>
      </c>
      <c r="H123" s="383">
        <v>4381</v>
      </c>
      <c r="I123" s="428">
        <v>5098</v>
      </c>
      <c r="J123" s="107">
        <v>5210</v>
      </c>
      <c r="K123" s="226">
        <v>5245</v>
      </c>
      <c r="L123" s="226">
        <v>5348</v>
      </c>
      <c r="M123" s="107">
        <v>5442</v>
      </c>
      <c r="N123" s="107">
        <v>5513</v>
      </c>
      <c r="O123" s="107"/>
      <c r="P123" s="107">
        <v>5602</v>
      </c>
      <c r="Q123" s="226">
        <v>5673</v>
      </c>
      <c r="R123" s="226">
        <v>5746</v>
      </c>
      <c r="S123" s="107">
        <v>5785</v>
      </c>
      <c r="T123" s="107">
        <v>5907</v>
      </c>
      <c r="U123" s="494">
        <v>5954</v>
      </c>
      <c r="V123" s="108">
        <v>6050</v>
      </c>
      <c r="W123" s="3"/>
    </row>
    <row r="124" spans="1:23" ht="15" customHeight="1">
      <c r="B124" s="608" t="s">
        <v>416</v>
      </c>
      <c r="C124" s="609"/>
      <c r="D124" s="610"/>
      <c r="E124" s="622" t="s">
        <v>417</v>
      </c>
      <c r="F124" s="669" t="s">
        <v>114</v>
      </c>
      <c r="G124" s="351" t="s">
        <v>85</v>
      </c>
      <c r="H124" s="376">
        <f>36750*3/4</f>
        <v>27562.5</v>
      </c>
      <c r="I124" s="430">
        <f>36750</f>
        <v>36750</v>
      </c>
      <c r="J124" s="404">
        <f>38050/4</f>
        <v>9512.5</v>
      </c>
      <c r="K124" s="446">
        <f>38050*2/4</f>
        <v>19025</v>
      </c>
      <c r="L124" s="446">
        <f>38050*3/4</f>
        <v>28537.5</v>
      </c>
      <c r="M124" s="446">
        <f>38050</f>
        <v>38050</v>
      </c>
      <c r="N124" s="446">
        <v>9843.75</v>
      </c>
      <c r="O124" s="446"/>
      <c r="P124" s="416">
        <v>19687.5</v>
      </c>
      <c r="Q124" s="416">
        <v>29531.25</v>
      </c>
      <c r="R124" s="416">
        <v>39375</v>
      </c>
      <c r="S124" s="416">
        <v>10187.5</v>
      </c>
      <c r="T124" s="416">
        <v>20375</v>
      </c>
      <c r="U124" s="495">
        <v>30562.5</v>
      </c>
      <c r="V124" s="469">
        <v>40750</v>
      </c>
      <c r="W124" s="3"/>
    </row>
    <row r="125" spans="1:23" ht="15" customHeight="1">
      <c r="B125" s="611"/>
      <c r="C125" s="612"/>
      <c r="D125" s="613"/>
      <c r="E125" s="618"/>
      <c r="F125" s="647"/>
      <c r="G125" s="351" t="s">
        <v>86</v>
      </c>
      <c r="H125" s="386">
        <v>30440</v>
      </c>
      <c r="I125" s="430">
        <v>35811</v>
      </c>
      <c r="J125" s="195">
        <v>12713</v>
      </c>
      <c r="K125" s="227">
        <v>17517</v>
      </c>
      <c r="L125" s="227">
        <v>25422</v>
      </c>
      <c r="M125" s="195">
        <v>32607</v>
      </c>
      <c r="N125" s="195">
        <v>13923</v>
      </c>
      <c r="O125" s="195"/>
      <c r="P125" s="195">
        <v>21640</v>
      </c>
      <c r="Q125" s="227">
        <v>28792</v>
      </c>
      <c r="R125" s="227">
        <v>35650</v>
      </c>
      <c r="S125" s="195">
        <v>14250</v>
      </c>
      <c r="T125" s="195">
        <v>23748</v>
      </c>
      <c r="U125" s="496">
        <v>31258</v>
      </c>
      <c r="V125" s="264">
        <v>38876</v>
      </c>
      <c r="W125" s="3"/>
    </row>
    <row r="126" spans="1:23" ht="15" customHeight="1">
      <c r="B126" s="636" t="s">
        <v>422</v>
      </c>
      <c r="C126" s="637"/>
      <c r="D126" s="638"/>
      <c r="E126" s="634" t="s">
        <v>423</v>
      </c>
      <c r="F126" s="660" t="s">
        <v>114</v>
      </c>
      <c r="G126" s="352" t="s">
        <v>85</v>
      </c>
      <c r="H126" s="379">
        <f>5550*3/4</f>
        <v>4162.5</v>
      </c>
      <c r="I126" s="431">
        <f>5550</f>
        <v>5550</v>
      </c>
      <c r="J126" s="405">
        <f>7400/4</f>
        <v>1850</v>
      </c>
      <c r="K126" s="443">
        <f>7400*2/4</f>
        <v>3700</v>
      </c>
      <c r="L126" s="443">
        <f>7400*3/4</f>
        <v>5550</v>
      </c>
      <c r="M126" s="443">
        <f>7400</f>
        <v>7400</v>
      </c>
      <c r="N126" s="443">
        <v>2081.25</v>
      </c>
      <c r="O126" s="443"/>
      <c r="P126" s="417">
        <v>4162.5</v>
      </c>
      <c r="Q126" s="417">
        <v>6243.75</v>
      </c>
      <c r="R126" s="417">
        <v>8325</v>
      </c>
      <c r="S126" s="417">
        <v>2312.5</v>
      </c>
      <c r="T126" s="417">
        <v>4625</v>
      </c>
      <c r="U126" s="497">
        <v>6937.5</v>
      </c>
      <c r="V126" s="470">
        <v>9250</v>
      </c>
      <c r="W126" s="3"/>
    </row>
    <row r="127" spans="1:23" ht="15" customHeight="1">
      <c r="B127" s="639"/>
      <c r="C127" s="640"/>
      <c r="D127" s="641"/>
      <c r="E127" s="635"/>
      <c r="F127" s="661"/>
      <c r="G127" s="352" t="s">
        <v>86</v>
      </c>
      <c r="H127" s="387">
        <f>2313+1857</f>
        <v>4170</v>
      </c>
      <c r="I127" s="431">
        <v>4955</v>
      </c>
      <c r="J127" s="405">
        <f>769+769</f>
        <v>1538</v>
      </c>
      <c r="K127" s="443">
        <f>1109+1172</f>
        <v>2281</v>
      </c>
      <c r="L127" s="443">
        <f>2314+1923</f>
        <v>4237</v>
      </c>
      <c r="M127" s="353">
        <v>5097</v>
      </c>
      <c r="N127" s="353">
        <v>1795</v>
      </c>
      <c r="O127" s="353"/>
      <c r="P127" s="353">
        <v>3537</v>
      </c>
      <c r="Q127" s="354">
        <v>5175</v>
      </c>
      <c r="R127" s="354">
        <v>6695</v>
      </c>
      <c r="S127" s="353">
        <v>1826</v>
      </c>
      <c r="T127" s="353">
        <v>4568</v>
      </c>
      <c r="U127" s="498">
        <v>6628</v>
      </c>
      <c r="V127" s="355">
        <v>10213</v>
      </c>
      <c r="W127" s="3"/>
    </row>
    <row r="128" spans="1:23" ht="15" customHeight="1">
      <c r="B128" s="608" t="s">
        <v>424</v>
      </c>
      <c r="C128" s="609"/>
      <c r="D128" s="610"/>
      <c r="E128" s="622" t="s">
        <v>425</v>
      </c>
      <c r="F128" s="669" t="s">
        <v>114</v>
      </c>
      <c r="G128" s="351" t="s">
        <v>85</v>
      </c>
      <c r="H128" s="376">
        <f>3900*3/4</f>
        <v>2925</v>
      </c>
      <c r="I128" s="430">
        <f>3900</f>
        <v>3900</v>
      </c>
      <c r="J128" s="406">
        <f>4200/4</f>
        <v>1050</v>
      </c>
      <c r="K128" s="444">
        <f>4200*2/4</f>
        <v>2100</v>
      </c>
      <c r="L128" s="444">
        <f>4200*3/4</f>
        <v>3150</v>
      </c>
      <c r="M128" s="444">
        <f>4200</f>
        <v>4200</v>
      </c>
      <c r="N128" s="444">
        <v>1100</v>
      </c>
      <c r="O128" s="444"/>
      <c r="P128" s="418">
        <v>2200</v>
      </c>
      <c r="Q128" s="418">
        <v>3300</v>
      </c>
      <c r="R128" s="418">
        <v>4400</v>
      </c>
      <c r="S128" s="418">
        <v>1137.5</v>
      </c>
      <c r="T128" s="418">
        <v>2275</v>
      </c>
      <c r="U128" s="499">
        <v>3412.5</v>
      </c>
      <c r="V128" s="471">
        <v>4550</v>
      </c>
      <c r="W128" s="3"/>
    </row>
    <row r="129" spans="2:23" ht="15" customHeight="1">
      <c r="B129" s="611"/>
      <c r="C129" s="612"/>
      <c r="D129" s="613"/>
      <c r="E129" s="618"/>
      <c r="F129" s="647"/>
      <c r="G129" s="351" t="s">
        <v>86</v>
      </c>
      <c r="H129" s="386">
        <v>3824</v>
      </c>
      <c r="I129" s="430">
        <v>4589</v>
      </c>
      <c r="J129" s="195">
        <v>1182</v>
      </c>
      <c r="K129" s="227">
        <v>1675</v>
      </c>
      <c r="L129" s="227">
        <v>2873</v>
      </c>
      <c r="M129" s="195">
        <v>2722</v>
      </c>
      <c r="N129" s="195">
        <v>1195</v>
      </c>
      <c r="O129" s="195"/>
      <c r="P129" s="195">
        <v>1967</v>
      </c>
      <c r="Q129" s="227">
        <v>2526</v>
      </c>
      <c r="R129" s="227">
        <v>3155</v>
      </c>
      <c r="S129" s="265">
        <v>1455</v>
      </c>
      <c r="T129" s="265">
        <v>2384</v>
      </c>
      <c r="U129" s="500">
        <v>3005</v>
      </c>
      <c r="V129" s="356">
        <v>3640</v>
      </c>
      <c r="W129" s="3"/>
    </row>
    <row r="130" spans="2:23" ht="15" customHeight="1">
      <c r="B130" s="636" t="s">
        <v>426</v>
      </c>
      <c r="C130" s="637"/>
      <c r="D130" s="638"/>
      <c r="E130" s="634" t="s">
        <v>427</v>
      </c>
      <c r="F130" s="645" t="s">
        <v>114</v>
      </c>
      <c r="G130" s="352" t="s">
        <v>85</v>
      </c>
      <c r="H130" s="379">
        <f>2925*3/4</f>
        <v>2193.75</v>
      </c>
      <c r="I130" s="431">
        <f>2925</f>
        <v>2925</v>
      </c>
      <c r="J130" s="405">
        <f>3250/4</f>
        <v>812.5</v>
      </c>
      <c r="K130" s="443">
        <f>3250*2/4</f>
        <v>1625</v>
      </c>
      <c r="L130" s="443">
        <f>3250*3/4</f>
        <v>2437.5</v>
      </c>
      <c r="M130" s="443">
        <f>3250</f>
        <v>3250</v>
      </c>
      <c r="N130" s="443">
        <v>893.75</v>
      </c>
      <c r="O130" s="443"/>
      <c r="P130" s="417">
        <v>1787.5</v>
      </c>
      <c r="Q130" s="417">
        <v>2681.25</v>
      </c>
      <c r="R130" s="417">
        <v>3575</v>
      </c>
      <c r="S130" s="417">
        <v>975</v>
      </c>
      <c r="T130" s="417">
        <v>1950</v>
      </c>
      <c r="U130" s="497">
        <v>2925</v>
      </c>
      <c r="V130" s="470">
        <v>3900</v>
      </c>
      <c r="W130" s="3"/>
    </row>
    <row r="131" spans="2:23" ht="15" customHeight="1">
      <c r="B131" s="639"/>
      <c r="C131" s="640"/>
      <c r="D131" s="641"/>
      <c r="E131" s="635"/>
      <c r="F131" s="645"/>
      <c r="G131" s="352" t="s">
        <v>86</v>
      </c>
      <c r="H131" s="387">
        <v>1997</v>
      </c>
      <c r="I131" s="431">
        <v>2632</v>
      </c>
      <c r="J131" s="405">
        <v>486</v>
      </c>
      <c r="K131" s="354">
        <v>712</v>
      </c>
      <c r="L131" s="354">
        <v>1051</v>
      </c>
      <c r="M131" s="353">
        <v>1535</v>
      </c>
      <c r="N131" s="353">
        <v>0</v>
      </c>
      <c r="O131" s="353"/>
      <c r="P131" s="353">
        <v>661</v>
      </c>
      <c r="Q131" s="354">
        <v>1276</v>
      </c>
      <c r="R131" s="354">
        <v>1918</v>
      </c>
      <c r="S131" s="353">
        <v>887</v>
      </c>
      <c r="T131" s="353">
        <v>1634</v>
      </c>
      <c r="U131" s="498">
        <v>2197</v>
      </c>
      <c r="V131" s="355">
        <v>2810</v>
      </c>
      <c r="W131" s="3"/>
    </row>
    <row r="132" spans="2:23" ht="15" customHeight="1">
      <c r="B132" s="608" t="s">
        <v>442</v>
      </c>
      <c r="C132" s="679"/>
      <c r="D132" s="680"/>
      <c r="E132" s="622" t="s">
        <v>443</v>
      </c>
      <c r="F132" s="620" t="s">
        <v>114</v>
      </c>
      <c r="G132" s="351" t="s">
        <v>85</v>
      </c>
      <c r="H132" s="430">
        <v>150</v>
      </c>
      <c r="I132" s="430">
        <v>150</v>
      </c>
      <c r="J132" s="406">
        <v>250</v>
      </c>
      <c r="K132" s="444">
        <v>250</v>
      </c>
      <c r="L132" s="444">
        <v>250</v>
      </c>
      <c r="M132" s="444">
        <v>250</v>
      </c>
      <c r="N132" s="444">
        <v>270</v>
      </c>
      <c r="O132" s="444"/>
      <c r="P132" s="418">
        <v>270</v>
      </c>
      <c r="Q132" s="418">
        <v>270</v>
      </c>
      <c r="R132" s="418">
        <v>270</v>
      </c>
      <c r="S132" s="418">
        <v>75</v>
      </c>
      <c r="T132" s="418">
        <v>150</v>
      </c>
      <c r="U132" s="499">
        <v>225</v>
      </c>
      <c r="V132" s="471">
        <v>300</v>
      </c>
      <c r="W132" s="3"/>
    </row>
    <row r="133" spans="2:23" ht="15" customHeight="1">
      <c r="B133" s="681"/>
      <c r="C133" s="682"/>
      <c r="D133" s="683"/>
      <c r="E133" s="622"/>
      <c r="F133" s="620"/>
      <c r="G133" s="351" t="s">
        <v>86</v>
      </c>
      <c r="H133" s="430">
        <v>110</v>
      </c>
      <c r="I133" s="430">
        <v>139</v>
      </c>
      <c r="J133" s="266">
        <v>36</v>
      </c>
      <c r="K133" s="444">
        <f>39+40</f>
        <v>79</v>
      </c>
      <c r="L133" s="444">
        <f>39+40+64</f>
        <v>143</v>
      </c>
      <c r="M133" s="265">
        <v>216</v>
      </c>
      <c r="N133" s="265">
        <v>68</v>
      </c>
      <c r="O133" s="265"/>
      <c r="P133" s="265">
        <v>383</v>
      </c>
      <c r="Q133" s="266">
        <v>264</v>
      </c>
      <c r="R133" s="266">
        <v>300</v>
      </c>
      <c r="S133" s="265">
        <v>89</v>
      </c>
      <c r="T133" s="265">
        <v>224</v>
      </c>
      <c r="U133" s="500">
        <v>268</v>
      </c>
      <c r="V133" s="356">
        <v>456</v>
      </c>
      <c r="W133" s="3"/>
    </row>
    <row r="134" spans="2:23" ht="15" hidden="1" customHeight="1">
      <c r="B134" s="684"/>
      <c r="C134" s="685"/>
      <c r="D134" s="686"/>
      <c r="E134" s="616"/>
      <c r="F134" s="617"/>
      <c r="G134" s="352" t="s">
        <v>85</v>
      </c>
      <c r="H134" s="401"/>
      <c r="I134" s="400"/>
      <c r="J134" s="353"/>
      <c r="K134" s="414"/>
      <c r="L134" s="353"/>
      <c r="M134" s="353"/>
      <c r="N134" s="353"/>
      <c r="O134" s="353"/>
      <c r="P134" s="353"/>
      <c r="Q134" s="353"/>
      <c r="R134" s="353"/>
      <c r="S134" s="353"/>
      <c r="T134" s="353"/>
      <c r="U134" s="355"/>
      <c r="V134" s="3"/>
    </row>
    <row r="135" spans="2:23" ht="15" hidden="1" customHeight="1">
      <c r="B135" s="687"/>
      <c r="C135" s="688"/>
      <c r="D135" s="689"/>
      <c r="E135" s="616"/>
      <c r="F135" s="617"/>
      <c r="G135" s="352" t="s">
        <v>86</v>
      </c>
      <c r="H135" s="402"/>
      <c r="I135" s="380"/>
      <c r="J135" s="353"/>
      <c r="K135" s="353"/>
      <c r="L135" s="353"/>
      <c r="M135" s="353"/>
      <c r="N135" s="353"/>
      <c r="O135" s="353"/>
      <c r="P135" s="353"/>
      <c r="Q135" s="353"/>
      <c r="R135" s="353"/>
      <c r="S135" s="353"/>
      <c r="T135" s="353"/>
      <c r="U135" s="355"/>
      <c r="V135" s="3"/>
    </row>
    <row r="136" spans="2:23" ht="15" hidden="1" customHeight="1">
      <c r="B136" s="629"/>
      <c r="C136" s="609"/>
      <c r="D136" s="610"/>
      <c r="E136" s="618"/>
      <c r="F136" s="620"/>
      <c r="G136" s="351" t="s">
        <v>85</v>
      </c>
      <c r="H136" s="376"/>
      <c r="I136" s="375"/>
      <c r="J136" s="265"/>
      <c r="K136" s="265"/>
      <c r="L136" s="265"/>
      <c r="M136" s="265"/>
      <c r="N136" s="265"/>
      <c r="O136" s="265"/>
      <c r="P136" s="265"/>
      <c r="Q136" s="265"/>
      <c r="R136" s="265"/>
      <c r="S136" s="265"/>
      <c r="T136" s="265"/>
      <c r="U136" s="356"/>
      <c r="V136" s="3"/>
    </row>
    <row r="137" spans="2:23" ht="15" hidden="1" customHeight="1" thickBot="1">
      <c r="B137" s="630"/>
      <c r="C137" s="631"/>
      <c r="D137" s="632"/>
      <c r="E137" s="619"/>
      <c r="F137" s="621"/>
      <c r="G137" s="357" t="s">
        <v>86</v>
      </c>
      <c r="H137" s="381"/>
      <c r="I137" s="382"/>
      <c r="J137" s="358"/>
      <c r="K137" s="358"/>
      <c r="L137" s="358"/>
      <c r="M137" s="358"/>
      <c r="N137" s="465"/>
      <c r="O137" s="465"/>
      <c r="P137" s="358"/>
      <c r="Q137" s="358"/>
      <c r="R137" s="358"/>
      <c r="S137" s="358"/>
      <c r="T137" s="358"/>
      <c r="U137" s="359"/>
      <c r="V137" s="3"/>
    </row>
    <row r="141" spans="2:23" ht="16.5" thickBot="1">
      <c r="B141" s="269"/>
    </row>
    <row r="142" spans="2:23" ht="15.75" thickBot="1">
      <c r="B142" t="s">
        <v>401</v>
      </c>
      <c r="E142" s="267" t="s">
        <v>325</v>
      </c>
      <c r="F142" s="231" t="s">
        <v>342</v>
      </c>
      <c r="G142" s="198"/>
      <c r="H142" s="320" t="str">
        <f t="shared" ref="H142:M142" si="12">C30</f>
        <v>P1</v>
      </c>
      <c r="I142" s="320" t="str">
        <f t="shared" si="12"/>
        <v>P2</v>
      </c>
      <c r="J142" s="320" t="str">
        <f t="shared" si="12"/>
        <v>P3</v>
      </c>
      <c r="K142" s="320" t="str">
        <f t="shared" si="12"/>
        <v>P4</v>
      </c>
      <c r="L142" s="320" t="str">
        <f t="shared" si="12"/>
        <v>P5</v>
      </c>
      <c r="M142" s="320" t="str">
        <f t="shared" si="12"/>
        <v>P6</v>
      </c>
      <c r="N142" s="320" t="s">
        <v>122</v>
      </c>
      <c r="O142" s="320"/>
      <c r="P142" s="320" t="s">
        <v>123</v>
      </c>
      <c r="Q142" s="320" t="s">
        <v>124</v>
      </c>
      <c r="R142" s="320" t="s">
        <v>125</v>
      </c>
      <c r="S142" s="320" t="s">
        <v>126</v>
      </c>
      <c r="T142" s="320" t="s">
        <v>285</v>
      </c>
      <c r="U142" s="492" t="s">
        <v>458</v>
      </c>
      <c r="V142" s="321" t="str">
        <f>P30</f>
        <v>P14</v>
      </c>
    </row>
    <row r="143" spans="2:23">
      <c r="B143" s="670" t="str">
        <f>IF(ISBLANK(B118),"",(B118))</f>
        <v>Percentage of PWID that have received an HIV test during the reporting period and know their results</v>
      </c>
      <c r="C143" s="671"/>
      <c r="D143" s="672"/>
      <c r="E143" s="606" t="str">
        <f>IF(ISBLANK(E118),"",(E118))</f>
        <v>KP-3d</v>
      </c>
      <c r="F143" s="614" t="str">
        <f>IF(ISBLANK(F118),"",(F118))</f>
        <v>Yes</v>
      </c>
      <c r="G143" s="287" t="s">
        <v>85</v>
      </c>
      <c r="H143" s="337">
        <f t="shared" ref="H143:U143" si="13">H118</f>
        <v>25593.75</v>
      </c>
      <c r="I143" s="337">
        <f t="shared" si="13"/>
        <v>34125</v>
      </c>
      <c r="J143" s="337">
        <f t="shared" si="13"/>
        <v>8860</v>
      </c>
      <c r="K143" s="337">
        <f t="shared" si="13"/>
        <v>17720</v>
      </c>
      <c r="L143" s="337">
        <f t="shared" si="13"/>
        <v>26580</v>
      </c>
      <c r="M143" s="337">
        <f t="shared" si="13"/>
        <v>35440</v>
      </c>
      <c r="N143" s="337">
        <v>18375</v>
      </c>
      <c r="O143" s="337"/>
      <c r="P143" s="337">
        <v>27562.5</v>
      </c>
      <c r="Q143" s="337">
        <v>36750</v>
      </c>
      <c r="R143" s="337">
        <v>9620</v>
      </c>
      <c r="S143" s="337">
        <v>19240</v>
      </c>
      <c r="T143" s="337">
        <f t="shared" si="13"/>
        <v>19240</v>
      </c>
      <c r="U143" s="337">
        <f t="shared" si="13"/>
        <v>28860</v>
      </c>
      <c r="V143" s="367">
        <f t="shared" ref="V143:V148" si="14">V118</f>
        <v>38440</v>
      </c>
    </row>
    <row r="144" spans="2:23">
      <c r="B144" s="673"/>
      <c r="C144" s="674"/>
      <c r="D144" s="675"/>
      <c r="E144" s="606"/>
      <c r="F144" s="614"/>
      <c r="G144" s="105" t="s">
        <v>86</v>
      </c>
      <c r="H144" s="337">
        <f t="shared" ref="H144:K148" si="15">H119</f>
        <v>23876</v>
      </c>
      <c r="I144" s="337">
        <f t="shared" si="15"/>
        <v>29403</v>
      </c>
      <c r="J144" s="337">
        <f t="shared" si="15"/>
        <v>5241</v>
      </c>
      <c r="K144" s="337">
        <f t="shared" si="15"/>
        <v>8847</v>
      </c>
      <c r="L144" s="337">
        <f t="shared" ref="L144:U144" si="16">L119</f>
        <v>18564</v>
      </c>
      <c r="M144" s="337">
        <f t="shared" si="16"/>
        <v>27892</v>
      </c>
      <c r="N144" s="337">
        <v>18216</v>
      </c>
      <c r="O144" s="337"/>
      <c r="P144" s="337">
        <v>27017</v>
      </c>
      <c r="Q144" s="337">
        <v>35255</v>
      </c>
      <c r="R144" s="337">
        <v>9596</v>
      </c>
      <c r="S144" s="337">
        <v>20278</v>
      </c>
      <c r="T144" s="337">
        <f t="shared" si="16"/>
        <v>20278</v>
      </c>
      <c r="U144" s="337">
        <f t="shared" si="16"/>
        <v>29992</v>
      </c>
      <c r="V144" s="367">
        <f t="shared" si="14"/>
        <v>40204</v>
      </c>
    </row>
    <row r="145" spans="2:22">
      <c r="B145" s="676" t="str">
        <f>IF(ISBLANK(B120),"",(B120))</f>
        <v>Percentage of MSM reached with HIV prevention programs - defined package of services</v>
      </c>
      <c r="C145" s="677"/>
      <c r="D145" s="678"/>
      <c r="E145" s="633" t="str">
        <f>IF(ISBLANK(E120),"",(E120))</f>
        <v>KP-1a</v>
      </c>
      <c r="F145" s="690" t="str">
        <f>IF(ISBLANK(F120),"",(F120))</f>
        <v>Yes</v>
      </c>
      <c r="G145" s="360" t="s">
        <v>85</v>
      </c>
      <c r="H145" s="361">
        <f t="shared" si="15"/>
        <v>6243.75</v>
      </c>
      <c r="I145" s="361">
        <f>I120</f>
        <v>8325</v>
      </c>
      <c r="J145" s="361">
        <f t="shared" si="15"/>
        <v>2312.5</v>
      </c>
      <c r="K145" s="361">
        <f>K120</f>
        <v>4625</v>
      </c>
      <c r="L145" s="361">
        <f t="shared" ref="L145:U145" si="17">L120</f>
        <v>6937.5</v>
      </c>
      <c r="M145" s="361">
        <f t="shared" si="17"/>
        <v>9250</v>
      </c>
      <c r="N145" s="361">
        <v>5087.5</v>
      </c>
      <c r="O145" s="361"/>
      <c r="P145" s="361">
        <v>7631.25</v>
      </c>
      <c r="Q145" s="361">
        <v>10175</v>
      </c>
      <c r="R145" s="361">
        <v>2775</v>
      </c>
      <c r="S145" s="361">
        <v>5550</v>
      </c>
      <c r="T145" s="361">
        <f t="shared" si="17"/>
        <v>5550</v>
      </c>
      <c r="U145" s="361">
        <f t="shared" si="17"/>
        <v>8325</v>
      </c>
      <c r="V145" s="368">
        <f t="shared" si="14"/>
        <v>11100</v>
      </c>
    </row>
    <row r="146" spans="2:22">
      <c r="B146" s="676"/>
      <c r="C146" s="677"/>
      <c r="D146" s="678"/>
      <c r="E146" s="633"/>
      <c r="F146" s="690"/>
      <c r="G146" s="360" t="s">
        <v>86</v>
      </c>
      <c r="H146" s="361">
        <f t="shared" si="15"/>
        <v>6672</v>
      </c>
      <c r="I146" s="361">
        <f t="shared" si="15"/>
        <v>8798</v>
      </c>
      <c r="J146" s="361">
        <f t="shared" si="15"/>
        <v>1831</v>
      </c>
      <c r="K146" s="361">
        <f t="shared" si="15"/>
        <v>2486</v>
      </c>
      <c r="L146" s="361">
        <f t="shared" ref="L146:U146" si="18">L121</f>
        <v>4046</v>
      </c>
      <c r="M146" s="361">
        <f t="shared" si="18"/>
        <v>6976</v>
      </c>
      <c r="N146" s="361">
        <v>4509</v>
      </c>
      <c r="O146" s="361"/>
      <c r="P146" s="361">
        <v>6433</v>
      </c>
      <c r="Q146" s="361">
        <v>7965</v>
      </c>
      <c r="R146" s="361">
        <v>2404</v>
      </c>
      <c r="S146" s="361">
        <v>5581</v>
      </c>
      <c r="T146" s="361">
        <f t="shared" si="18"/>
        <v>5581</v>
      </c>
      <c r="U146" s="361">
        <f t="shared" si="18"/>
        <v>9238</v>
      </c>
      <c r="V146" s="368">
        <f t="shared" si="14"/>
        <v>11836</v>
      </c>
    </row>
    <row r="147" spans="2:22">
      <c r="B147" s="623" t="str">
        <f>IF(ISBLANK(B122),"",(B122))</f>
        <v xml:space="preserve">Percentage of people living with HIV currently receiving antiretroviral therapy </v>
      </c>
      <c r="C147" s="624"/>
      <c r="D147" s="625"/>
      <c r="E147" s="606" t="str">
        <f>IF(ISBLANK(E122),"",(E122))</f>
        <v>TCS-1</v>
      </c>
      <c r="F147" s="614" t="str">
        <f>IF(ISBLANK(F122),"",(F122))</f>
        <v>Yes</v>
      </c>
      <c r="G147" s="105" t="s">
        <v>85</v>
      </c>
      <c r="H147" s="337">
        <f t="shared" si="15"/>
        <v>5500</v>
      </c>
      <c r="I147" s="337">
        <f t="shared" si="15"/>
        <v>5500</v>
      </c>
      <c r="J147" s="337">
        <f t="shared" si="15"/>
        <v>6110</v>
      </c>
      <c r="K147" s="337">
        <f t="shared" si="15"/>
        <v>6110</v>
      </c>
      <c r="L147" s="337">
        <f t="shared" ref="L147:U147" si="19">L122</f>
        <v>6110</v>
      </c>
      <c r="M147" s="337">
        <f t="shared" si="19"/>
        <v>6110</v>
      </c>
      <c r="N147" s="337">
        <v>7614</v>
      </c>
      <c r="O147" s="337"/>
      <c r="P147" s="337">
        <v>7614</v>
      </c>
      <c r="Q147" s="337">
        <v>7614</v>
      </c>
      <c r="R147" s="337">
        <v>7140</v>
      </c>
      <c r="S147" s="337">
        <v>7140</v>
      </c>
      <c r="T147" s="337">
        <f t="shared" si="19"/>
        <v>7140</v>
      </c>
      <c r="U147" s="337">
        <f t="shared" si="19"/>
        <v>7140</v>
      </c>
      <c r="V147" s="367">
        <f t="shared" si="14"/>
        <v>7140</v>
      </c>
    </row>
    <row r="148" spans="2:22" ht="15.75" thickBot="1">
      <c r="B148" s="626"/>
      <c r="C148" s="627"/>
      <c r="D148" s="628"/>
      <c r="E148" s="607"/>
      <c r="F148" s="615"/>
      <c r="G148" s="106" t="s">
        <v>86</v>
      </c>
      <c r="H148" s="338">
        <f t="shared" si="15"/>
        <v>4381</v>
      </c>
      <c r="I148" s="338">
        <f t="shared" si="15"/>
        <v>5098</v>
      </c>
      <c r="J148" s="338">
        <f t="shared" si="15"/>
        <v>5210</v>
      </c>
      <c r="K148" s="338">
        <f t="shared" si="15"/>
        <v>5245</v>
      </c>
      <c r="L148" s="338">
        <f t="shared" ref="L148:U148" si="20">L123</f>
        <v>5348</v>
      </c>
      <c r="M148" s="338">
        <f t="shared" si="20"/>
        <v>5442</v>
      </c>
      <c r="N148" s="466">
        <v>5602</v>
      </c>
      <c r="O148" s="466"/>
      <c r="P148" s="338">
        <v>5673</v>
      </c>
      <c r="Q148" s="338">
        <v>5746</v>
      </c>
      <c r="R148" s="338">
        <v>5785</v>
      </c>
      <c r="S148" s="338">
        <v>5907</v>
      </c>
      <c r="T148" s="338">
        <f t="shared" si="20"/>
        <v>5907</v>
      </c>
      <c r="U148" s="338">
        <f t="shared" si="20"/>
        <v>5954</v>
      </c>
      <c r="V148" s="369">
        <f t="shared" si="14"/>
        <v>6050</v>
      </c>
    </row>
    <row r="149" spans="2:22">
      <c r="U149" s="362"/>
    </row>
  </sheetData>
  <mergeCells count="73">
    <mergeCell ref="A118:A123"/>
    <mergeCell ref="B29:P29"/>
    <mergeCell ref="B118:D119"/>
    <mergeCell ref="B60:D60"/>
    <mergeCell ref="F122:F123"/>
    <mergeCell ref="B120:D121"/>
    <mergeCell ref="B122:D123"/>
    <mergeCell ref="C12:D12"/>
    <mergeCell ref="G24:H24"/>
    <mergeCell ref="C6:D6"/>
    <mergeCell ref="E6:F6"/>
    <mergeCell ref="B72:C72"/>
    <mergeCell ref="B18:C18"/>
    <mergeCell ref="D18:F18"/>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3:D144"/>
    <mergeCell ref="B145:D146"/>
    <mergeCell ref="B128:D129"/>
    <mergeCell ref="B130:D131"/>
    <mergeCell ref="B132:D133"/>
    <mergeCell ref="B134:D135"/>
    <mergeCell ref="F132:F133"/>
    <mergeCell ref="F126:F127"/>
    <mergeCell ref="B71:C71"/>
    <mergeCell ref="B26:C26"/>
    <mergeCell ref="B108:B111"/>
    <mergeCell ref="F128:F129"/>
    <mergeCell ref="E130:E131"/>
    <mergeCell ref="F130:F131"/>
    <mergeCell ref="F124:F125"/>
    <mergeCell ref="I24:J24"/>
    <mergeCell ref="B21:J21"/>
    <mergeCell ref="B73:C73"/>
    <mergeCell ref="E122:E123"/>
    <mergeCell ref="B116:D116"/>
    <mergeCell ref="D24:E24"/>
    <mergeCell ref="Q31:Q34"/>
    <mergeCell ref="E118:E119"/>
    <mergeCell ref="F118:F119"/>
    <mergeCell ref="F120:F121"/>
    <mergeCell ref="E120:E121"/>
    <mergeCell ref="F47:I47"/>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s>
  <phoneticPr fontId="30" type="noConversion"/>
  <conditionalFormatting sqref="B34 B32 C32:D33 E32 C31 E33:P33">
    <cfRule type="expression" dxfId="51" priority="11" stopIfTrue="1">
      <formula>+AND(#REF!&gt;=#REF!,#REF!&lt;=#REF!)</formula>
    </cfRule>
  </conditionalFormatting>
  <conditionalFormatting sqref="C34:P34">
    <cfRule type="expression" dxfId="50" priority="12" stopIfTrue="1">
      <formula>+AND(#REF!&gt;=#REF!,#REF!&lt;=#REF!)</formula>
    </cfRule>
  </conditionalFormatting>
  <conditionalFormatting sqref="C30:M30 C94:P94">
    <cfRule type="cellIs" dxfId="49" priority="15" stopIfTrue="1" operator="equal">
      <formula>$C$16</formula>
    </cfRule>
  </conditionalFormatting>
  <conditionalFormatting sqref="C12:D12">
    <cfRule type="cellIs" dxfId="48" priority="17" stopIfTrue="1" operator="equal">
      <formula>"C"</formula>
    </cfRule>
    <cfRule type="cellIs" dxfId="47" priority="18" stopIfTrue="1" operator="equal">
      <formula>"B2"</formula>
    </cfRule>
    <cfRule type="cellIs" dxfId="46" priority="19" stopIfTrue="1" operator="equal">
      <formula>"B1"</formula>
    </cfRule>
  </conditionalFormatting>
  <conditionalFormatting sqref="H116:V117 H142:V142">
    <cfRule type="cellIs" dxfId="45" priority="26" stopIfTrue="1" operator="equal">
      <formula>$C$16</formula>
    </cfRule>
  </conditionalFormatting>
  <conditionalFormatting sqref="F47:I47">
    <cfRule type="expression" dxfId="44" priority="27" stopIfTrue="1">
      <formula>LEFT($F$47,2)="OK"</formula>
    </cfRule>
  </conditionalFormatting>
  <conditionalFormatting sqref="G32:H32">
    <cfRule type="expression" dxfId="43" priority="9" stopIfTrue="1">
      <formula>+AND(#REF!&gt;=#REF!,#REF!&lt;=#REF!)</formula>
    </cfRule>
  </conditionalFormatting>
  <conditionalFormatting sqref="N30 P30">
    <cfRule type="cellIs" dxfId="40" priority="5" stopIfTrue="1" operator="equal">
      <formula>$C$16</formula>
    </cfRule>
  </conditionalFormatting>
  <conditionalFormatting sqref="O30">
    <cfRule type="cellIs" dxfId="38" priority="3" stopIfTrue="1" operator="equal">
      <formula>$C$16</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E143 E96:I96 H142:M14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7"/>
  <sheetViews>
    <sheetView showGridLines="0" zoomScaleSheetLayoutView="100" workbookViewId="0">
      <selection activeCell="D10" sqref="D10"/>
    </sheetView>
  </sheetViews>
  <sheetFormatPr defaultColWidth="11.42578125" defaultRowHeight="15"/>
  <cols>
    <col min="1" max="1" width="21.140625" customWidth="1"/>
    <col min="2" max="2" width="12.42578125" customWidth="1"/>
    <col min="3" max="3" width="20.42578125" customWidth="1"/>
    <col min="4" max="4" width="15.28515625" customWidth="1"/>
    <col min="5" max="5" width="11.7109375" customWidth="1"/>
    <col min="6" max="6" width="10.7109375" customWidth="1"/>
    <col min="7" max="7" width="11.7109375" customWidth="1"/>
    <col min="8" max="8" width="15" customWidth="1"/>
    <col min="9" max="9" width="9.42578125" customWidth="1"/>
    <col min="10" max="10" width="13" customWidth="1"/>
    <col min="11" max="11" width="11.42578125" customWidth="1"/>
    <col min="12" max="12" width="8.140625" customWidth="1"/>
    <col min="13" max="13" width="9.7109375" customWidth="1"/>
    <col min="14" max="14" width="8.42578125" customWidth="1"/>
    <col min="15" max="15" width="7.140625" customWidth="1"/>
  </cols>
  <sheetData>
    <row r="1" spans="1:24" ht="21" customHeight="1">
      <c r="G1" s="223"/>
    </row>
    <row r="2" spans="1:24" ht="25.5" customHeight="1"/>
    <row r="3" spans="1:24" ht="36">
      <c r="B3" s="732" t="str">
        <f>+"Dashboard: "&amp;" "&amp;+IF('Data Entry'!C4="Please Select","",'Data Entry'!C4&amp;" - ")&amp;+IF('Data Entry'!G6="Please Select","",'Data Entry'!G6)</f>
        <v>Dashboard:  Georgia - HIV / AIDS</v>
      </c>
      <c r="C3" s="732"/>
      <c r="D3" s="732"/>
      <c r="E3" s="732"/>
      <c r="F3" s="732"/>
      <c r="G3" s="732"/>
      <c r="H3" s="732"/>
      <c r="I3" s="732"/>
      <c r="J3" s="732"/>
      <c r="K3" s="2"/>
      <c r="L3" s="2"/>
      <c r="M3" s="2"/>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216" t="s">
        <v>25</v>
      </c>
      <c r="B6" s="733" t="str">
        <f>+IF('Data Entry'!C4="Please Select","",'Data Entry'!C4)</f>
        <v>Georgia</v>
      </c>
      <c r="C6" s="733"/>
      <c r="D6" s="736" t="s">
        <v>11</v>
      </c>
      <c r="E6" s="736"/>
      <c r="F6" s="737" t="str">
        <f>+'Data Entry'!G4</f>
        <v xml:space="preserve">Sustaining and Scaling up the Effective HIV/AIDS Prevention, Treatment and Care in Georgia </v>
      </c>
      <c r="G6" s="737"/>
      <c r="H6" s="737"/>
      <c r="I6" s="737"/>
      <c r="J6" s="737"/>
      <c r="K6" s="37"/>
      <c r="L6" s="63"/>
      <c r="M6" s="37"/>
      <c r="N6" s="37"/>
      <c r="O6" s="37"/>
      <c r="P6" s="38"/>
      <c r="Q6" s="12"/>
      <c r="R6" s="12"/>
      <c r="S6" s="12"/>
      <c r="T6" s="12"/>
      <c r="U6" s="12"/>
    </row>
    <row r="7" spans="1:24" ht="8.25" customHeight="1">
      <c r="B7" s="4"/>
      <c r="C7" s="5"/>
      <c r="D7" s="5"/>
      <c r="E7" s="6"/>
      <c r="F7" s="6"/>
      <c r="G7" s="5"/>
      <c r="H7" s="5"/>
      <c r="K7" s="37"/>
      <c r="L7" s="37"/>
      <c r="M7" s="37"/>
      <c r="N7" s="37"/>
      <c r="O7" s="37"/>
      <c r="P7" s="38"/>
      <c r="Q7" s="12"/>
      <c r="R7" s="12"/>
      <c r="S7" s="12"/>
      <c r="T7" s="12"/>
      <c r="U7" s="12"/>
    </row>
    <row r="8" spans="1:24" ht="3.75" customHeight="1">
      <c r="C8" s="7"/>
      <c r="D8" s="7"/>
      <c r="E8" s="7"/>
      <c r="F8" s="7"/>
      <c r="G8" s="7"/>
      <c r="H8" s="7"/>
      <c r="I8" s="7"/>
      <c r="J8" s="7"/>
      <c r="K8" s="37"/>
      <c r="L8" s="37"/>
      <c r="M8" s="37"/>
      <c r="N8" s="37"/>
      <c r="O8" s="39"/>
      <c r="P8" s="38"/>
      <c r="Q8" s="39"/>
      <c r="R8" s="40"/>
      <c r="S8" s="12"/>
      <c r="T8" s="12"/>
      <c r="U8" s="12"/>
    </row>
    <row r="9" spans="1:24" ht="25.5" customHeight="1">
      <c r="A9" s="310" t="s">
        <v>26</v>
      </c>
      <c r="B9" s="280" t="str">
        <f>+IF('Data Entry'!G6="Please Select","",'Data Entry'!G6)</f>
        <v>HIV / AIDS</v>
      </c>
      <c r="C9" s="179" t="s">
        <v>326</v>
      </c>
      <c r="D9" s="281" t="str">
        <f>+'Data Entry'!C6</f>
        <v>GEO-H-NCDC</v>
      </c>
      <c r="E9" s="735" t="s">
        <v>12</v>
      </c>
      <c r="F9" s="735"/>
      <c r="G9" s="282">
        <f>+IF(ISBLANK('Data Entry'!C10),"",'Data Entry'!C10)</f>
        <v>43653</v>
      </c>
      <c r="H9" s="310" t="s">
        <v>327</v>
      </c>
      <c r="I9" s="734">
        <f>+IF(ISBLANK('Data Entry'!I6),"",'Data Entry'!I6)</f>
        <v>11383890.09</v>
      </c>
      <c r="J9" s="734"/>
      <c r="K9" s="37"/>
      <c r="L9" s="37"/>
      <c r="M9" s="37"/>
      <c r="N9" s="37"/>
      <c r="O9" s="39"/>
      <c r="P9" s="38"/>
      <c r="Q9" s="39"/>
      <c r="R9" s="40"/>
      <c r="S9" s="12"/>
      <c r="T9" s="8"/>
      <c r="U9" s="8"/>
      <c r="V9" s="7"/>
      <c r="W9" s="7"/>
      <c r="X9" s="7"/>
    </row>
    <row r="10" spans="1:24" ht="25.5" customHeight="1">
      <c r="A10" s="310" t="s">
        <v>321</v>
      </c>
      <c r="B10" s="283" t="str">
        <f>+IF('Data Entry'!G8="Please Select","",'Data Entry'!G8)</f>
        <v>NFM</v>
      </c>
      <c r="C10" s="179" t="s">
        <v>320</v>
      </c>
      <c r="D10" s="284" t="str">
        <f>+IF('Data Entry'!I8="Please Select","",'Data Entry'!I8)</f>
        <v>N/A</v>
      </c>
      <c r="E10" s="728" t="s">
        <v>267</v>
      </c>
      <c r="F10" s="728"/>
      <c r="G10" s="727" t="str">
        <f>+'Data Entry'!C8</f>
        <v>NCDC</v>
      </c>
      <c r="H10" s="727"/>
      <c r="I10" s="727"/>
      <c r="J10" s="727"/>
      <c r="K10" s="12"/>
      <c r="L10" s="12"/>
      <c r="M10" s="37"/>
      <c r="N10" s="12"/>
      <c r="O10" s="39"/>
      <c r="P10" s="38"/>
      <c r="Q10" s="8"/>
      <c r="R10" s="40"/>
      <c r="S10" s="12"/>
      <c r="T10" s="8"/>
      <c r="U10" s="8"/>
    </row>
    <row r="11" spans="1:24" ht="25.5" customHeight="1">
      <c r="A11" s="310" t="s">
        <v>20</v>
      </c>
      <c r="B11" s="285" t="str">
        <f>+'Data Entry'!C16</f>
        <v>Please Select</v>
      </c>
      <c r="C11" s="272" t="s">
        <v>265</v>
      </c>
      <c r="D11" s="286">
        <f>+IF(ISBLANK('Data Entry'!E16),"",'Data Entry'!E16)</f>
        <v>44835</v>
      </c>
      <c r="E11" s="735" t="s">
        <v>21</v>
      </c>
      <c r="F11" s="735"/>
      <c r="G11" s="286">
        <f>+IF(ISBLANK('Data Entry'!G16),"",'Data Entry'!G16)</f>
        <v>44926</v>
      </c>
      <c r="H11" s="310" t="s">
        <v>28</v>
      </c>
      <c r="I11" s="729" t="str">
        <f>+IF('Data Entry'!C12="Please Select","",'Data Entry'!C12)</f>
        <v>C</v>
      </c>
      <c r="J11" s="729"/>
      <c r="K11" s="222"/>
      <c r="L11" s="12"/>
      <c r="M11" s="37"/>
      <c r="N11" s="12"/>
      <c r="O11" s="12"/>
      <c r="P11" s="38"/>
      <c r="Q11" s="8"/>
      <c r="R11" s="40"/>
      <c r="S11" s="12"/>
      <c r="T11" s="9"/>
      <c r="U11" s="8"/>
    </row>
    <row r="12" spans="1:24" ht="25.5" customHeight="1">
      <c r="A12" s="310" t="s">
        <v>30</v>
      </c>
      <c r="B12" s="727" t="str">
        <f>+IF('Data Entry'!G10="Please Select","",'Data Entry'!G10)</f>
        <v>UNOPS</v>
      </c>
      <c r="C12" s="727"/>
      <c r="D12" s="727"/>
      <c r="E12" s="728" t="s">
        <v>287</v>
      </c>
      <c r="F12" s="728"/>
      <c r="G12" s="727" t="str">
        <f>+'Data Entry'!G12</f>
        <v>Tatyana Vinichenko</v>
      </c>
      <c r="H12" s="727"/>
      <c r="I12" s="727"/>
      <c r="J12" s="727"/>
      <c r="K12" s="12"/>
      <c r="L12" s="12"/>
      <c r="M12" s="37"/>
      <c r="N12" s="12"/>
      <c r="O12" s="12"/>
      <c r="P12" s="38"/>
      <c r="Q12" s="8"/>
      <c r="R12" s="40"/>
      <c r="S12" s="12"/>
      <c r="T12" s="8"/>
      <c r="U12" s="41"/>
      <c r="V12" s="8"/>
      <c r="W12" s="9"/>
      <c r="X12" s="8"/>
    </row>
    <row r="13" spans="1:24" ht="25.5" customHeight="1">
      <c r="A13" s="310" t="s">
        <v>31</v>
      </c>
      <c r="B13" s="727" t="str">
        <f>+'Data Entry'!D18</f>
        <v>Tamari Kashibadze, Nino Vakhania</v>
      </c>
      <c r="C13" s="727"/>
      <c r="D13" s="727"/>
      <c r="E13" s="728" t="s">
        <v>29</v>
      </c>
      <c r="F13" s="728"/>
      <c r="G13" s="730">
        <f>+IF(ISBLANK('Data Entry'!J16),"",'Data Entry'!J16)</f>
        <v>45090</v>
      </c>
      <c r="H13" s="731"/>
      <c r="I13" s="731"/>
      <c r="J13" s="731"/>
      <c r="K13" s="12"/>
      <c r="L13" s="13"/>
      <c r="M13" s="13"/>
      <c r="N13" s="13"/>
      <c r="O13" s="12"/>
      <c r="P13" s="13"/>
      <c r="Q13" s="13"/>
      <c r="R13" s="40"/>
      <c r="S13" s="12"/>
      <c r="T13" s="13"/>
      <c r="U13" s="42"/>
    </row>
    <row r="14" spans="1:24">
      <c r="A14" s="11"/>
      <c r="B14" s="11"/>
      <c r="C14" s="10"/>
      <c r="D14" s="10"/>
      <c r="E14" s="10"/>
      <c r="F14" s="10"/>
      <c r="L14" s="10"/>
      <c r="M14" s="10"/>
      <c r="N14" s="10"/>
      <c r="O14" s="10"/>
      <c r="P14" s="10"/>
      <c r="Q14" s="10"/>
      <c r="R14" s="10"/>
      <c r="S14" s="10"/>
      <c r="T14" s="10"/>
      <c r="U14" s="10"/>
    </row>
    <row r="15" spans="1:24">
      <c r="A15" s="10"/>
      <c r="B15" s="10"/>
      <c r="C15" s="10"/>
      <c r="D15" s="10"/>
      <c r="E15" s="10"/>
      <c r="F15" s="10"/>
      <c r="L15" s="10"/>
      <c r="M15" s="10"/>
      <c r="N15" s="10"/>
      <c r="O15" s="10"/>
      <c r="P15" s="10"/>
      <c r="Q15" s="10"/>
      <c r="R15" s="10"/>
      <c r="S15" s="10"/>
      <c r="T15" s="10"/>
      <c r="U15" s="10"/>
    </row>
    <row r="16" spans="1:24">
      <c r="A16" s="10"/>
      <c r="B16" s="10"/>
      <c r="C16" s="187"/>
      <c r="D16" s="10"/>
      <c r="E16" s="311"/>
      <c r="L16" s="10"/>
      <c r="M16" s="10"/>
      <c r="N16" s="10"/>
      <c r="O16" s="10"/>
      <c r="P16" s="10"/>
      <c r="Q16" s="10"/>
      <c r="R16" s="10"/>
      <c r="S16" s="10"/>
      <c r="T16" s="10"/>
      <c r="U16" s="10"/>
    </row>
    <row r="17" spans="1:5">
      <c r="A17" s="10"/>
      <c r="B17" s="10"/>
      <c r="C17" s="10"/>
      <c r="D17" s="10"/>
      <c r="E17" s="10"/>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7" priority="1" stopIfTrue="1" operator="equal">
      <formula>"C"</formula>
    </cfRule>
    <cfRule type="cellIs" dxfId="36" priority="2" stopIfTrue="1" operator="equal">
      <formula>"B2"</formula>
    </cfRule>
    <cfRule type="cellIs" dxfId="35"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B1:O32"/>
  <sheetViews>
    <sheetView showGridLines="0" zoomScale="110" zoomScaleNormal="110" zoomScalePageLayoutView="160" workbookViewId="0">
      <selection activeCell="Q20" sqref="Q20"/>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row r="2" spans="2:15" ht="27.75" customHeight="1">
      <c r="B2" s="653" t="str">
        <f>+"Dashboard:  "&amp;"  "&amp;IF(+'Data Entry'!C4="Please Select","",'Data Entry'!C4&amp;" - ")&amp;IF('Data Entry'!G6="Please Select","",'Data Entry'!G6)</f>
        <v>Dashboard:    Georgia - HIV / AIDS</v>
      </c>
      <c r="C2" s="653"/>
      <c r="D2" s="653"/>
      <c r="E2" s="653"/>
      <c r="F2" s="653"/>
      <c r="G2" s="653"/>
      <c r="H2" s="653"/>
      <c r="I2" s="653"/>
      <c r="J2" s="653"/>
      <c r="K2" s="653"/>
      <c r="L2" s="1"/>
      <c r="M2" s="1"/>
      <c r="N2" s="1"/>
      <c r="O2" s="1"/>
    </row>
    <row r="3" spans="2:15">
      <c r="B3" s="17" t="str">
        <f>+IF('Data Entry'!G8="Please Select","",'Data Entry'!G8)</f>
        <v>NFM</v>
      </c>
      <c r="C3" s="744" t="str">
        <f>+IF('Data Entry'!I8="Please Select","",'Data Entry'!I8)</f>
        <v>N/A</v>
      </c>
      <c r="D3" s="744"/>
      <c r="E3" s="743"/>
      <c r="F3" s="743"/>
      <c r="G3" s="743"/>
      <c r="H3" s="743"/>
      <c r="I3" s="741" t="str">
        <f>+'Data Entry'!B16</f>
        <v>Report Period:</v>
      </c>
      <c r="J3" s="741"/>
      <c r="K3" s="162" t="str">
        <f>+'Data Entry'!C16</f>
        <v>Please Select</v>
      </c>
      <c r="L3" s="64"/>
    </row>
    <row r="4" spans="2:15">
      <c r="B4" s="17" t="str">
        <f>+'Data Entry'!B12</f>
        <v>Latest Rating:</v>
      </c>
      <c r="C4" s="745" t="str">
        <f>+IF('Data Entry'!C12="Please Select","",'Data Entry'!C12)</f>
        <v>C</v>
      </c>
      <c r="D4" s="745"/>
      <c r="E4" s="743" t="str">
        <f>+'Data Entry'!C8</f>
        <v>NCDC</v>
      </c>
      <c r="F4" s="743"/>
      <c r="G4" s="743"/>
      <c r="H4" s="743"/>
      <c r="I4" s="741" t="str">
        <f>+'Data Entry'!D16</f>
        <v>From:</v>
      </c>
      <c r="J4" s="742"/>
      <c r="K4" s="163">
        <f>+IF(ISBLANK('Data Entry'!E16),"",'Data Entry'!E16)</f>
        <v>44835</v>
      </c>
    </row>
    <row r="5" spans="2:15" ht="18.75" customHeight="1">
      <c r="B5" s="17"/>
      <c r="C5" s="17"/>
      <c r="D5" s="740" t="str">
        <f>+'Data Entry'!G4</f>
        <v xml:space="preserve">Sustaining and Scaling up the Effective HIV/AIDS Prevention, Treatment and Care in Georgia </v>
      </c>
      <c r="E5" s="740"/>
      <c r="F5" s="740"/>
      <c r="G5" s="740"/>
      <c r="H5" s="740"/>
      <c r="I5" s="740"/>
      <c r="J5" s="17" t="str">
        <f>+'Data Entry'!F16</f>
        <v>To:</v>
      </c>
      <c r="K5" s="163">
        <f>+IF(ISBLANK('Data Entry'!G16),"",'Data Entry'!G16)</f>
        <v>44926</v>
      </c>
    </row>
    <row r="6" spans="2:15" ht="18.75">
      <c r="B6" s="16"/>
      <c r="C6" s="17"/>
      <c r="D6" s="109"/>
      <c r="E6" s="746" t="s">
        <v>62</v>
      </c>
      <c r="F6" s="746"/>
      <c r="G6" s="746"/>
      <c r="H6" s="746"/>
    </row>
    <row r="7" spans="2:15" ht="10.5" customHeight="1">
      <c r="B7" s="16"/>
      <c r="C7" s="17"/>
      <c r="D7" s="112"/>
      <c r="E7" s="113"/>
      <c r="F7" s="113"/>
      <c r="G7" s="113"/>
      <c r="H7" s="113"/>
      <c r="I7" s="111"/>
      <c r="J7" s="111"/>
      <c r="K7" s="110"/>
    </row>
    <row r="8" spans="2:15">
      <c r="B8" s="166" t="str">
        <f>+'Data Entry'!B27&amp; " - in ("&amp;'Data Entry'!D26&amp;")         "&amp;+I3&amp;" "&amp;+K3</f>
        <v>F1: Budget and disbursements by Global Fund - in ($)         Report Period: Please Select</v>
      </c>
      <c r="C8" s="14"/>
      <c r="H8" s="166" t="str">
        <f>+'Data Entry'!B49&amp; " - in ("&amp;'Data Entry'!D26&amp;")         "&amp;+I3&amp;" "&amp;+K3</f>
        <v>F3: Disbursements and expenditures - in ($)         Report Period: Please Select</v>
      </c>
    </row>
    <row r="9" spans="2:15">
      <c r="B9" s="288" t="s">
        <v>9</v>
      </c>
      <c r="C9" s="754"/>
      <c r="D9" s="755"/>
      <c r="E9" s="755"/>
      <c r="F9" s="756"/>
      <c r="H9" s="289" t="s">
        <v>9</v>
      </c>
      <c r="I9" s="757"/>
      <c r="J9" s="755"/>
      <c r="K9" s="756"/>
    </row>
    <row r="22" spans="2:11" ht="17.25" customHeight="1">
      <c r="B22" s="166" t="str">
        <f>+'Data Entry'!B36&amp; " - in ("&amp;'Data Entry'!D26&amp;")  "&amp;+I3&amp;" "&amp;+K3</f>
        <v>F2: Budget and actual expenditures by Grant Objective - in ($)  Report Period: Please Select</v>
      </c>
      <c r="H22" s="166" t="str">
        <f>+'Data Entry'!B58&amp;"      "&amp;+I3&amp;" "&amp;+K3</f>
        <v>F4: Latest PR reporting and disbursement cycle      Report Period: Please Select</v>
      </c>
    </row>
    <row r="23" spans="2:11">
      <c r="B23" s="289" t="s">
        <v>10</v>
      </c>
      <c r="C23" s="757"/>
      <c r="D23" s="755"/>
      <c r="E23" s="755"/>
      <c r="F23" s="756"/>
      <c r="G23" s="307"/>
      <c r="H23" s="289" t="s">
        <v>9</v>
      </c>
      <c r="I23" s="757"/>
      <c r="J23" s="758"/>
      <c r="K23" s="759"/>
    </row>
    <row r="24" spans="2:11" ht="15.75" thickBot="1">
      <c r="B24" s="171"/>
      <c r="C24" s="171"/>
      <c r="D24" s="171"/>
      <c r="E24" s="171"/>
      <c r="F24" s="171"/>
      <c r="G24" s="171"/>
      <c r="H24" s="171"/>
      <c r="I24" s="171"/>
      <c r="J24" s="171"/>
      <c r="K24" s="171"/>
    </row>
    <row r="25" spans="2:11" ht="29.25" customHeight="1" thickBot="1">
      <c r="G25" s="270"/>
      <c r="H25" s="747" t="s">
        <v>306</v>
      </c>
      <c r="I25" s="748"/>
      <c r="J25" s="748"/>
      <c r="K25" s="749"/>
    </row>
    <row r="26" spans="2:11" ht="24.75">
      <c r="H26" s="750"/>
      <c r="I26" s="751"/>
      <c r="J26" s="248" t="s">
        <v>60</v>
      </c>
      <c r="K26" s="249" t="s">
        <v>61</v>
      </c>
    </row>
    <row r="27" spans="2:11" ht="23.25" customHeight="1">
      <c r="G27" s="271"/>
      <c r="H27" s="752" t="str">
        <f>'Data Entry'!B62</f>
        <v>Days taken to submit final PU/DR to LFA</v>
      </c>
      <c r="I27" s="753"/>
      <c r="J27" s="250">
        <f>+'Data Entry'!C62</f>
        <v>60</v>
      </c>
      <c r="K27" s="247" t="str">
        <f>+'Data Entry'!D62</f>
        <v>N/A</v>
      </c>
    </row>
    <row r="28" spans="2:11" ht="21" customHeight="1">
      <c r="G28" s="271"/>
      <c r="H28" s="752" t="str">
        <f>'Data Entry'!B63</f>
        <v>Days taken for disbursement to reach PR</v>
      </c>
      <c r="I28" s="753"/>
      <c r="J28" s="250">
        <f>+'Data Entry'!C63</f>
        <v>45</v>
      </c>
      <c r="K28" s="247" t="str">
        <f>+'Data Entry'!D63</f>
        <v>N/A</v>
      </c>
    </row>
    <row r="29" spans="2:11" ht="21" customHeight="1" thickBot="1">
      <c r="G29" s="271"/>
      <c r="H29" s="738" t="str">
        <f>'Data Entry'!B64</f>
        <v xml:space="preserve">Days taken for disbursement to reach SRs </v>
      </c>
      <c r="I29" s="739"/>
      <c r="J29" s="251">
        <f>+'Data Entry'!C64</f>
        <v>5</v>
      </c>
      <c r="K29" s="252">
        <f>+'Data Entry'!D64</f>
        <v>5</v>
      </c>
    </row>
    <row r="31" spans="2:11">
      <c r="D31" s="188"/>
    </row>
    <row r="32" spans="2:11">
      <c r="D32" s="188"/>
    </row>
  </sheetData>
  <sheetProtection password="CFC9" sheet="1"/>
  <mergeCells count="18">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s>
  <phoneticPr fontId="30" type="noConversion"/>
  <conditionalFormatting sqref="K27:K29">
    <cfRule type="cellIs" dxfId="34" priority="4" stopIfTrue="1" operator="greaterThan">
      <formula>#REF!</formula>
    </cfRule>
    <cfRule type="cellIs" dxfId="33" priority="5" stopIfTrue="1" operator="between">
      <formula>#REF!</formula>
      <formula>1</formula>
    </cfRule>
    <cfRule type="cellIs" dxfId="32" priority="6" stopIfTrue="1" operator="equal">
      <formula>0</formula>
    </cfRule>
  </conditionalFormatting>
  <conditionalFormatting sqref="C4:D4">
    <cfRule type="cellIs" dxfId="31" priority="1" stopIfTrue="1" operator="equal">
      <formula>"C"</formula>
    </cfRule>
    <cfRule type="cellIs" dxfId="30" priority="2" stopIfTrue="1" operator="equal">
      <formula>"B2"</formula>
    </cfRule>
    <cfRule type="cellIs" dxfId="29"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4"/>
  <sheetViews>
    <sheetView showGridLines="0" zoomScaleNormal="100" zoomScalePageLayoutView="130" workbookViewId="0">
      <selection activeCell="R27" sqref="R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3.7109375" customWidth="1"/>
    <col min="11" max="11" width="13.42578125" customWidth="1"/>
    <col min="12" max="12" width="14.140625" customWidth="1"/>
    <col min="13" max="13" width="4.28515625" customWidth="1"/>
  </cols>
  <sheetData>
    <row r="1" spans="1:16" ht="28.5" customHeight="1">
      <c r="C1" s="185"/>
      <c r="E1" s="102"/>
    </row>
    <row r="2" spans="1:16" ht="27.75" customHeight="1">
      <c r="B2" s="769" t="str">
        <f>+"Dashboard:  "&amp;"  "&amp;IF(+'Data Entry'!C4="Please Select","",'Data Entry'!C4&amp;" - ")&amp;IF('Data Entry'!G6="Please Select","",'Data Entry'!G6)</f>
        <v>Dashboard:    Georgia - HIV / AIDS</v>
      </c>
      <c r="C2" s="769"/>
      <c r="D2" s="769"/>
      <c r="E2" s="769"/>
      <c r="F2" s="769"/>
      <c r="G2" s="769"/>
      <c r="H2" s="769"/>
      <c r="I2" s="769"/>
      <c r="J2" s="769"/>
      <c r="K2" s="769"/>
      <c r="L2" s="769"/>
      <c r="M2" s="19"/>
      <c r="N2" s="19"/>
      <c r="O2" s="19"/>
      <c r="P2" s="19"/>
    </row>
    <row r="3" spans="1:16">
      <c r="B3" s="17" t="str">
        <f>+IF('Data Entry'!G8="Please Select","",'Data Entry'!G8)</f>
        <v>NFM</v>
      </c>
      <c r="C3" s="744" t="str">
        <f>+IF('Data Entry'!I8="Please Select","",'Data Entry'!I8)</f>
        <v>N/A</v>
      </c>
      <c r="D3" s="744"/>
      <c r="E3" s="743"/>
      <c r="F3" s="743"/>
      <c r="G3" s="743"/>
      <c r="H3" s="743"/>
      <c r="I3" s="743"/>
      <c r="J3" s="741" t="str">
        <f>+'Data Entry'!B16</f>
        <v>Report Period:</v>
      </c>
      <c r="K3" s="741"/>
      <c r="L3" s="162" t="s">
        <v>460</v>
      </c>
    </row>
    <row r="4" spans="1:16">
      <c r="B4" s="17" t="str">
        <f>+'Data Entry'!B12</f>
        <v>Latest Rating:</v>
      </c>
      <c r="C4" s="745" t="str">
        <f>+IF('Data Entry'!C12="Please Select","",'Data Entry'!C12)</f>
        <v>C</v>
      </c>
      <c r="D4" s="745"/>
      <c r="E4" s="743" t="str">
        <f>+'Data Entry'!C8</f>
        <v>NCDC</v>
      </c>
      <c r="F4" s="743"/>
      <c r="G4" s="743"/>
      <c r="H4" s="743"/>
      <c r="I4" s="743"/>
      <c r="J4" s="741" t="str">
        <f>+'Data Entry'!D16</f>
        <v>From:</v>
      </c>
      <c r="K4" s="742"/>
      <c r="L4" s="163">
        <f>+IF(ISBLANK('Data Entry'!E16),"",'Data Entry'!E16)</f>
        <v>44835</v>
      </c>
    </row>
    <row r="5" spans="1:16" ht="18.75" customHeight="1">
      <c r="B5" s="17"/>
      <c r="C5" s="17"/>
      <c r="D5" s="743" t="str">
        <f>+'Data Entry'!G4</f>
        <v xml:space="preserve">Sustaining and Scaling up the Effective HIV/AIDS Prevention, Treatment and Care in Georgia </v>
      </c>
      <c r="E5" s="743"/>
      <c r="F5" s="743"/>
      <c r="G5" s="743"/>
      <c r="H5" s="743"/>
      <c r="I5" s="743"/>
      <c r="J5" s="743"/>
      <c r="K5" s="17" t="str">
        <f>+'Data Entry'!F16</f>
        <v>To:</v>
      </c>
      <c r="L5" s="163">
        <f>+IF(ISBLANK('Data Entry'!G16),"",'Data Entry'!G16)</f>
        <v>44926</v>
      </c>
    </row>
    <row r="6" spans="1:16" ht="18.75">
      <c r="B6" s="16"/>
      <c r="C6" s="17"/>
      <c r="D6" s="18"/>
      <c r="E6" s="746" t="s">
        <v>69</v>
      </c>
      <c r="F6" s="746"/>
      <c r="G6" s="746"/>
      <c r="H6" s="746"/>
      <c r="I6" s="746"/>
    </row>
    <row r="7" spans="1:16">
      <c r="B7" s="308" t="str">
        <f>+'Data Entry'!B69&amp;"                "&amp;+J3&amp;" "&amp;+L3</f>
        <v>M1: Status of Conditions Precedent (CPs) and Time Bound Actions (TBAs)                Report Period: P14</v>
      </c>
      <c r="C7" s="14"/>
      <c r="H7" s="308" t="str">
        <f>+'Data Entry'!B76&amp;"                                                                             "&amp;+J3&amp;"  "&amp;+L3</f>
        <v>M2: Status of key PR management positions                                                                             Report Period:  P14</v>
      </c>
    </row>
    <row r="8" spans="1:16">
      <c r="B8" s="289" t="s">
        <v>9</v>
      </c>
      <c r="C8" s="757"/>
      <c r="D8" s="758"/>
      <c r="E8" s="758"/>
      <c r="F8" s="759"/>
      <c r="G8" s="309"/>
      <c r="H8" s="289" t="s">
        <v>9</v>
      </c>
      <c r="I8" s="757"/>
      <c r="J8" s="763"/>
      <c r="K8" s="763"/>
      <c r="L8" s="764"/>
    </row>
    <row r="10" spans="1:16">
      <c r="A10" s="34"/>
      <c r="D10" s="768"/>
      <c r="E10" s="519"/>
      <c r="F10" s="519"/>
      <c r="G10" s="33"/>
      <c r="N10" s="36"/>
      <c r="O10" s="36"/>
      <c r="P10" s="35"/>
    </row>
    <row r="11" spans="1:16">
      <c r="C11" s="21"/>
      <c r="D11" s="768"/>
      <c r="E11" s="21"/>
      <c r="F11" s="21"/>
      <c r="G11" s="21"/>
      <c r="H11" s="21"/>
    </row>
    <row r="12" spans="1:16">
      <c r="B12" s="21"/>
      <c r="C12" s="60"/>
      <c r="D12" s="61"/>
      <c r="E12" s="61"/>
      <c r="F12" s="61"/>
      <c r="G12" s="61"/>
      <c r="H12" s="62"/>
    </row>
    <row r="13" spans="1:16">
      <c r="B13" s="21"/>
      <c r="C13" s="60"/>
      <c r="D13" s="61"/>
      <c r="E13" s="61"/>
      <c r="F13" s="61"/>
      <c r="G13" s="61"/>
      <c r="H13" s="62"/>
    </row>
    <row r="15" spans="1:16" ht="27.75" customHeight="1">
      <c r="B15" s="308" t="str">
        <f>+'Data Entry'!B81&amp;"                                                                                                  "&amp;+J3&amp;" "&amp;+L3</f>
        <v>M3: Contractual arrangements                                                                                                  Report Period: P14</v>
      </c>
      <c r="H15" s="308" t="str">
        <f>+'Data Entry'!B86&amp;"                                                             "&amp;+J3&amp;" "&amp;+L3</f>
        <v>M4: Number of complete reports received on time                                                             Report Period: P14</v>
      </c>
    </row>
    <row r="16" spans="1:16">
      <c r="B16" s="289" t="s">
        <v>9</v>
      </c>
      <c r="C16" s="757"/>
      <c r="D16" s="763"/>
      <c r="E16" s="763"/>
      <c r="F16" s="764"/>
      <c r="G16" s="309"/>
      <c r="H16" s="289" t="s">
        <v>9</v>
      </c>
      <c r="I16" s="757"/>
      <c r="J16" s="758"/>
      <c r="K16" s="758"/>
      <c r="L16" s="759"/>
    </row>
    <row r="17" spans="2:13">
      <c r="B17" s="22"/>
      <c r="H17" s="22"/>
    </row>
    <row r="18" spans="2:13">
      <c r="M18" s="64"/>
    </row>
    <row r="26" spans="2:13">
      <c r="B26" s="308" t="str">
        <f>+'Data Entry'!B92</f>
        <v>M5: Budget and Procurement of health products, health equipment, medicines and pharmaceuticals</v>
      </c>
      <c r="H26" s="308" t="str">
        <f>+'Data Entry'!B105&amp;"                                                                "&amp;+J3&amp;"  "&amp;+L3</f>
        <v>M6: Difference between current and safety stock                                                                Report Period:  P14</v>
      </c>
    </row>
    <row r="27" spans="2:13" ht="72.95" customHeight="1">
      <c r="B27" s="288" t="s">
        <v>9</v>
      </c>
      <c r="C27" s="754"/>
      <c r="D27" s="763"/>
      <c r="E27" s="763"/>
      <c r="F27" s="764"/>
      <c r="G27" s="309"/>
      <c r="H27" s="289" t="s">
        <v>9</v>
      </c>
      <c r="I27" s="765" t="s">
        <v>461</v>
      </c>
      <c r="J27" s="766"/>
      <c r="K27" s="766"/>
      <c r="L27" s="767"/>
    </row>
    <row r="28" spans="2:13" ht="15.75" thickBot="1">
      <c r="I28" s="228" t="s">
        <v>453</v>
      </c>
    </row>
    <row r="29" spans="2:13" ht="55.5" customHeight="1">
      <c r="F29" s="274"/>
      <c r="G29" s="274"/>
      <c r="H29" s="433" t="s">
        <v>32</v>
      </c>
      <c r="I29" s="434" t="s">
        <v>79</v>
      </c>
      <c r="J29" s="435" t="s">
        <v>341</v>
      </c>
      <c r="K29" s="436" t="s">
        <v>329</v>
      </c>
      <c r="L29" s="437" t="s">
        <v>328</v>
      </c>
    </row>
    <row r="30" spans="2:13" ht="25.5" customHeight="1">
      <c r="F30" s="274"/>
      <c r="G30" s="274"/>
      <c r="H30" s="760" t="str">
        <f>+'Data Entry'!B108</f>
        <v>Please Select</v>
      </c>
      <c r="I30" s="454" t="str">
        <f>+'Data Entry'!C108</f>
        <v>Dolutegravir/lamivudine/tenofovir</v>
      </c>
      <c r="J30" s="411">
        <v>9</v>
      </c>
      <c r="K30" s="412">
        <f>+'Data Entry'!J108</f>
        <v>3</v>
      </c>
      <c r="L30" s="438">
        <f>J30-K30</f>
        <v>6</v>
      </c>
    </row>
    <row r="31" spans="2:13">
      <c r="F31" s="274"/>
      <c r="G31" s="274"/>
      <c r="H31" s="761"/>
      <c r="I31" s="273" t="str">
        <f>+'Data Entry'!C109</f>
        <v>Syringes (1ml)</v>
      </c>
      <c r="J31" s="411">
        <v>14</v>
      </c>
      <c r="K31" s="412">
        <v>3</v>
      </c>
      <c r="L31" s="439">
        <f t="shared" ref="L31:L33" si="0">J31-K31</f>
        <v>11</v>
      </c>
      <c r="M31" s="489"/>
    </row>
    <row r="32" spans="2:13">
      <c r="F32" s="274"/>
      <c r="G32" s="274"/>
      <c r="H32" s="761"/>
      <c r="I32" s="273" t="str">
        <f>+'Data Entry'!C110</f>
        <v>Condoms</v>
      </c>
      <c r="J32" s="411">
        <v>7</v>
      </c>
      <c r="K32" s="412">
        <f>+'Data Entry'!J110</f>
        <v>3</v>
      </c>
      <c r="L32" s="439">
        <f t="shared" si="0"/>
        <v>4</v>
      </c>
      <c r="M32" s="489"/>
    </row>
    <row r="33" spans="2:13" ht="15.75" thickBot="1">
      <c r="F33" s="274"/>
      <c r="G33" s="274"/>
      <c r="H33" s="762"/>
      <c r="I33" s="440" t="str">
        <f>+'Data Entry'!C111</f>
        <v>Lubricants</v>
      </c>
      <c r="J33" s="441">
        <v>11</v>
      </c>
      <c r="K33" s="442">
        <f>+'Data Entry'!J111</f>
        <v>3</v>
      </c>
      <c r="L33" s="439">
        <f t="shared" si="0"/>
        <v>8</v>
      </c>
      <c r="M33" s="489"/>
    </row>
    <row r="34" spans="2:13" ht="24.75" customHeight="1">
      <c r="B34" s="770" t="str">
        <f>+'Data Entry'!B102</f>
        <v>* Includes only EFR category 4 and 5  (Health products and health equipment &amp; Medicines and Pharmaceuticals)</v>
      </c>
      <c r="C34" s="770"/>
      <c r="D34" s="770"/>
      <c r="E34" s="770"/>
      <c r="H34" s="172"/>
      <c r="I34" s="162"/>
      <c r="J34" s="173"/>
      <c r="K34" s="33"/>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8" priority="1" stopIfTrue="1" operator="greaterThan">
      <formula>0</formula>
    </cfRule>
  </conditionalFormatting>
  <conditionalFormatting sqref="E12:E13">
    <cfRule type="cellIs" dxfId="27" priority="2" stopIfTrue="1" operator="greaterThan">
      <formula>0</formula>
    </cfRule>
  </conditionalFormatting>
  <conditionalFormatting sqref="F12:G13">
    <cfRule type="cellIs" dxfId="26" priority="3" stopIfTrue="1" operator="greaterThan">
      <formula>0</formula>
    </cfRule>
  </conditionalFormatting>
  <conditionalFormatting sqref="C4:D4">
    <cfRule type="cellIs" dxfId="25" priority="4" stopIfTrue="1" operator="equal">
      <formula>"C"</formula>
    </cfRule>
    <cfRule type="cellIs" dxfId="24" priority="5" stopIfTrue="1" operator="equal">
      <formula>"B2"</formula>
    </cfRule>
    <cfRule type="cellIs" dxfId="23" priority="6" stopIfTrue="1" operator="equal">
      <formula>"B1"</formula>
    </cfRule>
  </conditionalFormatting>
  <conditionalFormatting sqref="L30:L33">
    <cfRule type="cellIs" dxfId="22" priority="13" stopIfTrue="1" operator="lessThan">
      <formula>1</formula>
    </cfRule>
    <cfRule type="cellIs" dxfId="21" priority="14" stopIfTrue="1" operator="between">
      <formula>3</formula>
      <formula>17</formula>
    </cfRule>
    <cfRule type="cellIs" dxfId="20"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zoomScale="80" zoomScaleNormal="80" workbookViewId="0">
      <selection activeCell="S6" sqref="S6"/>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6.42578125" customWidth="1"/>
  </cols>
  <sheetData>
    <row r="1" spans="2:35" ht="26.25" customHeight="1"/>
    <row r="2" spans="2:35" ht="21.75" customHeight="1">
      <c r="B2" s="769" t="str">
        <f>+"Dashboard:  "&amp;"  "&amp;IF(+'Data Entry'!C4="Please Select","",'Data Entry'!C4&amp;" - ")&amp;IF('Data Entry'!G6="Please Select","",'Data Entry'!G6)</f>
        <v>Dashboard:    Georgia - HIV / AIDS</v>
      </c>
      <c r="C2" s="769"/>
      <c r="D2" s="769"/>
      <c r="E2" s="769"/>
      <c r="F2" s="769"/>
      <c r="G2" s="769"/>
      <c r="H2" s="769"/>
      <c r="I2" s="769"/>
      <c r="J2" s="769"/>
      <c r="K2" s="769"/>
      <c r="L2" s="769"/>
      <c r="M2" s="769"/>
      <c r="N2" s="769"/>
      <c r="O2" s="769"/>
      <c r="P2" s="769"/>
      <c r="Q2" s="769"/>
    </row>
    <row r="3" spans="2:35" ht="18.75">
      <c r="B3" s="17" t="str">
        <f>+IF('Data Entry'!G8="Please Select","",'Data Entry'!G8)</f>
        <v>NFM</v>
      </c>
      <c r="C3" s="744" t="str">
        <f>+IF('Data Entry'!I8="Please Select","",'Data Entry'!I8)</f>
        <v>N/A</v>
      </c>
      <c r="D3" s="744"/>
      <c r="E3" s="743"/>
      <c r="F3" s="743"/>
      <c r="G3" s="743"/>
      <c r="H3" s="743"/>
      <c r="I3" s="503"/>
      <c r="J3" s="503"/>
      <c r="K3" s="503"/>
      <c r="O3" s="741" t="str">
        <f>+'Data Entry'!B16</f>
        <v>Report Period:</v>
      </c>
      <c r="P3" s="741"/>
      <c r="Q3" s="472" t="str">
        <f>+'Data Entry'!C16</f>
        <v>Please Select</v>
      </c>
      <c r="R3" t="s">
        <v>460</v>
      </c>
    </row>
    <row r="4" spans="2:35" ht="12" customHeight="1">
      <c r="B4" s="17" t="str">
        <f>+'Data Entry'!B12</f>
        <v>Latest Rating:</v>
      </c>
      <c r="C4" s="776" t="str">
        <f>+IF('Data Entry'!C12="Please Select","",'Data Entry'!C12)</f>
        <v>C</v>
      </c>
      <c r="D4" s="776"/>
      <c r="E4" s="743" t="str">
        <f>+'Data Entry'!C8</f>
        <v>NCDC</v>
      </c>
      <c r="F4" s="743"/>
      <c r="G4" s="743"/>
      <c r="H4" s="743"/>
      <c r="I4" s="743"/>
      <c r="J4" s="743"/>
      <c r="K4" s="743"/>
      <c r="L4" s="743"/>
      <c r="O4" s="16"/>
      <c r="P4" s="17" t="str">
        <f>+'Data Entry'!D16</f>
        <v>From:</v>
      </c>
      <c r="Q4" s="276">
        <f>+IF(ISBLANK('Data Entry'!E16),"",'Data Entry'!E16)</f>
        <v>44835</v>
      </c>
      <c r="Y4" s="12"/>
      <c r="Z4" s="12"/>
      <c r="AA4" s="12"/>
      <c r="AB4" s="12"/>
      <c r="AC4" s="12"/>
    </row>
    <row r="5" spans="2:35" ht="15.75" customHeight="1">
      <c r="B5" s="17"/>
      <c r="C5" s="17"/>
      <c r="D5" s="743" t="str">
        <f>+'Data Entry'!G4</f>
        <v xml:space="preserve">Sustaining and Scaling up the Effective HIV/AIDS Prevention, Treatment and Care in Georgia </v>
      </c>
      <c r="E5" s="743"/>
      <c r="F5" s="743"/>
      <c r="G5" s="743"/>
      <c r="H5" s="743"/>
      <c r="I5" s="743"/>
      <c r="J5" s="743"/>
      <c r="K5" s="743"/>
      <c r="L5" s="743"/>
      <c r="M5" s="743"/>
      <c r="N5" s="743"/>
      <c r="P5" s="17" t="str">
        <f>+'Data Entry'!F16</f>
        <v>To:</v>
      </c>
      <c r="Q5" s="276">
        <f>+IF(ISBLANK('Data Entry'!G16),"",'Data Entry'!G16)</f>
        <v>44926</v>
      </c>
      <c r="S5" s="180"/>
      <c r="T5" s="180"/>
      <c r="U5" s="180"/>
      <c r="V5" s="180"/>
      <c r="W5" s="180"/>
      <c r="X5" s="180"/>
      <c r="Y5" s="12"/>
      <c r="Z5" s="12"/>
      <c r="AA5" s="12" t="s">
        <v>42</v>
      </c>
      <c r="AB5" s="12"/>
      <c r="AC5" s="12" t="s">
        <v>263</v>
      </c>
      <c r="AD5" s="180"/>
      <c r="AE5" s="180"/>
      <c r="AF5" s="180"/>
      <c r="AG5" s="180"/>
      <c r="AH5" s="180"/>
      <c r="AI5" s="180"/>
    </row>
    <row r="6" spans="2:35" ht="15.75" customHeight="1">
      <c r="B6" s="17"/>
      <c r="C6" s="17"/>
      <c r="D6" s="178"/>
      <c r="E6" s="178"/>
      <c r="F6" s="775" t="s">
        <v>389</v>
      </c>
      <c r="G6" s="775"/>
      <c r="H6" s="775"/>
      <c r="I6" s="775"/>
      <c r="J6" s="775"/>
      <c r="K6" s="775"/>
      <c r="L6" s="178"/>
      <c r="O6" s="164"/>
      <c r="P6" s="208"/>
      <c r="S6" s="180"/>
      <c r="T6" s="180"/>
      <c r="U6" s="180"/>
      <c r="V6" s="180"/>
      <c r="W6" s="180"/>
      <c r="X6" s="180"/>
      <c r="Y6" s="12"/>
      <c r="Z6" s="12"/>
      <c r="AA6" s="12"/>
      <c r="AB6" s="12"/>
      <c r="AC6" s="12"/>
      <c r="AD6" s="180"/>
      <c r="AE6" s="180"/>
      <c r="AF6" s="180"/>
      <c r="AG6" s="180"/>
      <c r="AH6" s="180"/>
      <c r="AI6" s="180"/>
    </row>
    <row r="7" spans="2:35" ht="3" customHeight="1">
      <c r="B7" s="17"/>
      <c r="C7" s="17"/>
      <c r="D7" s="178"/>
      <c r="E7" s="178"/>
      <c r="F7" s="178"/>
      <c r="G7" s="178"/>
      <c r="H7" s="178"/>
      <c r="I7" s="178"/>
      <c r="J7" s="178"/>
      <c r="K7" s="178"/>
      <c r="L7" s="178"/>
      <c r="O7" s="164"/>
      <c r="P7" s="163"/>
      <c r="Q7" s="163"/>
      <c r="S7" s="180"/>
      <c r="T7" s="180"/>
      <c r="U7" s="180"/>
      <c r="V7" s="180"/>
      <c r="W7" s="180"/>
      <c r="X7" s="180"/>
      <c r="Y7" s="12"/>
      <c r="Z7" s="12"/>
      <c r="AA7" s="12"/>
      <c r="AB7" s="12"/>
      <c r="AC7" s="12"/>
      <c r="AD7" s="180"/>
      <c r="AE7" s="180"/>
      <c r="AF7" s="180"/>
      <c r="AG7" s="180"/>
      <c r="AH7" s="180"/>
      <c r="AI7" s="180"/>
    </row>
    <row r="8" spans="2:35" ht="18.75" customHeight="1">
      <c r="B8" s="774" t="str">
        <f>+'Data Entry'!B118</f>
        <v>Percentage of PWID that have received an HIV test during the reporting period and know their results</v>
      </c>
      <c r="C8" s="774"/>
      <c r="D8" s="774"/>
      <c r="E8" s="774"/>
      <c r="F8" s="774" t="str">
        <f>+'Data Entry'!B120</f>
        <v>Percentage of MSM reached with HIV prevention programs - defined package of services</v>
      </c>
      <c r="G8" s="774"/>
      <c r="H8" s="774"/>
      <c r="I8" s="774"/>
      <c r="J8" s="774"/>
      <c r="K8" s="774"/>
      <c r="L8" s="774" t="str">
        <f>+'Data Entry'!B122</f>
        <v xml:space="preserve">Percentage of people living with HIV currently receiving antiretroviral therapy </v>
      </c>
      <c r="M8" s="774"/>
      <c r="N8" s="774"/>
      <c r="O8" s="774"/>
      <c r="P8" s="774"/>
      <c r="Q8" s="774"/>
      <c r="S8" s="180"/>
      <c r="T8" s="180"/>
      <c r="U8" s="180"/>
      <c r="V8" s="180"/>
      <c r="W8" s="180"/>
      <c r="X8" s="180"/>
      <c r="Y8" s="12"/>
      <c r="Z8" s="12"/>
      <c r="AA8" s="12"/>
      <c r="AB8" s="12"/>
      <c r="AC8" s="12"/>
      <c r="AD8" s="180"/>
      <c r="AE8" s="180"/>
      <c r="AF8" s="180"/>
      <c r="AG8" s="180"/>
      <c r="AH8" s="180"/>
      <c r="AI8" s="180"/>
    </row>
    <row r="9" spans="2:35" ht="24" customHeight="1">
      <c r="B9" s="370" t="s">
        <v>407</v>
      </c>
      <c r="C9" s="789"/>
      <c r="D9" s="792"/>
      <c r="E9" s="793"/>
      <c r="F9" s="370" t="s">
        <v>408</v>
      </c>
      <c r="G9" s="789"/>
      <c r="H9" s="794"/>
      <c r="I9" s="794"/>
      <c r="J9" s="794"/>
      <c r="K9" s="795"/>
      <c r="L9" s="370" t="s">
        <v>409</v>
      </c>
      <c r="M9" s="789"/>
      <c r="N9" s="790"/>
      <c r="O9" s="790"/>
      <c r="P9" s="790"/>
      <c r="Q9" s="791"/>
      <c r="S9" s="180"/>
      <c r="T9" s="180"/>
      <c r="U9" s="180"/>
      <c r="V9" s="180"/>
      <c r="W9" s="180"/>
      <c r="X9" s="180"/>
      <c r="Y9" s="180"/>
      <c r="Z9" s="180"/>
      <c r="AA9" s="180"/>
      <c r="AB9" s="180"/>
      <c r="AC9" s="180"/>
      <c r="AD9" s="180"/>
      <c r="AE9" s="180"/>
      <c r="AF9" s="180"/>
      <c r="AG9" s="180"/>
      <c r="AH9" s="180"/>
      <c r="AI9" s="180"/>
    </row>
    <row r="10" spans="2:35" ht="18.75" customHeight="1">
      <c r="B10" s="17"/>
      <c r="C10" s="17"/>
      <c r="D10" s="178"/>
      <c r="E10" s="178"/>
      <c r="F10" s="178"/>
      <c r="G10" s="178"/>
      <c r="H10" s="178"/>
      <c r="I10" s="178"/>
      <c r="J10" s="178"/>
      <c r="K10" s="178"/>
      <c r="L10" s="178"/>
      <c r="O10" s="164"/>
      <c r="P10" s="163"/>
      <c r="S10" s="180"/>
      <c r="T10" s="180"/>
      <c r="U10" s="180"/>
      <c r="V10" s="180"/>
      <c r="W10" s="180"/>
      <c r="X10" s="180"/>
      <c r="Y10" s="180"/>
      <c r="Z10" s="180"/>
      <c r="AA10" s="180"/>
      <c r="AB10" s="180"/>
      <c r="AC10" s="180"/>
      <c r="AD10" s="180"/>
      <c r="AE10" s="180"/>
      <c r="AF10" s="180"/>
      <c r="AG10" s="180"/>
      <c r="AH10" s="180"/>
      <c r="AI10" s="180"/>
    </row>
    <row r="11" spans="2:35" ht="18.75" customHeight="1">
      <c r="B11" s="17"/>
      <c r="C11" s="17"/>
      <c r="D11" s="178"/>
      <c r="E11" s="178"/>
      <c r="F11" s="178"/>
      <c r="G11" s="178"/>
      <c r="H11" s="178"/>
      <c r="I11" s="178"/>
      <c r="J11" s="178"/>
      <c r="K11" s="178"/>
      <c r="L11" s="178"/>
      <c r="O11" s="164"/>
      <c r="P11" s="163"/>
      <c r="S11" s="180"/>
      <c r="T11" s="180"/>
      <c r="U11" s="180"/>
      <c r="V11" s="180"/>
      <c r="W11" s="180"/>
      <c r="X11" s="180"/>
      <c r="Y11" s="180"/>
      <c r="Z11" s="180"/>
      <c r="AA11" s="180"/>
      <c r="AB11" s="180"/>
      <c r="AC11" s="180"/>
      <c r="AD11" s="180"/>
      <c r="AE11" s="180"/>
      <c r="AF11" s="180"/>
      <c r="AG11" s="180"/>
      <c r="AH11" s="180"/>
      <c r="AI11" s="180"/>
    </row>
    <row r="12" spans="2:35" ht="18.75" customHeight="1">
      <c r="B12" s="17"/>
      <c r="C12" s="17"/>
      <c r="D12" s="178"/>
      <c r="E12" s="178"/>
      <c r="F12" s="178"/>
      <c r="G12" s="178"/>
      <c r="H12" s="178"/>
      <c r="I12" s="178"/>
      <c r="J12" s="178"/>
      <c r="K12" s="178"/>
      <c r="L12" s="178"/>
      <c r="O12" s="164"/>
      <c r="P12" s="163"/>
      <c r="S12" s="180"/>
      <c r="T12" s="180"/>
      <c r="U12" s="180"/>
      <c r="V12" s="180"/>
      <c r="W12" s="180"/>
      <c r="X12" s="180"/>
      <c r="Y12" s="180"/>
      <c r="Z12" s="180"/>
      <c r="AA12" s="180"/>
      <c r="AB12" s="180"/>
      <c r="AC12" s="180"/>
      <c r="AD12" s="180"/>
      <c r="AE12" s="180"/>
      <c r="AF12" s="180"/>
      <c r="AG12" s="180"/>
      <c r="AH12" s="180"/>
      <c r="AI12" s="180"/>
    </row>
    <row r="13" spans="2:35" ht="18.75" customHeight="1">
      <c r="B13" s="17"/>
      <c r="C13" s="17"/>
      <c r="D13" s="178"/>
      <c r="E13" s="178"/>
      <c r="F13" s="178"/>
      <c r="G13" s="178"/>
      <c r="H13" s="178"/>
      <c r="I13" s="178"/>
      <c r="J13" s="178"/>
      <c r="K13" s="178"/>
      <c r="L13" s="178"/>
      <c r="O13" s="164"/>
      <c r="P13" s="163"/>
      <c r="S13" s="180"/>
      <c r="T13" s="180"/>
      <c r="U13" s="180"/>
      <c r="V13" s="180"/>
      <c r="W13" s="180"/>
      <c r="X13" s="180"/>
      <c r="Y13" s="180"/>
      <c r="Z13" s="180"/>
      <c r="AA13" s="180"/>
      <c r="AB13" s="180"/>
      <c r="AC13" s="180"/>
      <c r="AD13" s="180"/>
      <c r="AE13" s="180"/>
      <c r="AF13" s="180"/>
      <c r="AG13" s="180"/>
      <c r="AH13" s="180"/>
      <c r="AI13" s="180"/>
    </row>
    <row r="14" spans="2:35" ht="18.75" customHeight="1">
      <c r="B14" s="17"/>
      <c r="C14" s="17"/>
      <c r="D14" s="178"/>
      <c r="E14" s="178"/>
      <c r="F14" s="178"/>
      <c r="G14" s="178"/>
      <c r="H14" s="178"/>
      <c r="I14" s="178"/>
      <c r="J14" s="178"/>
      <c r="K14" s="178"/>
      <c r="L14" s="178"/>
      <c r="O14" s="164"/>
      <c r="P14" s="163"/>
      <c r="S14" s="180"/>
      <c r="T14" s="180"/>
      <c r="U14" s="180"/>
      <c r="V14" s="180"/>
      <c r="W14" s="180"/>
      <c r="X14" s="180"/>
      <c r="Y14" s="180"/>
      <c r="Z14" s="180"/>
      <c r="AA14" s="180"/>
      <c r="AB14" s="180"/>
      <c r="AC14" s="180"/>
      <c r="AD14" s="180"/>
      <c r="AE14" s="180"/>
      <c r="AF14" s="180"/>
      <c r="AG14" s="180"/>
      <c r="AH14" s="180"/>
      <c r="AI14" s="180"/>
    </row>
    <row r="15" spans="2:35" ht="18.75" customHeight="1">
      <c r="B15" s="17"/>
      <c r="C15" s="17"/>
      <c r="D15" s="178"/>
      <c r="E15" s="178"/>
      <c r="F15" s="178"/>
      <c r="G15" s="178"/>
      <c r="H15" s="178"/>
      <c r="I15" s="178"/>
      <c r="J15" s="178"/>
      <c r="K15" s="178"/>
      <c r="L15" s="178"/>
      <c r="O15" s="164"/>
      <c r="P15" s="163"/>
      <c r="S15" s="180"/>
      <c r="T15" s="180"/>
      <c r="U15" s="180"/>
      <c r="V15" s="180"/>
      <c r="W15" s="180"/>
      <c r="X15" s="180"/>
      <c r="Y15" s="180"/>
      <c r="Z15" s="180"/>
      <c r="AA15" s="180"/>
      <c r="AB15" s="180"/>
      <c r="AC15" s="180"/>
      <c r="AD15" s="180"/>
      <c r="AE15" s="180"/>
      <c r="AF15" s="180"/>
      <c r="AG15" s="180"/>
      <c r="AH15" s="180"/>
      <c r="AI15" s="180"/>
    </row>
    <row r="16" spans="2:35" ht="18.75" customHeight="1">
      <c r="B16" s="17"/>
      <c r="C16" s="17"/>
      <c r="D16" s="178"/>
      <c r="E16" s="178"/>
      <c r="F16" s="178"/>
      <c r="G16" s="178"/>
      <c r="H16" s="178"/>
      <c r="I16" s="178"/>
      <c r="J16" s="178"/>
      <c r="K16" s="178"/>
      <c r="L16" s="178"/>
      <c r="O16" s="164"/>
      <c r="P16" s="163"/>
      <c r="S16" s="180"/>
      <c r="T16" s="180"/>
      <c r="U16" s="180"/>
      <c r="V16" s="180"/>
      <c r="W16" s="180"/>
      <c r="X16" s="180"/>
      <c r="Y16" s="180"/>
      <c r="Z16" s="180"/>
      <c r="AA16" s="180"/>
      <c r="AB16" s="180"/>
      <c r="AC16" s="180"/>
      <c r="AD16" s="180"/>
      <c r="AE16" s="180"/>
      <c r="AF16" s="180"/>
      <c r="AG16" s="180"/>
      <c r="AH16" s="180"/>
      <c r="AI16" s="180"/>
    </row>
    <row r="17" spans="1:35" ht="17.25" customHeight="1">
      <c r="B17" s="17"/>
      <c r="C17" s="17"/>
      <c r="D17" s="178"/>
      <c r="E17" s="178"/>
      <c r="F17" s="178"/>
      <c r="G17" s="178"/>
      <c r="H17" s="178"/>
      <c r="I17" s="178"/>
      <c r="J17" s="178"/>
      <c r="K17" s="178"/>
      <c r="L17" s="178"/>
      <c r="O17" s="164"/>
      <c r="P17" s="163"/>
      <c r="S17" s="180"/>
      <c r="T17" s="180"/>
      <c r="U17" s="180"/>
      <c r="V17" s="180"/>
      <c r="W17" s="180"/>
      <c r="X17" s="180"/>
      <c r="Y17" s="180"/>
      <c r="Z17" s="180"/>
      <c r="AA17" s="180"/>
      <c r="AB17" s="180"/>
      <c r="AC17" s="180"/>
      <c r="AD17" s="180"/>
      <c r="AE17" s="180"/>
      <c r="AF17" s="180"/>
      <c r="AG17" s="180"/>
      <c r="AH17" s="180"/>
      <c r="AI17" s="180"/>
    </row>
    <row r="18" spans="1:35" ht="6" customHeight="1">
      <c r="B18" s="16"/>
      <c r="C18" s="17"/>
      <c r="D18" s="109"/>
      <c r="E18" s="800"/>
      <c r="F18" s="800"/>
      <c r="G18" s="800"/>
      <c r="H18" s="800"/>
      <c r="I18" s="800"/>
      <c r="J18" s="800"/>
      <c r="K18" s="800"/>
      <c r="S18" s="180"/>
      <c r="T18" s="180"/>
      <c r="U18" s="180"/>
      <c r="V18" s="180"/>
      <c r="W18" s="180"/>
      <c r="X18" s="180"/>
      <c r="Y18" s="180"/>
      <c r="Z18" s="180"/>
      <c r="AA18" s="180"/>
      <c r="AB18" s="180"/>
      <c r="AC18" s="180"/>
      <c r="AD18" s="180"/>
      <c r="AE18" s="180"/>
      <c r="AF18" s="180"/>
      <c r="AG18" s="180"/>
      <c r="AH18" s="180"/>
      <c r="AI18" s="180"/>
    </row>
    <row r="19" spans="1:35" ht="24" customHeight="1">
      <c r="B19" s="801" t="s">
        <v>88</v>
      </c>
      <c r="C19" s="801"/>
      <c r="D19" s="801"/>
      <c r="E19" s="114" t="s">
        <v>85</v>
      </c>
      <c r="F19" s="114" t="s">
        <v>89</v>
      </c>
      <c r="G19" s="796" t="s">
        <v>330</v>
      </c>
      <c r="H19" s="797"/>
      <c r="I19" s="798" t="s">
        <v>331</v>
      </c>
      <c r="J19" s="799"/>
      <c r="K19" s="275" t="s">
        <v>332</v>
      </c>
      <c r="L19" s="802" t="s">
        <v>92</v>
      </c>
      <c r="M19" s="803"/>
      <c r="N19" s="803"/>
      <c r="O19" s="803"/>
      <c r="P19" s="803"/>
      <c r="Q19" s="804"/>
      <c r="S19" s="49" t="s">
        <v>90</v>
      </c>
      <c r="T19" s="50">
        <v>0</v>
      </c>
      <c r="U19" s="51">
        <v>0.3</v>
      </c>
      <c r="V19" s="51">
        <v>0.6</v>
      </c>
      <c r="W19" s="51">
        <v>0.9</v>
      </c>
      <c r="X19" s="51">
        <v>1</v>
      </c>
      <c r="Y19" s="12"/>
      <c r="Z19" s="12"/>
      <c r="AA19" s="49" t="s">
        <v>90</v>
      </c>
      <c r="AB19" s="50">
        <v>0</v>
      </c>
      <c r="AC19" s="51">
        <v>0.2</v>
      </c>
      <c r="AD19" s="51">
        <v>0.4</v>
      </c>
      <c r="AE19" s="51">
        <v>0.6</v>
      </c>
      <c r="AF19" s="51">
        <v>0.8</v>
      </c>
      <c r="AG19" s="12"/>
      <c r="AH19" s="12"/>
      <c r="AI19" s="12"/>
    </row>
    <row r="20" spans="1:35" ht="76.5" customHeight="1">
      <c r="B20" s="781" t="str">
        <f>+'Data Entry'!B118</f>
        <v>Percentage of PWID that have received an HIV test during the reporting period and know their results</v>
      </c>
      <c r="C20" s="781"/>
      <c r="D20" s="781"/>
      <c r="E20" s="385">
        <v>38440</v>
      </c>
      <c r="F20" s="385">
        <v>40204</v>
      </c>
      <c r="G20" s="771">
        <f>+IF(ISERROR(F20/E20),0,F20/E20)</f>
        <v>1.0458896982310093</v>
      </c>
      <c r="H20" s="772"/>
      <c r="I20" s="772"/>
      <c r="J20" s="772"/>
      <c r="K20" s="773"/>
      <c r="L20" s="785"/>
      <c r="M20" s="786"/>
      <c r="N20" s="786"/>
      <c r="O20" s="786"/>
      <c r="P20" s="786"/>
      <c r="Q20" s="787"/>
      <c r="S20" s="49" t="s">
        <v>91</v>
      </c>
      <c r="T20" s="51">
        <v>0.3</v>
      </c>
      <c r="U20" s="51">
        <v>0.6</v>
      </c>
      <c r="V20" s="51">
        <v>0.9</v>
      </c>
      <c r="W20" s="51">
        <v>1</v>
      </c>
      <c r="X20" s="51">
        <v>2</v>
      </c>
      <c r="Y20" s="12"/>
      <c r="Z20" s="12"/>
      <c r="AA20" s="49" t="s">
        <v>91</v>
      </c>
      <c r="AB20" s="51">
        <v>0.2</v>
      </c>
      <c r="AC20" s="51">
        <v>0.4</v>
      </c>
      <c r="AD20" s="51">
        <v>0.6</v>
      </c>
      <c r="AE20" s="51">
        <v>0.8</v>
      </c>
      <c r="AF20" s="51">
        <v>1</v>
      </c>
      <c r="AG20" s="12"/>
      <c r="AH20" s="12"/>
      <c r="AI20" s="12"/>
    </row>
    <row r="21" spans="1:35" ht="92.25" customHeight="1">
      <c r="B21" s="781" t="str">
        <f>+'Data Entry'!B120</f>
        <v>Percentage of MSM reached with HIV prevention programs - defined package of services</v>
      </c>
      <c r="C21" s="781"/>
      <c r="D21" s="781"/>
      <c r="E21" s="385">
        <v>11100</v>
      </c>
      <c r="F21" s="385">
        <v>11836</v>
      </c>
      <c r="G21" s="771">
        <f t="shared" ref="G21:G28" si="0">+IF(ISERROR(F21/E21),0,F21/E21)</f>
        <v>1.0663063063063063</v>
      </c>
      <c r="H21" s="772"/>
      <c r="I21" s="772"/>
      <c r="J21" s="772"/>
      <c r="K21" s="773"/>
      <c r="L21" s="785"/>
      <c r="M21" s="786"/>
      <c r="N21" s="786"/>
      <c r="O21" s="786"/>
      <c r="P21" s="786"/>
      <c r="Q21" s="787"/>
      <c r="S21" s="52"/>
      <c r="T21" s="53" t="str">
        <f>"de "&amp;T19&amp;" a "&amp;T20</f>
        <v>de 0 a 0,3</v>
      </c>
      <c r="U21" s="53" t="str">
        <f>"de "&amp;U19&amp;" a "&amp;U20</f>
        <v>de 0,3 a 0,6</v>
      </c>
      <c r="V21" s="53" t="str">
        <f>"de "&amp;V19&amp;" a "&amp;V20</f>
        <v>de 0,6 a 0,9</v>
      </c>
      <c r="W21" s="53"/>
      <c r="X21" s="53"/>
      <c r="Y21" s="12"/>
      <c r="Z21" s="12"/>
      <c r="AA21" s="52"/>
      <c r="AB21" s="53"/>
      <c r="AC21" s="53"/>
      <c r="AD21" s="53" t="str">
        <f>"de "&amp;AD19&amp;" a "&amp;AD20</f>
        <v>de 0,4 a 0,6</v>
      </c>
      <c r="AE21" s="53" t="str">
        <f>"de "&amp;AE19&amp;" a "&amp;AE20</f>
        <v>de 0,6 a 0,8</v>
      </c>
      <c r="AF21" s="53" t="str">
        <f>"de "&amp;AF19&amp;" a "&amp;AF20</f>
        <v>de 0,8 a 1</v>
      </c>
      <c r="AG21" s="12"/>
      <c r="AH21" s="12"/>
      <c r="AI21" s="12"/>
    </row>
    <row r="22" spans="1:35" ht="81.95" customHeight="1">
      <c r="B22" s="781" t="str">
        <f>+'Data Entry'!B122</f>
        <v xml:space="preserve">Percentage of people living with HIV currently receiving antiretroviral therapy </v>
      </c>
      <c r="C22" s="781"/>
      <c r="D22" s="781"/>
      <c r="E22" s="385">
        <v>7140</v>
      </c>
      <c r="F22" s="385">
        <v>6050</v>
      </c>
      <c r="G22" s="771">
        <f t="shared" si="0"/>
        <v>0.84733893557422968</v>
      </c>
      <c r="H22" s="772"/>
      <c r="I22" s="772"/>
      <c r="J22" s="772"/>
      <c r="K22" s="773"/>
      <c r="L22" s="785" t="s">
        <v>452</v>
      </c>
      <c r="M22" s="786"/>
      <c r="N22" s="786"/>
      <c r="O22" s="786"/>
      <c r="P22" s="786"/>
      <c r="Q22" s="787"/>
      <c r="S22" s="52"/>
      <c r="T22" s="51" t="e">
        <f t="shared" ref="T22:W33" si="1">IF($K20&gt;T$19,IF($K20&lt;=T$20,$K20,NA()),NA())</f>
        <v>#N/A</v>
      </c>
      <c r="U22" s="51" t="e">
        <f t="shared" si="1"/>
        <v>#N/A</v>
      </c>
      <c r="V22" s="51" t="e">
        <f t="shared" si="1"/>
        <v>#N/A</v>
      </c>
      <c r="W22" s="51"/>
      <c r="X22" s="51"/>
      <c r="Y22" s="12"/>
      <c r="Z22" s="161"/>
      <c r="AA22" s="51"/>
      <c r="AB22" s="51"/>
      <c r="AC22" s="51"/>
      <c r="AD22" s="51" t="e">
        <f t="shared" ref="AD22:AF24" si="2">IF($AA22&gt;AD$19,IF($AA22&lt;=AD$20,$AA22,NA()),NA())</f>
        <v>#N/A</v>
      </c>
      <c r="AE22" s="51" t="e">
        <f t="shared" si="2"/>
        <v>#N/A</v>
      </c>
      <c r="AF22" s="51" t="e">
        <f t="shared" si="2"/>
        <v>#N/A</v>
      </c>
      <c r="AG22" s="12"/>
      <c r="AH22" s="12"/>
      <c r="AI22" s="12"/>
    </row>
    <row r="23" spans="1:35" ht="72.75" customHeight="1">
      <c r="B23" s="778" t="str">
        <f>+'Data Entry'!B124</f>
        <v>Percentage of PWID reached with HIV prevention programs - defined package of services</v>
      </c>
      <c r="C23" s="779"/>
      <c r="D23" s="780"/>
      <c r="E23" s="385">
        <v>40750</v>
      </c>
      <c r="F23" s="385">
        <v>38876</v>
      </c>
      <c r="G23" s="771">
        <f t="shared" si="0"/>
        <v>0.95401226993865029</v>
      </c>
      <c r="H23" s="772"/>
      <c r="I23" s="772"/>
      <c r="J23" s="772"/>
      <c r="K23" s="773"/>
      <c r="L23" s="785"/>
      <c r="M23" s="786"/>
      <c r="N23" s="786"/>
      <c r="O23" s="786"/>
      <c r="P23" s="786"/>
      <c r="Q23" s="787"/>
      <c r="S23" s="52"/>
      <c r="T23" s="51" t="e">
        <f t="shared" si="1"/>
        <v>#N/A</v>
      </c>
      <c r="U23" s="51" t="e">
        <f t="shared" si="1"/>
        <v>#N/A</v>
      </c>
      <c r="V23" s="51" t="e">
        <f t="shared" si="1"/>
        <v>#N/A</v>
      </c>
      <c r="W23" s="51"/>
      <c r="X23" s="51"/>
      <c r="Y23" s="12"/>
      <c r="Z23" s="161"/>
      <c r="AA23" s="51"/>
      <c r="AB23" s="51"/>
      <c r="AC23" s="51"/>
      <c r="AD23" s="51" t="e">
        <f t="shared" si="2"/>
        <v>#N/A</v>
      </c>
      <c r="AE23" s="51" t="e">
        <f t="shared" si="2"/>
        <v>#N/A</v>
      </c>
      <c r="AF23" s="51" t="e">
        <f t="shared" si="2"/>
        <v>#N/A</v>
      </c>
      <c r="AG23" s="12"/>
      <c r="AH23" s="12"/>
      <c r="AI23" s="12"/>
    </row>
    <row r="24" spans="1:35" ht="81.75" customHeight="1">
      <c r="B24" s="781" t="str">
        <f>+'Data Entry'!B126</f>
        <v>Percentage of MSM that have received an HIV test during the reporting period and know their results</v>
      </c>
      <c r="C24" s="781"/>
      <c r="D24" s="781"/>
      <c r="E24" s="385">
        <v>9250</v>
      </c>
      <c r="F24" s="385">
        <v>10213</v>
      </c>
      <c r="G24" s="771">
        <f t="shared" si="0"/>
        <v>1.1041081081081081</v>
      </c>
      <c r="H24" s="772"/>
      <c r="I24" s="772"/>
      <c r="J24" s="772"/>
      <c r="K24" s="773"/>
      <c r="L24" s="785"/>
      <c r="M24" s="786"/>
      <c r="N24" s="786"/>
      <c r="O24" s="786"/>
      <c r="P24" s="786"/>
      <c r="Q24" s="787"/>
      <c r="S24" s="52"/>
      <c r="T24" s="51" t="e">
        <f t="shared" si="1"/>
        <v>#N/A</v>
      </c>
      <c r="U24" s="51" t="e">
        <f t="shared" si="1"/>
        <v>#N/A</v>
      </c>
      <c r="V24" s="51" t="e">
        <f t="shared" si="1"/>
        <v>#N/A</v>
      </c>
      <c r="W24" s="51"/>
      <c r="X24" s="51"/>
      <c r="Y24" s="12"/>
      <c r="Z24" s="161"/>
      <c r="AA24" s="51"/>
      <c r="AB24" s="51"/>
      <c r="AC24" s="51"/>
      <c r="AD24" s="51" t="e">
        <f t="shared" si="2"/>
        <v>#N/A</v>
      </c>
      <c r="AE24" s="51" t="e">
        <f t="shared" si="2"/>
        <v>#N/A</v>
      </c>
      <c r="AF24" s="51" t="e">
        <f t="shared" si="2"/>
        <v>#N/A</v>
      </c>
      <c r="AG24" s="12"/>
      <c r="AH24" s="12"/>
      <c r="AI24" s="12"/>
    </row>
    <row r="25" spans="1:35" ht="51" customHeight="1">
      <c r="B25" s="781" t="str">
        <f>+'Data Entry'!B128</f>
        <v>Percentage of sex workers reached with HIV prevention programs - defined package of services</v>
      </c>
      <c r="C25" s="781"/>
      <c r="D25" s="781"/>
      <c r="E25" s="385">
        <v>4550</v>
      </c>
      <c r="F25" s="385">
        <v>3640</v>
      </c>
      <c r="G25" s="771">
        <f t="shared" si="0"/>
        <v>0.8</v>
      </c>
      <c r="H25" s="772"/>
      <c r="I25" s="772"/>
      <c r="J25" s="772"/>
      <c r="K25" s="773"/>
      <c r="L25" s="785"/>
      <c r="M25" s="786"/>
      <c r="N25" s="786"/>
      <c r="O25" s="786"/>
      <c r="P25" s="786"/>
      <c r="Q25" s="787"/>
      <c r="S25" s="52"/>
      <c r="T25" s="51" t="e">
        <f t="shared" si="1"/>
        <v>#N/A</v>
      </c>
      <c r="U25" s="51" t="e">
        <f t="shared" si="1"/>
        <v>#N/A</v>
      </c>
      <c r="V25" s="51" t="e">
        <f t="shared" si="1"/>
        <v>#N/A</v>
      </c>
      <c r="W25" s="51"/>
      <c r="X25" s="51"/>
      <c r="Y25" s="12"/>
      <c r="Z25" s="12"/>
      <c r="AA25" s="12"/>
      <c r="AB25" s="12"/>
      <c r="AC25" s="12"/>
      <c r="AD25" s="12"/>
      <c r="AE25" s="12"/>
      <c r="AF25" s="12"/>
      <c r="AG25" s="12"/>
      <c r="AH25" s="12"/>
      <c r="AI25" s="12"/>
    </row>
    <row r="26" spans="1:35" ht="75" customHeight="1">
      <c r="B26" s="781" t="str">
        <f>+'Data Entry'!B130</f>
        <v>Percentage of sex workers that have received an HIV test during the reporting period and know their results</v>
      </c>
      <c r="C26" s="781"/>
      <c r="D26" s="781"/>
      <c r="E26" s="385">
        <v>3900</v>
      </c>
      <c r="F26" s="385">
        <v>2810</v>
      </c>
      <c r="G26" s="771">
        <f t="shared" si="0"/>
        <v>0.72051282051282051</v>
      </c>
      <c r="H26" s="772"/>
      <c r="I26" s="772"/>
      <c r="J26" s="772"/>
      <c r="K26" s="773"/>
      <c r="L26" s="785" t="s">
        <v>459</v>
      </c>
      <c r="M26" s="786"/>
      <c r="N26" s="786"/>
      <c r="O26" s="786"/>
      <c r="P26" s="786"/>
      <c r="Q26" s="787"/>
      <c r="S26" s="52"/>
      <c r="T26" s="51" t="e">
        <f t="shared" si="1"/>
        <v>#N/A</v>
      </c>
      <c r="U26" s="51" t="e">
        <f t="shared" si="1"/>
        <v>#N/A</v>
      </c>
      <c r="V26" s="51" t="e">
        <f t="shared" si="1"/>
        <v>#N/A</v>
      </c>
      <c r="W26" s="51" t="e">
        <f t="shared" si="1"/>
        <v>#N/A</v>
      </c>
      <c r="X26" s="51" t="e">
        <f t="shared" ref="X26:X33" si="3">IF($K24&gt;X$19,IF($K24&lt;=X$20,1,NA()),NA())</f>
        <v>#N/A</v>
      </c>
      <c r="Y26" s="12"/>
      <c r="Z26" s="12"/>
      <c r="AA26" s="12"/>
      <c r="AB26" s="12"/>
      <c r="AC26" s="12"/>
      <c r="AD26" s="12"/>
      <c r="AE26" s="12"/>
      <c r="AF26" s="12"/>
      <c r="AG26" s="12"/>
      <c r="AH26" s="12"/>
      <c r="AI26" s="12"/>
    </row>
    <row r="27" spans="1:35" ht="89.1" customHeight="1">
      <c r="B27" s="781" t="str">
        <f>+'Data Entry'!B132</f>
        <v>Percentage of eligible people who initiated oral antiretroviral PrEP in the last 12 months.</v>
      </c>
      <c r="C27" s="781"/>
      <c r="D27" s="781"/>
      <c r="E27" s="385">
        <v>300</v>
      </c>
      <c r="F27" s="385">
        <v>456</v>
      </c>
      <c r="G27" s="771">
        <f t="shared" si="0"/>
        <v>1.52</v>
      </c>
      <c r="H27" s="772"/>
      <c r="I27" s="772"/>
      <c r="J27" s="772"/>
      <c r="K27" s="773"/>
      <c r="L27" s="785" t="s">
        <v>457</v>
      </c>
      <c r="M27" s="786"/>
      <c r="N27" s="786"/>
      <c r="O27" s="786"/>
      <c r="P27" s="786"/>
      <c r="Q27" s="787"/>
      <c r="S27" s="52"/>
      <c r="T27" s="51" t="e">
        <f t="shared" si="1"/>
        <v>#N/A</v>
      </c>
      <c r="U27" s="51" t="e">
        <f t="shared" si="1"/>
        <v>#N/A</v>
      </c>
      <c r="V27" s="51" t="e">
        <f t="shared" si="1"/>
        <v>#N/A</v>
      </c>
      <c r="W27" s="51" t="e">
        <f t="shared" si="1"/>
        <v>#N/A</v>
      </c>
      <c r="X27" s="51" t="e">
        <f t="shared" si="3"/>
        <v>#N/A</v>
      </c>
      <c r="Y27" s="12"/>
      <c r="Z27" s="12"/>
      <c r="AA27" s="12"/>
      <c r="AB27" s="12"/>
      <c r="AC27" s="12"/>
      <c r="AD27" s="12"/>
      <c r="AE27" s="12"/>
      <c r="AF27" s="12"/>
      <c r="AG27" s="12"/>
      <c r="AH27" s="12"/>
      <c r="AI27" s="12"/>
    </row>
    <row r="28" spans="1:35" ht="84.75" hidden="1" customHeight="1">
      <c r="A28" s="32"/>
      <c r="B28" s="781" t="s">
        <v>434</v>
      </c>
      <c r="C28" s="781"/>
      <c r="D28" s="781"/>
      <c r="E28" s="410"/>
      <c r="F28" s="410"/>
      <c r="G28" s="771">
        <f t="shared" si="0"/>
        <v>0</v>
      </c>
      <c r="H28" s="772"/>
      <c r="I28" s="772"/>
      <c r="J28" s="772"/>
      <c r="K28" s="773"/>
      <c r="L28" s="788"/>
      <c r="M28" s="788"/>
      <c r="N28" s="788"/>
      <c r="O28" s="788"/>
      <c r="P28" s="788"/>
      <c r="Q28" s="788"/>
      <c r="S28" s="52"/>
      <c r="T28" s="51" t="e">
        <f t="shared" si="1"/>
        <v>#N/A</v>
      </c>
      <c r="U28" s="51" t="e">
        <f t="shared" si="1"/>
        <v>#N/A</v>
      </c>
      <c r="V28" s="51" t="e">
        <f t="shared" si="1"/>
        <v>#N/A</v>
      </c>
      <c r="W28" s="51" t="e">
        <f t="shared" si="1"/>
        <v>#N/A</v>
      </c>
      <c r="X28" s="51" t="e">
        <f t="shared" si="3"/>
        <v>#N/A</v>
      </c>
      <c r="Y28" s="12"/>
      <c r="Z28" s="12"/>
      <c r="AA28" s="12"/>
      <c r="AB28" s="12"/>
      <c r="AC28" s="12"/>
      <c r="AD28" s="12"/>
      <c r="AE28" s="12"/>
      <c r="AF28" s="12"/>
      <c r="AG28" s="12"/>
      <c r="AH28" s="12"/>
      <c r="AI28" s="12"/>
    </row>
    <row r="29" spans="1:35" ht="49.5" customHeight="1">
      <c r="S29" s="52"/>
      <c r="T29" s="51" t="e">
        <f t="shared" si="1"/>
        <v>#N/A</v>
      </c>
      <c r="U29" s="51" t="e">
        <f t="shared" si="1"/>
        <v>#N/A</v>
      </c>
      <c r="V29" s="51" t="e">
        <f t="shared" si="1"/>
        <v>#N/A</v>
      </c>
      <c r="W29" s="51" t="e">
        <f t="shared" si="1"/>
        <v>#N/A</v>
      </c>
      <c r="X29" s="51" t="e">
        <f t="shared" si="3"/>
        <v>#N/A</v>
      </c>
      <c r="Y29" s="12"/>
      <c r="Z29" s="12"/>
      <c r="AA29" s="12"/>
      <c r="AB29" s="12"/>
      <c r="AC29" s="12"/>
      <c r="AD29" s="12"/>
      <c r="AE29" s="12"/>
      <c r="AF29" s="12"/>
      <c r="AG29" s="12"/>
      <c r="AH29" s="12"/>
      <c r="AI29" s="12"/>
    </row>
    <row r="30" spans="1:35" ht="22.5" customHeight="1">
      <c r="S30" s="52"/>
      <c r="T30" s="51" t="e">
        <f t="shared" si="1"/>
        <v>#N/A</v>
      </c>
      <c r="U30" s="51" t="e">
        <f t="shared" si="1"/>
        <v>#N/A</v>
      </c>
      <c r="V30" s="51" t="e">
        <f t="shared" si="1"/>
        <v>#N/A</v>
      </c>
      <c r="W30" s="51" t="e">
        <f t="shared" si="1"/>
        <v>#N/A</v>
      </c>
      <c r="X30" s="51" t="e">
        <f t="shared" si="3"/>
        <v>#N/A</v>
      </c>
      <c r="Y30" s="12"/>
      <c r="Z30" s="12"/>
      <c r="AA30" s="12"/>
      <c r="AB30" s="12"/>
      <c r="AC30" s="12"/>
      <c r="AD30" s="12"/>
      <c r="AE30" s="12"/>
      <c r="AF30" s="12"/>
      <c r="AG30" s="12"/>
      <c r="AH30" s="12"/>
      <c r="AI30" s="12"/>
    </row>
    <row r="31" spans="1:35" ht="22.5" customHeight="1">
      <c r="B31" s="782"/>
      <c r="C31" s="782"/>
      <c r="D31" s="782"/>
      <c r="E31" s="783"/>
      <c r="F31" s="784"/>
      <c r="G31" s="782"/>
      <c r="H31" s="782"/>
      <c r="I31" s="782"/>
      <c r="J31" s="782"/>
      <c r="K31" s="783"/>
      <c r="L31" s="784"/>
      <c r="M31" s="782"/>
      <c r="N31" s="782"/>
      <c r="O31" s="782"/>
      <c r="P31" s="782"/>
      <c r="S31" s="52"/>
      <c r="T31" s="51" t="e">
        <f t="shared" si="1"/>
        <v>#N/A</v>
      </c>
      <c r="U31" s="51" t="e">
        <f t="shared" si="1"/>
        <v>#N/A</v>
      </c>
      <c r="V31" s="51" t="e">
        <f t="shared" si="1"/>
        <v>#N/A</v>
      </c>
      <c r="W31" s="51" t="e">
        <f t="shared" si="1"/>
        <v>#N/A</v>
      </c>
      <c r="X31" s="51" t="e">
        <f t="shared" si="3"/>
        <v>#N/A</v>
      </c>
      <c r="Y31" s="12"/>
      <c r="Z31" s="12"/>
      <c r="AA31" s="12"/>
      <c r="AB31" s="12"/>
      <c r="AC31" s="12"/>
      <c r="AD31" s="12"/>
      <c r="AE31" s="12"/>
      <c r="AF31" s="12"/>
      <c r="AG31" s="12"/>
      <c r="AH31" s="12"/>
      <c r="AI31" s="12"/>
    </row>
    <row r="32" spans="1:35">
      <c r="B32" s="181"/>
      <c r="C32" s="181"/>
      <c r="D32" s="181"/>
      <c r="E32" s="181"/>
      <c r="F32" s="181"/>
      <c r="G32" s="181"/>
      <c r="H32" s="182"/>
      <c r="I32" s="181"/>
      <c r="J32" s="181"/>
      <c r="K32" s="181"/>
      <c r="L32" s="181"/>
      <c r="M32" s="181"/>
      <c r="N32" s="181"/>
      <c r="O32" s="181"/>
      <c r="P32" s="181"/>
      <c r="S32" s="52"/>
      <c r="T32" s="51" t="e">
        <f t="shared" si="1"/>
        <v>#N/A</v>
      </c>
      <c r="U32" s="51" t="e">
        <f t="shared" si="1"/>
        <v>#N/A</v>
      </c>
      <c r="V32" s="51" t="e">
        <f t="shared" si="1"/>
        <v>#N/A</v>
      </c>
      <c r="W32" s="51" t="e">
        <f t="shared" si="1"/>
        <v>#N/A</v>
      </c>
      <c r="X32" s="51" t="e">
        <f t="shared" si="3"/>
        <v>#N/A</v>
      </c>
      <c r="Y32" s="12"/>
      <c r="Z32" s="12"/>
      <c r="AA32" s="12"/>
      <c r="AB32" s="12"/>
      <c r="AC32" s="12"/>
      <c r="AD32" s="12"/>
      <c r="AE32" s="12"/>
      <c r="AF32" s="12"/>
      <c r="AG32" s="12"/>
      <c r="AH32" s="12"/>
      <c r="AI32" s="12"/>
    </row>
    <row r="33" spans="2:35">
      <c r="B33" s="777"/>
      <c r="C33" s="777"/>
      <c r="D33" s="777"/>
      <c r="E33" s="777"/>
      <c r="F33" s="777"/>
      <c r="G33" s="777"/>
      <c r="H33" s="777"/>
      <c r="I33" s="777"/>
      <c r="J33" s="777"/>
      <c r="K33" s="777"/>
      <c r="L33" s="181"/>
      <c r="M33" s="181"/>
      <c r="N33" s="181"/>
      <c r="O33" s="181"/>
      <c r="P33" s="181"/>
      <c r="S33" s="52"/>
      <c r="T33" s="51" t="e">
        <f t="shared" si="1"/>
        <v>#N/A</v>
      </c>
      <c r="U33" s="51" t="e">
        <f t="shared" si="1"/>
        <v>#N/A</v>
      </c>
      <c r="V33" s="51" t="e">
        <f t="shared" si="1"/>
        <v>#N/A</v>
      </c>
      <c r="W33" s="51" t="e">
        <f t="shared" si="1"/>
        <v>#N/A</v>
      </c>
      <c r="X33" s="51" t="e">
        <f t="shared" si="3"/>
        <v>#N/A</v>
      </c>
      <c r="Y33" s="12"/>
      <c r="Z33" s="12"/>
      <c r="AA33" s="12"/>
      <c r="AB33" s="12"/>
      <c r="AC33" s="12"/>
      <c r="AD33" s="12"/>
      <c r="AE33" s="12"/>
      <c r="AF33" s="12"/>
      <c r="AG33" s="12"/>
      <c r="AH33" s="12"/>
      <c r="AI33" s="12"/>
    </row>
    <row r="34" spans="2:35">
      <c r="B34" s="777"/>
      <c r="C34" s="777"/>
      <c r="D34" s="777"/>
      <c r="E34" s="777"/>
      <c r="F34" s="777"/>
      <c r="G34" s="777"/>
      <c r="H34" s="777"/>
      <c r="I34" s="777"/>
      <c r="J34" s="777"/>
      <c r="K34" s="777"/>
      <c r="L34" s="181"/>
      <c r="M34" s="181"/>
      <c r="N34" s="181"/>
      <c r="O34" s="181"/>
      <c r="P34" s="181"/>
      <c r="S34" s="12"/>
      <c r="T34" s="12"/>
      <c r="U34" s="12"/>
      <c r="V34" s="12"/>
      <c r="W34" s="12"/>
      <c r="X34" s="12"/>
      <c r="Y34" s="12"/>
      <c r="Z34" s="12"/>
      <c r="AA34" s="12"/>
      <c r="AB34" s="12"/>
      <c r="AC34" s="12"/>
      <c r="AD34" s="12"/>
      <c r="AE34" s="12"/>
      <c r="AF34" s="12"/>
      <c r="AG34" s="12"/>
      <c r="AH34" s="12"/>
      <c r="AI34" s="12"/>
    </row>
    <row r="35" spans="2:35">
      <c r="I35" s="79"/>
      <c r="J35" s="79"/>
      <c r="K35" s="79"/>
      <c r="S35" s="12"/>
      <c r="T35" s="12"/>
      <c r="U35" s="12"/>
      <c r="V35" s="12"/>
      <c r="W35" s="12"/>
      <c r="X35" s="12"/>
      <c r="Y35" s="12"/>
      <c r="Z35" s="12"/>
      <c r="AA35" s="12"/>
      <c r="AB35" s="12"/>
      <c r="AC35" s="12"/>
      <c r="AD35" s="12"/>
      <c r="AE35" s="12"/>
      <c r="AF35" s="12"/>
      <c r="AG35" s="12"/>
      <c r="AH35" s="12"/>
      <c r="AI35" s="12"/>
    </row>
    <row r="36" spans="2:35">
      <c r="I36" s="115"/>
      <c r="J36" s="116"/>
      <c r="K36" s="116"/>
      <c r="S36" s="12"/>
      <c r="T36" s="12"/>
      <c r="U36" s="12"/>
      <c r="V36" s="12"/>
      <c r="W36" s="12"/>
      <c r="X36" s="12"/>
      <c r="Y36" s="12"/>
      <c r="Z36" s="12"/>
      <c r="AA36" s="12"/>
      <c r="AB36" s="12"/>
      <c r="AC36" s="12"/>
      <c r="AD36" s="12"/>
      <c r="AE36" s="12"/>
      <c r="AF36" s="12"/>
      <c r="AG36" s="12"/>
      <c r="AH36" s="12"/>
      <c r="AI36" s="12"/>
    </row>
    <row r="37" spans="2:35">
      <c r="I37" s="117"/>
      <c r="J37" s="33"/>
      <c r="K37" s="80"/>
      <c r="S37" s="12"/>
      <c r="T37" s="12"/>
      <c r="U37" s="12"/>
      <c r="V37" s="12"/>
      <c r="W37" s="12"/>
      <c r="X37" s="12"/>
      <c r="Y37" s="12"/>
      <c r="Z37" s="12"/>
      <c r="AA37" s="12"/>
      <c r="AB37" s="12"/>
      <c r="AC37" s="12"/>
      <c r="AD37" s="12"/>
      <c r="AE37" s="12"/>
      <c r="AF37" s="12"/>
      <c r="AG37" s="12"/>
      <c r="AH37" s="12"/>
      <c r="AI37" s="12"/>
    </row>
    <row r="38" spans="2:35">
      <c r="I38" s="117"/>
      <c r="J38" s="33"/>
      <c r="K38" s="80"/>
      <c r="S38" s="12"/>
      <c r="T38" s="12"/>
      <c r="U38" s="12"/>
      <c r="V38" s="12"/>
      <c r="W38" s="12"/>
      <c r="X38" s="12"/>
      <c r="Y38" s="12"/>
      <c r="Z38" s="12"/>
      <c r="AA38" s="12"/>
      <c r="AB38" s="12"/>
      <c r="AC38" s="12"/>
      <c r="AD38" s="12"/>
      <c r="AE38" s="12"/>
      <c r="AF38" s="12"/>
      <c r="AG38" s="12"/>
      <c r="AH38" s="12"/>
      <c r="AI38" s="12"/>
    </row>
    <row r="39" spans="2:35">
      <c r="I39" s="117"/>
      <c r="J39" s="33"/>
      <c r="K39" s="80"/>
      <c r="S39" s="12"/>
      <c r="T39" s="12"/>
      <c r="U39" s="12"/>
      <c r="V39" s="12"/>
      <c r="W39" s="12"/>
      <c r="X39" s="12"/>
      <c r="Y39" s="12"/>
      <c r="Z39" s="12"/>
      <c r="AA39" s="12"/>
      <c r="AB39" s="12"/>
      <c r="AC39" s="12"/>
      <c r="AD39" s="12"/>
      <c r="AE39" s="12"/>
      <c r="AF39" s="12"/>
      <c r="AG39" s="12"/>
      <c r="AH39" s="12"/>
      <c r="AI39" s="12"/>
    </row>
    <row r="40" spans="2:35">
      <c r="S40" s="12"/>
      <c r="T40" s="12"/>
      <c r="U40" s="12"/>
      <c r="V40" s="12"/>
      <c r="W40" s="12"/>
      <c r="X40" s="12"/>
      <c r="Y40" s="12"/>
      <c r="Z40" s="12"/>
      <c r="AA40" s="12"/>
      <c r="AB40" s="12"/>
      <c r="AC40" s="12"/>
      <c r="AD40" s="12"/>
      <c r="AE40" s="12"/>
      <c r="AF40" s="12"/>
      <c r="AG40" s="12"/>
      <c r="AH40" s="12"/>
      <c r="AI40" s="12"/>
    </row>
    <row r="41" spans="2:35">
      <c r="S41" s="12"/>
      <c r="T41" s="12"/>
      <c r="U41" s="12"/>
      <c r="V41" s="12"/>
      <c r="W41" s="12"/>
      <c r="X41" s="12"/>
      <c r="Y41" s="12"/>
      <c r="Z41" s="12"/>
      <c r="AA41" s="12"/>
      <c r="AB41" s="12"/>
      <c r="AC41" s="12"/>
      <c r="AD41" s="12"/>
      <c r="AE41" s="12"/>
      <c r="AF41" s="12"/>
      <c r="AG41" s="12"/>
      <c r="AH41" s="12"/>
      <c r="AI41" s="12"/>
    </row>
    <row r="42" spans="2:35">
      <c r="S42" s="3"/>
      <c r="T42" s="3"/>
      <c r="U42" s="3"/>
      <c r="V42" s="3"/>
      <c r="W42" s="3"/>
      <c r="X42" s="3"/>
      <c r="Y42" s="3"/>
      <c r="Z42" s="3"/>
      <c r="AA42" s="3"/>
      <c r="AB42" s="3"/>
    </row>
    <row r="43" spans="2:35">
      <c r="S43" s="3"/>
      <c r="T43" s="3"/>
      <c r="U43" s="3"/>
      <c r="V43" s="3"/>
      <c r="W43" s="3"/>
      <c r="X43" s="3"/>
      <c r="Y43" s="3"/>
      <c r="Z43" s="3"/>
      <c r="AA43" s="3"/>
      <c r="AB43" s="3"/>
    </row>
    <row r="44" spans="2:35">
      <c r="S44" s="3"/>
      <c r="T44" s="3"/>
      <c r="U44" s="3"/>
      <c r="V44" s="3"/>
      <c r="W44" s="3"/>
      <c r="X44" s="3"/>
      <c r="Y44" s="3"/>
      <c r="Z44" s="3"/>
      <c r="AA44" s="3"/>
      <c r="AB44" s="3"/>
    </row>
    <row r="45" spans="2:35">
      <c r="S45" s="3"/>
      <c r="T45" s="3"/>
      <c r="U45" s="3"/>
      <c r="V45" s="3"/>
      <c r="W45" s="3"/>
      <c r="X45" s="3"/>
      <c r="Y45" s="3"/>
      <c r="Z45" s="3"/>
      <c r="AA45" s="3"/>
      <c r="AB45" s="3"/>
    </row>
    <row r="46" spans="2:35">
      <c r="S46" s="3"/>
      <c r="T46" s="3"/>
      <c r="U46" s="3"/>
      <c r="V46" s="3"/>
      <c r="W46" s="3"/>
      <c r="X46" s="3"/>
      <c r="Y46" s="3"/>
      <c r="Z46" s="3"/>
      <c r="AA46" s="3"/>
      <c r="AB46" s="3"/>
    </row>
  </sheetData>
  <mergeCells count="52">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 ref="L31:P31"/>
    <mergeCell ref="L20:Q20"/>
    <mergeCell ref="L21:Q21"/>
    <mergeCell ref="L22:Q22"/>
    <mergeCell ref="L28:Q28"/>
    <mergeCell ref="L23:Q23"/>
    <mergeCell ref="L24:Q24"/>
    <mergeCell ref="L25:Q25"/>
    <mergeCell ref="L26:Q26"/>
    <mergeCell ref="L27:Q27"/>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G20:K20"/>
    <mergeCell ref="G21:K21"/>
    <mergeCell ref="G22:K22"/>
    <mergeCell ref="B2:Q2"/>
    <mergeCell ref="O3:P3"/>
    <mergeCell ref="D5:N5"/>
    <mergeCell ref="L8:Q8"/>
    <mergeCell ref="F6:K6"/>
    <mergeCell ref="E3:K3"/>
    <mergeCell ref="C4:D4"/>
  </mergeCells>
  <phoneticPr fontId="30" type="noConversion"/>
  <conditionalFormatting sqref="C4:D4">
    <cfRule type="cellIs" dxfId="19" priority="50" stopIfTrue="1" operator="equal">
      <formula>"C"</formula>
    </cfRule>
    <cfRule type="cellIs" dxfId="18" priority="51" stopIfTrue="1" operator="equal">
      <formula>"B2"</formula>
    </cfRule>
    <cfRule type="cellIs" dxfId="17" priority="52" stopIfTrue="1" operator="equal">
      <formula>"B1"</formula>
    </cfRule>
  </conditionalFormatting>
  <conditionalFormatting sqref="G20:G28">
    <cfRule type="cellIs" dxfId="16" priority="56" stopIfTrue="1" operator="between">
      <formula>0</formula>
      <formula>0.599</formula>
    </cfRule>
    <cfRule type="cellIs" dxfId="15" priority="57" stopIfTrue="1" operator="between">
      <formula>0.6</formula>
      <formula>0.899</formula>
    </cfRule>
    <cfRule type="cellIs" dxfId="14"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B1:O42"/>
  <sheetViews>
    <sheetView showGridLines="0" topLeftCell="B16" zoomScale="130" zoomScaleNormal="130" zoomScalePageLayoutView="130" workbookViewId="0">
      <selection activeCell="H1" sqref="H1"/>
    </sheetView>
  </sheetViews>
  <sheetFormatPr defaultColWidth="11.42578125" defaultRowHeight="11.25"/>
  <cols>
    <col min="1" max="1" width="1.140625" style="23" customWidth="1"/>
    <col min="2" max="2" width="19.28515625" style="23" customWidth="1"/>
    <col min="3" max="3" width="1.140625" style="23" customWidth="1"/>
    <col min="4" max="4" width="17.140625" style="23" customWidth="1"/>
    <col min="5" max="5" width="17.42578125" style="23" customWidth="1"/>
    <col min="6" max="6" width="9.7109375" style="23" customWidth="1"/>
    <col min="7" max="7" width="13" style="23" customWidth="1"/>
    <col min="8" max="8" width="4.28515625" style="23" customWidth="1"/>
    <col min="9" max="9" width="15.85546875" style="23" customWidth="1"/>
    <col min="10" max="10" width="3.42578125" style="23" customWidth="1"/>
    <col min="11" max="11" width="7.42578125" style="24" customWidth="1"/>
    <col min="12" max="12" width="14.28515625" style="23" customWidth="1"/>
    <col min="13" max="13" width="12" style="23" customWidth="1"/>
    <col min="14" max="14" width="5.42578125" style="23" customWidth="1"/>
    <col min="15" max="15" width="2.42578125" style="23" customWidth="1"/>
    <col min="16" max="16384" width="11.42578125" style="23"/>
  </cols>
  <sheetData>
    <row r="1" spans="2:15" ht="38.25" customHeight="1"/>
    <row r="2" spans="2:15" customFormat="1" ht="27.75" customHeight="1">
      <c r="B2" s="769" t="str">
        <f>+"Dashboard:  "&amp;"  "&amp;IF(+'Data Entry'!C4="Please Select","",'Data Entry'!C4&amp;" - ")&amp;IF('Data Entry'!G6="Please Select","",'Data Entry'!G6)</f>
        <v>Dashboard:    Georgia - HIV / AIDS</v>
      </c>
      <c r="C2" s="769"/>
      <c r="D2" s="769"/>
      <c r="E2" s="769"/>
      <c r="F2" s="769"/>
      <c r="G2" s="769"/>
      <c r="H2" s="769"/>
      <c r="I2" s="769"/>
      <c r="J2" s="769"/>
      <c r="K2" s="769"/>
      <c r="L2" s="769"/>
      <c r="M2" s="769"/>
      <c r="N2" s="769"/>
      <c r="O2" s="55"/>
    </row>
    <row r="3" spans="2:15" customFormat="1" ht="18.75">
      <c r="B3" s="17" t="str">
        <f>+IF('Data Entry'!G8="Please Select","",'Data Entry'!G8)</f>
        <v>NFM</v>
      </c>
      <c r="C3" s="744" t="str">
        <f>+IF('Data Entry'!I8="Please Select","",'Data Entry'!I8)</f>
        <v>N/A</v>
      </c>
      <c r="D3" s="744"/>
      <c r="E3" s="503"/>
      <c r="F3" s="503"/>
      <c r="G3" s="503"/>
      <c r="H3" s="503"/>
      <c r="I3" s="503"/>
      <c r="J3" s="503"/>
      <c r="K3" s="503"/>
      <c r="L3" s="17" t="str">
        <f>+'Data Entry'!B16</f>
        <v>Report Period:</v>
      </c>
      <c r="M3" s="162" t="str">
        <f>+'Data Entry'!C16</f>
        <v>Please Select</v>
      </c>
      <c r="N3" s="162"/>
      <c r="O3" s="23"/>
    </row>
    <row r="4" spans="2:15" customFormat="1" ht="15">
      <c r="B4" s="17" t="str">
        <f>+'Data Entry'!B12</f>
        <v>Latest Rating:</v>
      </c>
      <c r="C4" s="776" t="str">
        <f>+IF('Data Entry'!C12="Please Select","",'Data Entry'!C12)</f>
        <v>C</v>
      </c>
      <c r="D4" s="776"/>
      <c r="E4" s="743" t="str">
        <f>+'Data Entry'!C8</f>
        <v>NCDC</v>
      </c>
      <c r="F4" s="743"/>
      <c r="G4" s="743"/>
      <c r="H4" s="743"/>
      <c r="I4" s="743"/>
      <c r="J4" s="743"/>
      <c r="K4" s="743"/>
      <c r="L4" s="17" t="str">
        <f>+'Data Entry'!D16</f>
        <v>From:</v>
      </c>
      <c r="M4" s="163">
        <f>+IF(ISBLANK('Data Entry'!E16),"",'Data Entry'!E16)</f>
        <v>44835</v>
      </c>
      <c r="N4" s="163"/>
      <c r="O4" s="23"/>
    </row>
    <row r="5" spans="2:15" customFormat="1" ht="18.75" customHeight="1">
      <c r="B5" s="17"/>
      <c r="C5" s="17"/>
      <c r="D5" s="109"/>
      <c r="E5" s="743" t="str">
        <f>+'Data Entry'!G4</f>
        <v xml:space="preserve">Sustaining and Scaling up the Effective HIV/AIDS Prevention, Treatment and Care in Georgia </v>
      </c>
      <c r="F5" s="743"/>
      <c r="G5" s="743"/>
      <c r="H5" s="743"/>
      <c r="I5" s="743"/>
      <c r="J5" s="743"/>
      <c r="K5" s="743"/>
      <c r="L5" s="17" t="str">
        <f>+'Data Entry'!F16</f>
        <v>To:</v>
      </c>
      <c r="M5" s="163">
        <f>+IF(ISBLANK('Data Entry'!G16),"",'Data Entry'!G16)</f>
        <v>44926</v>
      </c>
      <c r="N5" s="163"/>
    </row>
    <row r="6" spans="2:15" customFormat="1" ht="22.5" customHeight="1">
      <c r="B6" s="16"/>
      <c r="C6" s="17"/>
      <c r="D6" s="112"/>
      <c r="E6" s="746" t="s">
        <v>313</v>
      </c>
      <c r="F6" s="746"/>
      <c r="G6" s="746"/>
      <c r="H6" s="746"/>
      <c r="I6" s="746"/>
      <c r="J6" s="746"/>
      <c r="K6" s="746"/>
    </row>
    <row r="7" spans="2:15" ht="4.5" customHeight="1">
      <c r="B7" s="119"/>
      <c r="C7" s="119"/>
      <c r="D7" s="119"/>
      <c r="E7" s="119"/>
      <c r="F7" s="119"/>
      <c r="G7" s="119"/>
      <c r="H7" s="119"/>
      <c r="I7" s="119"/>
      <c r="J7" s="119"/>
      <c r="K7" s="119"/>
      <c r="L7" s="120"/>
      <c r="M7" s="120"/>
      <c r="N7" s="121"/>
    </row>
    <row r="8" spans="2:15" ht="21" customHeight="1" thickBot="1">
      <c r="B8" s="808" t="s">
        <v>98</v>
      </c>
      <c r="C8" s="808"/>
      <c r="D8" s="808"/>
      <c r="E8" s="808"/>
      <c r="F8" s="808"/>
      <c r="G8" s="808"/>
      <c r="H8" s="808"/>
      <c r="I8" s="808"/>
      <c r="J8" s="808"/>
      <c r="K8" s="808"/>
      <c r="L8" s="808"/>
      <c r="M8" s="808"/>
      <c r="N8" s="808"/>
    </row>
    <row r="9" spans="2:15" ht="3.75" customHeight="1" thickBot="1">
      <c r="B9" s="119"/>
      <c r="C9" s="119"/>
      <c r="D9" s="119"/>
      <c r="E9" s="119"/>
      <c r="F9" s="119"/>
      <c r="G9" s="119"/>
      <c r="H9" s="119"/>
      <c r="I9" s="119"/>
      <c r="J9" s="119"/>
      <c r="K9" s="119"/>
      <c r="L9" s="120"/>
      <c r="M9" s="120"/>
      <c r="N9" s="121"/>
    </row>
    <row r="10" spans="2:15" s="25" customFormat="1" ht="25.5" customHeight="1" thickBot="1">
      <c r="B10" s="829" t="s">
        <v>93</v>
      </c>
      <c r="C10" s="821"/>
      <c r="D10" s="809" t="s">
        <v>97</v>
      </c>
      <c r="E10" s="810"/>
      <c r="F10" s="810"/>
      <c r="G10" s="811"/>
      <c r="H10" s="124"/>
      <c r="I10" s="809" t="s">
        <v>313</v>
      </c>
      <c r="J10" s="810"/>
      <c r="K10" s="810"/>
      <c r="L10" s="810"/>
      <c r="M10" s="810"/>
      <c r="N10" s="811"/>
    </row>
    <row r="11" spans="2:15" s="25" customFormat="1" ht="28.5" customHeight="1">
      <c r="B11" s="341" t="s">
        <v>101</v>
      </c>
      <c r="C11" s="141"/>
      <c r="D11" s="832" t="str">
        <f>IF(ISBLANK(Finance!C9),"",(Finance!C9))</f>
        <v/>
      </c>
      <c r="E11" s="832"/>
      <c r="F11" s="832"/>
      <c r="G11" s="833"/>
      <c r="H11" s="147"/>
      <c r="I11" s="835"/>
      <c r="J11" s="836"/>
      <c r="K11" s="836"/>
      <c r="L11" s="836"/>
      <c r="M11" s="836"/>
      <c r="N11" s="837"/>
    </row>
    <row r="12" spans="2:15" s="25" customFormat="1" ht="27.75" customHeight="1">
      <c r="B12" s="342" t="s">
        <v>102</v>
      </c>
      <c r="C12" s="142"/>
      <c r="D12" s="832" t="str">
        <f>IF(ISBLANK(Finance!C23),"",(Finance!C23))</f>
        <v/>
      </c>
      <c r="E12" s="832"/>
      <c r="F12" s="832"/>
      <c r="G12" s="833"/>
      <c r="H12" s="147"/>
      <c r="I12" s="823"/>
      <c r="J12" s="824"/>
      <c r="K12" s="824"/>
      <c r="L12" s="824"/>
      <c r="M12" s="824"/>
      <c r="N12" s="825"/>
    </row>
    <row r="13" spans="2:15" s="25" customFormat="1" ht="26.25" customHeight="1">
      <c r="B13" s="342" t="s">
        <v>103</v>
      </c>
      <c r="C13" s="142"/>
      <c r="D13" s="832" t="str">
        <f>IF(ISBLANK(Finance!I9),"",(Finance!I9))</f>
        <v/>
      </c>
      <c r="E13" s="832"/>
      <c r="F13" s="832"/>
      <c r="G13" s="833"/>
      <c r="H13" s="147"/>
      <c r="I13" s="823"/>
      <c r="J13" s="824"/>
      <c r="K13" s="824"/>
      <c r="L13" s="824"/>
      <c r="M13" s="824"/>
      <c r="N13" s="825"/>
    </row>
    <row r="14" spans="2:15" s="25" customFormat="1" ht="28.5" customHeight="1" thickBot="1">
      <c r="B14" s="343" t="s">
        <v>104</v>
      </c>
      <c r="C14" s="143"/>
      <c r="D14" s="830" t="str">
        <f>IF(ISBLANK(Finance!I23),"",(Finance!I23))</f>
        <v/>
      </c>
      <c r="E14" s="830"/>
      <c r="F14" s="830"/>
      <c r="G14" s="831"/>
      <c r="H14" s="147"/>
      <c r="I14" s="826"/>
      <c r="J14" s="827"/>
      <c r="K14" s="827"/>
      <c r="L14" s="827"/>
      <c r="M14" s="827"/>
      <c r="N14" s="828"/>
    </row>
    <row r="15" spans="2:15" s="25" customFormat="1" ht="4.5" customHeight="1">
      <c r="B15" s="144"/>
      <c r="C15" s="145"/>
      <c r="D15" s="146"/>
      <c r="E15" s="146"/>
      <c r="F15" s="146"/>
      <c r="G15" s="146"/>
      <c r="H15" s="147"/>
      <c r="I15" s="148"/>
      <c r="J15" s="148"/>
      <c r="K15" s="148"/>
      <c r="L15" s="148"/>
      <c r="M15" s="148"/>
      <c r="N15" s="148"/>
    </row>
    <row r="16" spans="2:15" ht="21" customHeight="1" thickBot="1">
      <c r="B16" s="808" t="s">
        <v>100</v>
      </c>
      <c r="C16" s="808"/>
      <c r="D16" s="808"/>
      <c r="E16" s="808"/>
      <c r="F16" s="808"/>
      <c r="G16" s="808"/>
      <c r="H16" s="808"/>
      <c r="I16" s="808"/>
      <c r="J16" s="808"/>
      <c r="K16" s="808"/>
      <c r="L16" s="808"/>
      <c r="M16" s="808"/>
      <c r="N16" s="808"/>
    </row>
    <row r="17" spans="2:14" s="25" customFormat="1" ht="3.75" customHeight="1" thickBot="1">
      <c r="B17" s="130"/>
      <c r="C17" s="131"/>
      <c r="D17" s="132"/>
      <c r="E17" s="133"/>
      <c r="F17" s="134"/>
      <c r="G17" s="134"/>
      <c r="H17" s="135"/>
      <c r="I17" s="136"/>
      <c r="J17" s="137"/>
      <c r="K17" s="126"/>
      <c r="L17" s="127"/>
      <c r="M17" s="128"/>
      <c r="N17" s="129"/>
    </row>
    <row r="18" spans="2:14" s="25" customFormat="1" ht="22.5" customHeight="1" thickBot="1">
      <c r="B18" s="821" t="s">
        <v>94</v>
      </c>
      <c r="C18" s="822"/>
      <c r="D18" s="841" t="s">
        <v>97</v>
      </c>
      <c r="E18" s="842"/>
      <c r="F18" s="842"/>
      <c r="G18" s="843"/>
      <c r="H18" s="124"/>
      <c r="I18" s="838" t="s">
        <v>313</v>
      </c>
      <c r="J18" s="839"/>
      <c r="K18" s="839"/>
      <c r="L18" s="839"/>
      <c r="M18" s="840"/>
      <c r="N18" s="840"/>
    </row>
    <row r="19" spans="2:14" s="25" customFormat="1" ht="21.75" customHeight="1">
      <c r="B19" s="344" t="s">
        <v>109</v>
      </c>
      <c r="C19" s="149"/>
      <c r="D19" s="847" t="str">
        <f>IF(ISBLANK(Management!C8),"",(Management!C8))</f>
        <v/>
      </c>
      <c r="E19" s="847"/>
      <c r="F19" s="847"/>
      <c r="G19" s="848"/>
      <c r="H19" s="150"/>
      <c r="I19" s="812"/>
      <c r="J19" s="813"/>
      <c r="K19" s="813"/>
      <c r="L19" s="813"/>
      <c r="M19" s="813"/>
      <c r="N19" s="814"/>
    </row>
    <row r="20" spans="2:14" ht="24.75" customHeight="1">
      <c r="B20" s="345" t="s">
        <v>110</v>
      </c>
      <c r="C20" s="151"/>
      <c r="D20" s="832" t="str">
        <f>IF(ISBLANK(Management!I8),"",(Management!I8))</f>
        <v/>
      </c>
      <c r="E20" s="832" t="e">
        <f>+'Data Entry'!D73/'Data Entry'!G73</f>
        <v>#DIV/0!</v>
      </c>
      <c r="F20" s="832" t="e">
        <f>+('Data Entry'!E73+'Data Entry'!F73)/'Data Entry'!G73</f>
        <v>#DIV/0!</v>
      </c>
      <c r="G20" s="834"/>
      <c r="H20" s="150"/>
      <c r="I20" s="818"/>
      <c r="J20" s="819"/>
      <c r="K20" s="819"/>
      <c r="L20" s="819"/>
      <c r="M20" s="819"/>
      <c r="N20" s="820"/>
    </row>
    <row r="21" spans="2:14" ht="29.25" customHeight="1">
      <c r="B21" s="346" t="s">
        <v>111</v>
      </c>
      <c r="C21" s="151"/>
      <c r="D21" s="832" t="str">
        <f>IF(ISBLANK(Management!C16),"",(Management!C16))</f>
        <v/>
      </c>
      <c r="E21" s="832"/>
      <c r="F21" s="832"/>
      <c r="G21" s="834"/>
      <c r="H21" s="150"/>
      <c r="I21" s="818"/>
      <c r="J21" s="819"/>
      <c r="K21" s="819"/>
      <c r="L21" s="819"/>
      <c r="M21" s="819"/>
      <c r="N21" s="820"/>
    </row>
    <row r="22" spans="2:14" ht="26.25" customHeight="1">
      <c r="B22" s="346" t="s">
        <v>112</v>
      </c>
      <c r="C22" s="151"/>
      <c r="D22" s="832" t="str">
        <f>IF(ISBLANK(Management!I16),"",(Management!I16))</f>
        <v/>
      </c>
      <c r="E22" s="832"/>
      <c r="F22" s="832"/>
      <c r="G22" s="834"/>
      <c r="H22" s="150"/>
      <c r="I22" s="818"/>
      <c r="J22" s="819"/>
      <c r="K22" s="819"/>
      <c r="L22" s="819"/>
      <c r="M22" s="819"/>
      <c r="N22" s="820"/>
    </row>
    <row r="23" spans="2:14" ht="24.75" customHeight="1">
      <c r="B23" s="346" t="s">
        <v>113</v>
      </c>
      <c r="C23" s="151"/>
      <c r="D23" s="832" t="str">
        <f>IF(ISBLANK(Management!C27),"",(Management!C27))</f>
        <v/>
      </c>
      <c r="E23" s="832"/>
      <c r="F23" s="832"/>
      <c r="G23" s="834"/>
      <c r="H23" s="150"/>
      <c r="I23" s="818"/>
      <c r="J23" s="819"/>
      <c r="K23" s="819"/>
      <c r="L23" s="819"/>
      <c r="M23" s="819"/>
      <c r="N23" s="820"/>
    </row>
    <row r="24" spans="2:14" ht="27" customHeight="1" thickBot="1">
      <c r="B24" s="347" t="s">
        <v>115</v>
      </c>
      <c r="C24" s="152"/>
      <c r="D24" s="850" t="str">
        <f>IF(ISBLANK(Management!I27),"",(Management!I27))</f>
        <v xml:space="preserve">
</v>
      </c>
      <c r="E24" s="850"/>
      <c r="F24" s="850"/>
      <c r="G24" s="851"/>
      <c r="H24" s="150"/>
      <c r="I24" s="815"/>
      <c r="J24" s="816"/>
      <c r="K24" s="816"/>
      <c r="L24" s="816"/>
      <c r="M24" s="816"/>
      <c r="N24" s="817"/>
    </row>
    <row r="25" spans="2:14" ht="4.5" customHeight="1">
      <c r="B25" s="122"/>
      <c r="C25" s="123"/>
      <c r="D25" s="138"/>
      <c r="E25" s="139"/>
      <c r="F25" s="140"/>
      <c r="G25" s="140"/>
      <c r="H25" s="124"/>
      <c r="I25" s="139"/>
      <c r="J25" s="125"/>
      <c r="K25" s="126"/>
      <c r="L25" s="127"/>
      <c r="M25" s="128"/>
      <c r="N25" s="129"/>
    </row>
    <row r="26" spans="2:14" ht="21" customHeight="1" thickBot="1">
      <c r="B26" s="808" t="s">
        <v>99</v>
      </c>
      <c r="C26" s="808"/>
      <c r="D26" s="808"/>
      <c r="E26" s="808"/>
      <c r="F26" s="808"/>
      <c r="G26" s="808"/>
      <c r="H26" s="808"/>
      <c r="I26" s="808"/>
      <c r="J26" s="808"/>
      <c r="K26" s="808"/>
      <c r="L26" s="808"/>
      <c r="M26" s="808"/>
      <c r="N26" s="808"/>
    </row>
    <row r="27" spans="2:14" ht="3.75" customHeight="1" thickBot="1">
      <c r="B27" s="122"/>
      <c r="C27" s="123"/>
      <c r="D27" s="138"/>
      <c r="E27" s="139"/>
      <c r="F27" s="140"/>
      <c r="G27" s="140"/>
      <c r="H27" s="124"/>
      <c r="I27" s="139"/>
      <c r="J27" s="125"/>
      <c r="K27" s="126"/>
      <c r="L27" s="127"/>
      <c r="M27" s="128"/>
      <c r="N27" s="129"/>
    </row>
    <row r="28" spans="2:14" ht="21.75" customHeight="1" thickBot="1">
      <c r="B28" s="829" t="s">
        <v>7</v>
      </c>
      <c r="C28" s="822"/>
      <c r="D28" s="855" t="s">
        <v>97</v>
      </c>
      <c r="E28" s="856"/>
      <c r="F28" s="856"/>
      <c r="G28" s="857"/>
      <c r="H28" s="124"/>
      <c r="I28" s="855" t="s">
        <v>313</v>
      </c>
      <c r="J28" s="856"/>
      <c r="K28" s="856"/>
      <c r="L28" s="856"/>
      <c r="M28" s="856"/>
      <c r="N28" s="857"/>
    </row>
    <row r="29" spans="2:14" ht="29.25" customHeight="1">
      <c r="B29" s="348" t="s">
        <v>314</v>
      </c>
      <c r="C29" s="153"/>
      <c r="D29" s="858" t="str">
        <f>IF(ISBLANK(Programmatic!C9),"",(Programmatic!C9))</f>
        <v/>
      </c>
      <c r="E29" s="859"/>
      <c r="F29" s="859"/>
      <c r="G29" s="860"/>
      <c r="H29" s="150"/>
      <c r="I29" s="852"/>
      <c r="J29" s="853"/>
      <c r="K29" s="853"/>
      <c r="L29" s="853"/>
      <c r="M29" s="853"/>
      <c r="N29" s="854"/>
    </row>
    <row r="30" spans="2:14" ht="21.75" customHeight="1">
      <c r="B30" s="349" t="s">
        <v>315</v>
      </c>
      <c r="C30" s="154"/>
      <c r="D30" s="849" t="str">
        <f>IF(ISBLANK(Programmatic!G9),"",(Programmatic!G9))</f>
        <v/>
      </c>
      <c r="E30" s="845"/>
      <c r="F30" s="845"/>
      <c r="G30" s="846"/>
      <c r="H30" s="150"/>
      <c r="I30" s="805"/>
      <c r="J30" s="806"/>
      <c r="K30" s="806"/>
      <c r="L30" s="806"/>
      <c r="M30" s="806"/>
      <c r="N30" s="807"/>
    </row>
    <row r="31" spans="2:14" ht="21.75" customHeight="1">
      <c r="B31" s="349" t="s">
        <v>316</v>
      </c>
      <c r="C31" s="154"/>
      <c r="D31" s="849" t="str">
        <f>IF(ISBLANK(Programmatic!M9),"",(Programmatic!M9))</f>
        <v/>
      </c>
      <c r="E31" s="845"/>
      <c r="F31" s="845"/>
      <c r="G31" s="846"/>
      <c r="H31" s="150"/>
      <c r="I31" s="805"/>
      <c r="J31" s="806"/>
      <c r="K31" s="806"/>
      <c r="L31" s="806"/>
      <c r="M31" s="806"/>
      <c r="N31" s="807"/>
    </row>
    <row r="32" spans="2:14" ht="21.75" customHeight="1">
      <c r="B32" s="350" t="s">
        <v>105</v>
      </c>
      <c r="C32" s="154"/>
      <c r="D32" s="844" t="str">
        <f>IF(ISBLANK(Programmatic!L20),"",(Programmatic!L20))</f>
        <v/>
      </c>
      <c r="E32" s="845"/>
      <c r="F32" s="845"/>
      <c r="G32" s="846"/>
      <c r="H32" s="150"/>
      <c r="I32" s="805"/>
      <c r="J32" s="806"/>
      <c r="K32" s="806"/>
      <c r="L32" s="806"/>
      <c r="M32" s="806"/>
      <c r="N32" s="807"/>
    </row>
    <row r="33" spans="2:14" ht="27" customHeight="1">
      <c r="B33" s="350" t="s">
        <v>106</v>
      </c>
      <c r="C33" s="154"/>
      <c r="D33" s="844" t="str">
        <f>IF(ISBLANK(Programmatic!L21),"",(Programmatic!L21))</f>
        <v/>
      </c>
      <c r="E33" s="845"/>
      <c r="F33" s="845"/>
      <c r="G33" s="846"/>
      <c r="H33" s="150"/>
      <c r="I33" s="805"/>
      <c r="J33" s="806"/>
      <c r="K33" s="806"/>
      <c r="L33" s="806"/>
      <c r="M33" s="806"/>
      <c r="N33" s="807"/>
    </row>
    <row r="34" spans="2:14" ht="21.75" customHeight="1">
      <c r="B34" s="350" t="s">
        <v>107</v>
      </c>
      <c r="C34" s="154"/>
      <c r="D34" s="844" t="str">
        <f>IF(ISBLANK(Programmatic!L22),"",(Programmatic!L22))</f>
        <v>Annual Indicator</v>
      </c>
      <c r="E34" s="845"/>
      <c r="F34" s="845"/>
      <c r="G34" s="846"/>
      <c r="H34" s="150"/>
      <c r="I34" s="805"/>
      <c r="J34" s="806"/>
      <c r="K34" s="806"/>
      <c r="L34" s="806"/>
      <c r="M34" s="806"/>
      <c r="N34" s="807"/>
    </row>
    <row r="35" spans="2:14" ht="21.75" customHeight="1">
      <c r="B35" s="350" t="s">
        <v>108</v>
      </c>
      <c r="C35" s="186"/>
      <c r="D35" s="844" t="str">
        <f>IF(ISBLANK(Programmatic!L23),"",(Programmatic!L23))</f>
        <v/>
      </c>
      <c r="E35" s="845"/>
      <c r="F35" s="845"/>
      <c r="G35" s="846"/>
      <c r="H35" s="150"/>
      <c r="I35" s="805"/>
      <c r="J35" s="806"/>
      <c r="K35" s="806"/>
      <c r="L35" s="806"/>
      <c r="M35" s="806"/>
      <c r="N35" s="807"/>
    </row>
    <row r="36" spans="2:14" ht="21.75" customHeight="1">
      <c r="B36" s="350" t="s">
        <v>120</v>
      </c>
      <c r="C36" s="186"/>
      <c r="D36" s="844" t="str">
        <f>IF(ISBLANK(Programmatic!L24),"",(Programmatic!L24))</f>
        <v/>
      </c>
      <c r="E36" s="845"/>
      <c r="F36" s="845"/>
      <c r="G36" s="846"/>
      <c r="H36" s="150"/>
      <c r="I36" s="805"/>
      <c r="J36" s="806"/>
      <c r="K36" s="806"/>
      <c r="L36" s="806"/>
      <c r="M36" s="806"/>
      <c r="N36" s="807"/>
    </row>
    <row r="37" spans="2:14" ht="21.75" customHeight="1">
      <c r="B37" s="350" t="s">
        <v>121</v>
      </c>
      <c r="C37" s="186"/>
      <c r="D37" s="844" t="str">
        <f>IF(ISBLANK(Programmatic!L25),"",(Programmatic!L25))</f>
        <v/>
      </c>
      <c r="E37" s="845"/>
      <c r="F37" s="845"/>
      <c r="G37" s="846"/>
      <c r="H37" s="150"/>
      <c r="I37" s="805"/>
      <c r="J37" s="806"/>
      <c r="K37" s="806"/>
      <c r="L37" s="806"/>
      <c r="M37" s="806"/>
      <c r="N37" s="807"/>
    </row>
    <row r="38" spans="2:14" ht="21.75" customHeight="1">
      <c r="B38" s="350" t="s">
        <v>122</v>
      </c>
      <c r="C38" s="186"/>
      <c r="D38" s="844" t="str">
        <f>IF(ISBLANK(Programmatic!L26),"",(Programmatic!L26))</f>
        <v>pattern of sex sales has changed, more CSWs use online applications, we try to promote self-testing platform to icrease HIV testing coverage among FSWs</v>
      </c>
      <c r="E38" s="845"/>
      <c r="F38" s="845"/>
      <c r="G38" s="846"/>
      <c r="H38" s="150"/>
      <c r="I38" s="805"/>
      <c r="J38" s="806"/>
      <c r="K38" s="806"/>
      <c r="L38" s="806"/>
      <c r="M38" s="806"/>
      <c r="N38" s="807"/>
    </row>
    <row r="39" spans="2:14" ht="21.75" customHeight="1">
      <c r="B39" s="350" t="s">
        <v>123</v>
      </c>
      <c r="C39" s="186"/>
      <c r="D39" s="844" t="str">
        <f>IF(ISBLANK(Programmatic!L27),"",(Programmatic!L27))</f>
        <v>Annual Indicator is 300, the overachivement is related to enrollment in the program imigrated MSM and TG people</v>
      </c>
      <c r="E39" s="845"/>
      <c r="F39" s="845"/>
      <c r="G39" s="846"/>
      <c r="H39" s="150"/>
      <c r="I39" s="805"/>
      <c r="J39" s="806"/>
      <c r="K39" s="806"/>
      <c r="L39" s="806"/>
      <c r="M39" s="806"/>
      <c r="N39" s="807"/>
    </row>
    <row r="40" spans="2:14" ht="21.75" customHeight="1">
      <c r="B40" s="350" t="s">
        <v>124</v>
      </c>
      <c r="C40" s="186"/>
      <c r="D40" s="844" t="str">
        <f>IF(ISBLANK(Programmatic!L28),"",(Programmatic!L28))</f>
        <v/>
      </c>
      <c r="E40" s="845"/>
      <c r="F40" s="845"/>
      <c r="G40" s="846"/>
      <c r="H40" s="150"/>
      <c r="I40" s="805"/>
      <c r="J40" s="806"/>
      <c r="K40" s="806"/>
      <c r="L40" s="806"/>
      <c r="M40" s="806"/>
      <c r="N40" s="807"/>
    </row>
    <row r="41" spans="2:14" ht="21.75" customHeight="1" thickBot="1">
      <c r="B41" s="350" t="s">
        <v>125</v>
      </c>
      <c r="C41" s="155"/>
      <c r="D41" s="844" t="str">
        <f>IF(ISBLANK(Programmatic!L29),"",(Programmatic!L29))</f>
        <v/>
      </c>
      <c r="E41" s="845"/>
      <c r="F41" s="845"/>
      <c r="G41" s="846"/>
      <c r="H41" s="150"/>
      <c r="I41" s="861"/>
      <c r="J41" s="862"/>
      <c r="K41" s="862"/>
      <c r="L41" s="862"/>
      <c r="M41" s="862"/>
      <c r="N41" s="863"/>
    </row>
    <row r="42" spans="2:14" ht="14.25">
      <c r="B42" s="156"/>
      <c r="C42" s="156"/>
      <c r="D42" s="157"/>
      <c r="F42" s="156"/>
      <c r="G42" s="156"/>
      <c r="I42" s="158"/>
      <c r="K42" s="159"/>
      <c r="L42" s="159"/>
      <c r="M42" s="159"/>
      <c r="N42" s="159"/>
    </row>
  </sheetData>
  <sheetProtection password="CFC9" sheet="1"/>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13" priority="1" stopIfTrue="1" operator="equal">
      <formula>"C"</formula>
    </cfRule>
    <cfRule type="cellIs" dxfId="12" priority="2" stopIfTrue="1" operator="equal">
      <formula>"B2"</formula>
    </cfRule>
    <cfRule type="cellIs" dxfId="11"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22" zoomScale="95" zoomScaleNormal="95" zoomScaleSheetLayoutView="100" zoomScalePageLayoutView="95"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69" t="str">
        <f>+"Dashboard:  "&amp;"  "&amp;IF(+'Data Entry'!C4="Please Select","",'Data Entry'!C4&amp;" - ")&amp;IF('Data Entry'!G6="Please Select","",'Data Entry'!G6)</f>
        <v>Dashboard:    Georgia - HIV / AIDS</v>
      </c>
      <c r="C2" s="769"/>
      <c r="D2" s="769"/>
      <c r="E2" s="769"/>
      <c r="F2" s="769"/>
      <c r="G2" s="769"/>
      <c r="H2" s="769"/>
      <c r="I2" s="769"/>
      <c r="J2" s="769"/>
      <c r="K2" s="769"/>
      <c r="L2" s="769"/>
    </row>
    <row r="3" spans="1:13">
      <c r="B3" s="17" t="str">
        <f>+IF('Data Entry'!G8="Please Select","",'Data Entry'!G8)</f>
        <v>NFM</v>
      </c>
      <c r="C3" s="744" t="str">
        <f>+IF('Data Entry'!I8="Please Select","",'Data Entry'!I8)</f>
        <v>N/A</v>
      </c>
      <c r="D3" s="744"/>
      <c r="E3" s="743"/>
      <c r="F3" s="743"/>
      <c r="G3" s="743"/>
      <c r="H3" s="743"/>
      <c r="I3" s="743"/>
      <c r="J3" s="741" t="str">
        <f>+'Data Entry'!B16</f>
        <v>Report Period:</v>
      </c>
      <c r="K3" s="741"/>
      <c r="L3" s="162" t="str">
        <f>+'Data Entry'!C16</f>
        <v>Please Select</v>
      </c>
      <c r="M3" s="66"/>
    </row>
    <row r="4" spans="1:13">
      <c r="B4" s="17" t="str">
        <f>+'Data Entry'!B12</f>
        <v>Latest Rating:</v>
      </c>
      <c r="C4" s="910" t="str">
        <f>+IF('Data Entry'!C12="Please Select","",'Data Entry'!C12)</f>
        <v>C</v>
      </c>
      <c r="D4" s="910"/>
      <c r="E4" s="743" t="str">
        <f>+'Data Entry'!C8</f>
        <v>NCDC</v>
      </c>
      <c r="F4" s="743"/>
      <c r="G4" s="743"/>
      <c r="H4" s="743"/>
      <c r="I4" s="743"/>
      <c r="J4" s="741" t="str">
        <f>+'Data Entry'!D16</f>
        <v>From:</v>
      </c>
      <c r="K4" s="742"/>
      <c r="L4" s="163">
        <f>+IF(ISBLANK('Data Entry'!E16),"",'Data Entry'!E16)</f>
        <v>44835</v>
      </c>
    </row>
    <row r="5" spans="1:13" ht="18.75" customHeight="1">
      <c r="B5" s="17"/>
      <c r="C5" s="17"/>
      <c r="D5" s="743" t="str">
        <f>+'Data Entry'!G4</f>
        <v xml:space="preserve">Sustaining and Scaling up the Effective HIV/AIDS Prevention, Treatment and Care in Georgia </v>
      </c>
      <c r="E5" s="743"/>
      <c r="F5" s="743"/>
      <c r="G5" s="743"/>
      <c r="H5" s="743"/>
      <c r="I5" s="743"/>
      <c r="J5" s="743"/>
      <c r="K5" s="17" t="str">
        <f>+'Data Entry'!F16</f>
        <v>To:</v>
      </c>
      <c r="L5" s="163">
        <f>+IF(ISBLANK('Data Entry'!G16),"",'Data Entry'!G16)</f>
        <v>44926</v>
      </c>
    </row>
    <row r="6" spans="1:13" ht="18.75">
      <c r="B6" s="16"/>
      <c r="C6" s="17"/>
      <c r="D6" s="18"/>
      <c r="E6" s="746" t="s">
        <v>369</v>
      </c>
      <c r="F6" s="746"/>
      <c r="G6" s="746"/>
      <c r="H6" s="746"/>
      <c r="I6" s="746"/>
    </row>
    <row r="7" spans="1:13" ht="18.75">
      <c r="E7" s="54"/>
      <c r="F7" s="54"/>
      <c r="G7" s="54"/>
      <c r="H7" s="54"/>
      <c r="I7" s="54"/>
    </row>
    <row r="8" spans="1:13" s="23" customFormat="1" ht="21" customHeight="1" thickBot="1">
      <c r="B8" s="57" t="s">
        <v>95</v>
      </c>
      <c r="C8" s="57"/>
      <c r="D8" s="57"/>
      <c r="E8" s="57"/>
      <c r="F8" s="57"/>
      <c r="G8" s="57"/>
      <c r="H8" s="57"/>
      <c r="I8" s="57"/>
      <c r="J8" s="57"/>
      <c r="K8" s="57"/>
      <c r="L8" s="57"/>
    </row>
    <row r="9" spans="1:13" ht="6" customHeight="1">
      <c r="B9" s="56"/>
    </row>
    <row r="10" spans="1:13">
      <c r="B10" s="897"/>
      <c r="C10" s="898"/>
      <c r="D10" s="898"/>
      <c r="E10" s="898"/>
      <c r="F10" s="898"/>
      <c r="G10" s="898"/>
      <c r="H10" s="898"/>
      <c r="I10" s="898"/>
      <c r="J10" s="898"/>
      <c r="K10" s="898"/>
      <c r="L10" s="899"/>
    </row>
    <row r="11" spans="1:13">
      <c r="B11" s="900"/>
      <c r="C11" s="901"/>
      <c r="D11" s="901"/>
      <c r="E11" s="901"/>
      <c r="F11" s="901"/>
      <c r="G11" s="901"/>
      <c r="H11" s="901"/>
      <c r="I11" s="901"/>
      <c r="J11" s="901"/>
      <c r="K11" s="901"/>
      <c r="L11" s="902"/>
    </row>
    <row r="12" spans="1:13" ht="15.75" thickBot="1"/>
    <row r="13" spans="1:13" ht="26.25" customHeight="1" thickBot="1">
      <c r="B13" s="874" t="s">
        <v>303</v>
      </c>
      <c r="C13" s="875"/>
      <c r="D13" s="875"/>
      <c r="E13" s="876"/>
      <c r="F13" s="58"/>
      <c r="G13" s="870" t="s">
        <v>127</v>
      </c>
      <c r="H13" s="871"/>
      <c r="I13" s="871"/>
      <c r="J13" s="59" t="s">
        <v>96</v>
      </c>
      <c r="K13" s="871" t="s">
        <v>290</v>
      </c>
      <c r="L13" s="903"/>
    </row>
    <row r="14" spans="1:13">
      <c r="A14" s="867" t="s">
        <v>304</v>
      </c>
      <c r="B14" s="892"/>
      <c r="C14" s="892"/>
      <c r="D14" s="892"/>
      <c r="E14" s="893"/>
      <c r="F14" s="33"/>
      <c r="G14" s="896"/>
      <c r="H14" s="866"/>
      <c r="I14" s="866"/>
      <c r="J14" s="908"/>
      <c r="K14" s="866"/>
      <c r="L14" s="911"/>
    </row>
    <row r="15" spans="1:13">
      <c r="A15" s="868"/>
      <c r="B15" s="892"/>
      <c r="C15" s="892"/>
      <c r="D15" s="892"/>
      <c r="E15" s="893"/>
      <c r="F15" s="33"/>
      <c r="G15" s="872"/>
      <c r="H15" s="864"/>
      <c r="I15" s="864"/>
      <c r="J15" s="864"/>
      <c r="K15" s="864"/>
      <c r="L15" s="865"/>
    </row>
    <row r="16" spans="1:13">
      <c r="A16" s="868"/>
      <c r="B16" s="892"/>
      <c r="C16" s="892"/>
      <c r="D16" s="892"/>
      <c r="E16" s="893"/>
      <c r="F16" s="33"/>
      <c r="G16" s="877"/>
      <c r="H16" s="864"/>
      <c r="I16" s="864"/>
      <c r="J16" s="864"/>
      <c r="K16" s="864"/>
      <c r="L16" s="865"/>
    </row>
    <row r="17" spans="1:12">
      <c r="A17" s="868"/>
      <c r="B17" s="892"/>
      <c r="C17" s="892"/>
      <c r="D17" s="892"/>
      <c r="E17" s="893"/>
      <c r="F17" s="33"/>
      <c r="G17" s="872"/>
      <c r="H17" s="864"/>
      <c r="I17" s="864"/>
      <c r="J17" s="864"/>
      <c r="K17" s="864"/>
      <c r="L17" s="865"/>
    </row>
    <row r="18" spans="1:12">
      <c r="A18" s="868"/>
      <c r="B18" s="892"/>
      <c r="C18" s="892"/>
      <c r="D18" s="892"/>
      <c r="E18" s="893"/>
      <c r="F18" s="33"/>
      <c r="G18" s="904"/>
      <c r="H18" s="905"/>
      <c r="I18" s="906"/>
      <c r="J18" s="864"/>
      <c r="K18" s="864"/>
      <c r="L18" s="865"/>
    </row>
    <row r="19" spans="1:12" ht="30.75" customHeight="1">
      <c r="A19" s="868"/>
      <c r="B19" s="892"/>
      <c r="C19" s="892"/>
      <c r="D19" s="892"/>
      <c r="E19" s="893"/>
      <c r="F19" s="33"/>
      <c r="G19" s="883"/>
      <c r="H19" s="884"/>
      <c r="I19" s="907"/>
      <c r="J19" s="864"/>
      <c r="K19" s="864"/>
      <c r="L19" s="865"/>
    </row>
    <row r="20" spans="1:12">
      <c r="A20" s="868"/>
      <c r="B20" s="892"/>
      <c r="C20" s="892"/>
      <c r="D20" s="892"/>
      <c r="E20" s="893"/>
      <c r="F20" s="33"/>
      <c r="G20" s="872"/>
      <c r="H20" s="864"/>
      <c r="I20" s="864"/>
      <c r="J20" s="864"/>
      <c r="K20" s="864"/>
      <c r="L20" s="865"/>
    </row>
    <row r="21" spans="1:12">
      <c r="A21" s="868"/>
      <c r="B21" s="892"/>
      <c r="C21" s="892"/>
      <c r="D21" s="892"/>
      <c r="E21" s="893"/>
      <c r="F21" s="33"/>
      <c r="G21" s="872"/>
      <c r="H21" s="864"/>
      <c r="I21" s="864"/>
      <c r="J21" s="864"/>
      <c r="K21" s="864"/>
      <c r="L21" s="865"/>
    </row>
    <row r="22" spans="1:12">
      <c r="A22" s="868"/>
      <c r="B22" s="892"/>
      <c r="C22" s="892"/>
      <c r="D22" s="892"/>
      <c r="E22" s="893"/>
      <c r="F22" s="33"/>
      <c r="G22" s="872"/>
      <c r="H22" s="864"/>
      <c r="I22" s="864"/>
      <c r="J22" s="864"/>
      <c r="K22" s="864"/>
      <c r="L22" s="865"/>
    </row>
    <row r="23" spans="1:12">
      <c r="A23" s="868"/>
      <c r="B23" s="892"/>
      <c r="C23" s="892"/>
      <c r="D23" s="892"/>
      <c r="E23" s="893"/>
      <c r="F23" s="33"/>
      <c r="G23" s="872"/>
      <c r="H23" s="864"/>
      <c r="I23" s="864"/>
      <c r="J23" s="864"/>
      <c r="K23" s="864"/>
      <c r="L23" s="865"/>
    </row>
    <row r="24" spans="1:12">
      <c r="A24" s="868"/>
      <c r="B24" s="892"/>
      <c r="C24" s="892"/>
      <c r="D24" s="892"/>
      <c r="E24" s="893"/>
      <c r="F24" s="33"/>
      <c r="G24" s="877"/>
      <c r="H24" s="864"/>
      <c r="I24" s="864"/>
      <c r="J24" s="864"/>
      <c r="K24" s="864"/>
      <c r="L24" s="865"/>
    </row>
    <row r="25" spans="1:12" ht="15.75" thickBot="1">
      <c r="A25" s="869"/>
      <c r="B25" s="894"/>
      <c r="C25" s="894"/>
      <c r="D25" s="894"/>
      <c r="E25" s="895"/>
      <c r="F25" s="33"/>
      <c r="G25" s="878"/>
      <c r="H25" s="879"/>
      <c r="I25" s="879"/>
      <c r="J25" s="879"/>
      <c r="K25" s="879"/>
      <c r="L25" s="909"/>
    </row>
    <row r="27" spans="1:12" ht="18.75">
      <c r="E27" s="873" t="s">
        <v>333</v>
      </c>
      <c r="F27" s="873"/>
      <c r="G27" s="873"/>
      <c r="H27" s="873"/>
      <c r="I27" s="873"/>
    </row>
    <row r="28" spans="1:12" ht="6" customHeight="1">
      <c r="E28" s="54"/>
      <c r="F28" s="54"/>
      <c r="G28" s="54"/>
      <c r="H28" s="54"/>
      <c r="I28" s="54"/>
    </row>
    <row r="29" spans="1:12" s="23" customFormat="1" ht="21" customHeight="1" thickBot="1">
      <c r="B29" s="57" t="s">
        <v>95</v>
      </c>
      <c r="C29" s="57"/>
      <c r="D29" s="57"/>
      <c r="E29" s="57"/>
      <c r="F29" s="57"/>
      <c r="G29" s="57"/>
      <c r="H29" s="57"/>
      <c r="I29" s="57"/>
      <c r="J29" s="57"/>
      <c r="K29" s="57"/>
      <c r="L29" s="57"/>
    </row>
    <row r="30" spans="1:12" ht="6" customHeight="1" thickBot="1">
      <c r="B30" s="56"/>
    </row>
    <row r="31" spans="1:12" ht="21.75" customHeight="1" thickBot="1">
      <c r="B31" s="874" t="s">
        <v>127</v>
      </c>
      <c r="C31" s="875"/>
      <c r="D31" s="875"/>
      <c r="E31" s="876"/>
      <c r="F31" s="58"/>
      <c r="G31" s="870" t="s">
        <v>318</v>
      </c>
      <c r="H31" s="871"/>
      <c r="I31" s="871"/>
      <c r="J31" s="59" t="s">
        <v>292</v>
      </c>
      <c r="K31" s="871" t="s">
        <v>290</v>
      </c>
      <c r="L31" s="903"/>
    </row>
    <row r="32" spans="1:12" ht="14.25" customHeight="1">
      <c r="A32" s="867" t="s">
        <v>305</v>
      </c>
      <c r="B32" s="880"/>
      <c r="C32" s="881"/>
      <c r="D32" s="881"/>
      <c r="E32" s="882"/>
      <c r="F32" s="33"/>
      <c r="G32" s="896"/>
      <c r="H32" s="866"/>
      <c r="I32" s="866"/>
      <c r="J32" s="866"/>
      <c r="K32" s="866"/>
      <c r="L32" s="911"/>
    </row>
    <row r="33" spans="1:12" ht="16.5" customHeight="1">
      <c r="A33" s="868"/>
      <c r="B33" s="883"/>
      <c r="C33" s="884"/>
      <c r="D33" s="884"/>
      <c r="E33" s="885"/>
      <c r="F33" s="33"/>
      <c r="G33" s="872"/>
      <c r="H33" s="864"/>
      <c r="I33" s="864"/>
      <c r="J33" s="864"/>
      <c r="K33" s="864"/>
      <c r="L33" s="865"/>
    </row>
    <row r="34" spans="1:12">
      <c r="A34" s="868"/>
      <c r="B34" s="886" t="str">
        <f>IF(Recommendations!I43="","",Recommendations!I43)</f>
        <v/>
      </c>
      <c r="C34" s="887"/>
      <c r="D34" s="887"/>
      <c r="E34" s="888"/>
      <c r="F34" s="33"/>
      <c r="G34" s="872"/>
      <c r="H34" s="864"/>
      <c r="I34" s="864"/>
      <c r="J34" s="864"/>
      <c r="K34" s="864"/>
      <c r="L34" s="865"/>
    </row>
    <row r="35" spans="1:12">
      <c r="A35" s="868"/>
      <c r="B35" s="886"/>
      <c r="C35" s="887"/>
      <c r="D35" s="887"/>
      <c r="E35" s="888"/>
      <c r="F35" s="33"/>
      <c r="G35" s="872"/>
      <c r="H35" s="864"/>
      <c r="I35" s="864"/>
      <c r="J35" s="864"/>
      <c r="K35" s="864"/>
      <c r="L35" s="865"/>
    </row>
    <row r="36" spans="1:12">
      <c r="A36" s="868"/>
      <c r="B36" s="886" t="str">
        <f>+IF(Recommendations!I53="","",Recommendations!I53)</f>
        <v/>
      </c>
      <c r="C36" s="887"/>
      <c r="D36" s="887"/>
      <c r="E36" s="888"/>
      <c r="F36" s="33"/>
      <c r="G36" s="872"/>
      <c r="H36" s="864"/>
      <c r="I36" s="864"/>
      <c r="J36" s="864"/>
      <c r="K36" s="864"/>
      <c r="L36" s="865"/>
    </row>
    <row r="37" spans="1:12">
      <c r="A37" s="868"/>
      <c r="B37" s="886"/>
      <c r="C37" s="887"/>
      <c r="D37" s="887"/>
      <c r="E37" s="888"/>
      <c r="F37" s="33"/>
      <c r="G37" s="872"/>
      <c r="H37" s="864"/>
      <c r="I37" s="864"/>
      <c r="J37" s="864"/>
      <c r="K37" s="864"/>
      <c r="L37" s="865"/>
    </row>
    <row r="38" spans="1:12">
      <c r="A38" s="868"/>
      <c r="B38" s="886"/>
      <c r="C38" s="887"/>
      <c r="D38" s="887"/>
      <c r="E38" s="888"/>
      <c r="F38" s="33"/>
      <c r="G38" s="872"/>
      <c r="H38" s="864"/>
      <c r="I38" s="864"/>
      <c r="J38" s="864"/>
      <c r="K38" s="864"/>
      <c r="L38" s="865"/>
    </row>
    <row r="39" spans="1:12">
      <c r="A39" s="868"/>
      <c r="B39" s="886"/>
      <c r="C39" s="887"/>
      <c r="D39" s="887"/>
      <c r="E39" s="888"/>
      <c r="F39" s="33"/>
      <c r="G39" s="872"/>
      <c r="H39" s="864"/>
      <c r="I39" s="864"/>
      <c r="J39" s="864"/>
      <c r="K39" s="864"/>
      <c r="L39" s="865"/>
    </row>
    <row r="40" spans="1:12">
      <c r="A40" s="868"/>
      <c r="B40" s="886"/>
      <c r="C40" s="887"/>
      <c r="D40" s="887"/>
      <c r="E40" s="888"/>
      <c r="F40" s="33"/>
      <c r="G40" s="872"/>
      <c r="H40" s="864"/>
      <c r="I40" s="864"/>
      <c r="J40" s="864"/>
      <c r="K40" s="864"/>
      <c r="L40" s="865"/>
    </row>
    <row r="41" spans="1:12">
      <c r="A41" s="868"/>
      <c r="B41" s="886"/>
      <c r="C41" s="887"/>
      <c r="D41" s="887"/>
      <c r="E41" s="888"/>
      <c r="F41" s="33"/>
      <c r="G41" s="872"/>
      <c r="H41" s="864"/>
      <c r="I41" s="864"/>
      <c r="J41" s="864"/>
      <c r="K41" s="864"/>
      <c r="L41" s="865"/>
    </row>
    <row r="42" spans="1:12">
      <c r="A42" s="868"/>
      <c r="B42" s="886"/>
      <c r="C42" s="887"/>
      <c r="D42" s="887"/>
      <c r="E42" s="888"/>
      <c r="F42" s="33"/>
      <c r="G42" s="872"/>
      <c r="H42" s="864"/>
      <c r="I42" s="864"/>
      <c r="J42" s="864"/>
      <c r="K42" s="864"/>
      <c r="L42" s="865"/>
    </row>
    <row r="43" spans="1:12" ht="15.75" thickBot="1">
      <c r="A43" s="869"/>
      <c r="B43" s="889"/>
      <c r="C43" s="890"/>
      <c r="D43" s="890"/>
      <c r="E43" s="891"/>
      <c r="F43" s="33"/>
      <c r="G43" s="878"/>
      <c r="H43" s="879"/>
      <c r="I43" s="879"/>
      <c r="J43" s="879"/>
      <c r="K43" s="879"/>
      <c r="L43" s="909"/>
    </row>
  </sheetData>
  <sheetProtection password="CFC9" sheet="1"/>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10" priority="1" stopIfTrue="1" operator="equal">
      <formula>"C"</formula>
    </cfRule>
    <cfRule type="cellIs" dxfId="9" priority="2" stopIfTrue="1" operator="equal">
      <formula>"B2"</formula>
    </cfRule>
    <cfRule type="cellIs" dxfId="8"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Maka Okrotsvaridze</cp:lastModifiedBy>
  <cp:lastPrinted>2023-06-13T10:44:12Z</cp:lastPrinted>
  <dcterms:created xsi:type="dcterms:W3CDTF">2008-11-20T16:06:13Z</dcterms:created>
  <dcterms:modified xsi:type="dcterms:W3CDTF">2023-06-29T10:09:23Z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