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codeName="ThisWorkbook"/>
  <mc:AlternateContent xmlns:mc="http://schemas.openxmlformats.org/markup-compatibility/2006">
    <mc:Choice Requires="x15">
      <x15ac:absPath xmlns:x15ac="http://schemas.microsoft.com/office/spreadsheetml/2010/11/ac" url="/Users/alexanderasatiani/Desktop/"/>
    </mc:Choice>
  </mc:AlternateContent>
  <xr:revisionPtr revIDLastSave="0" documentId="13_ncr:1_{1BF2C297-929A-9D4A-A7B0-729557846F6D}" xr6:coauthVersionLast="45" xr6:coauthVersionMax="45" xr10:uidLastSave="{00000000-0000-0000-0000-000000000000}"/>
  <bookViews>
    <workbookView xWindow="0" yWindow="500" windowWidth="49740" windowHeight="28300"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Entry'!$B$25:$J$64</definedName>
    <definedName name="PrintDataM">'Data Entry'!$B$66:$H$110</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workbook>
</file>

<file path=xl/calcChain.xml><?xml version="1.0" encoding="utf-8"?>
<calcChain xmlns="http://schemas.openxmlformats.org/spreadsheetml/2006/main">
  <c r="F95" i="29" l="1"/>
  <c r="E95" i="29" l="1"/>
  <c r="C95" i="29"/>
  <c r="K132" i="29" l="1"/>
  <c r="F110" i="29" l="1"/>
  <c r="H110" i="29"/>
  <c r="H109" i="29"/>
  <c r="F109" i="29"/>
  <c r="K126" i="29" l="1"/>
  <c r="K129" i="29" l="1"/>
  <c r="K127" i="29"/>
  <c r="K119" i="29"/>
  <c r="K125" i="29"/>
  <c r="H107" i="29" l="1"/>
  <c r="K123" i="29" l="1"/>
  <c r="K117" i="29"/>
  <c r="J126" i="29" l="1"/>
  <c r="J129" i="29" l="1"/>
  <c r="J127" i="29"/>
  <c r="J125" i="29"/>
  <c r="J123" i="29"/>
  <c r="J119" i="29"/>
  <c r="J117" i="29"/>
  <c r="I129" i="29" l="1"/>
  <c r="I127" i="29"/>
  <c r="I125" i="29"/>
  <c r="I123" i="29"/>
  <c r="I119" i="29"/>
  <c r="I117" i="29"/>
  <c r="D51" i="29" l="1"/>
  <c r="C51" i="29"/>
  <c r="H126" i="29" l="1"/>
  <c r="H120" i="29"/>
  <c r="H129" i="29" l="1"/>
  <c r="H127" i="29"/>
  <c r="H125" i="29"/>
  <c r="H123" i="29"/>
  <c r="H119" i="29"/>
  <c r="H117" i="29"/>
  <c r="C33" i="29" l="1"/>
  <c r="D33" i="29" s="1"/>
  <c r="E33" i="29" s="1"/>
  <c r="F33" i="29" s="1"/>
  <c r="G33" i="29" s="1"/>
  <c r="H33" i="29" s="1"/>
  <c r="I33" i="29" s="1"/>
  <c r="J33" i="29" s="1"/>
  <c r="K33" i="29" s="1"/>
  <c r="L33" i="29" s="1"/>
  <c r="M33" i="29" s="1"/>
  <c r="N33" i="29" s="1"/>
  <c r="C34" i="29"/>
  <c r="D34" i="29"/>
  <c r="E34" i="29" s="1"/>
  <c r="F34" i="29" s="1"/>
  <c r="G34" i="29" s="1"/>
  <c r="H34" i="29" s="1"/>
  <c r="I34" i="29" s="1"/>
  <c r="J34" i="29" s="1"/>
  <c r="K34" i="29" s="1"/>
  <c r="L34" i="29" s="1"/>
  <c r="M34" i="29" s="1"/>
  <c r="N34" i="29" s="1"/>
  <c r="E52" i="29" l="1"/>
  <c r="O143" i="29"/>
  <c r="E24" i="37"/>
  <c r="G28" i="37"/>
  <c r="E108" i="29"/>
  <c r="G108" i="29" s="1"/>
  <c r="I108" i="29" s="1"/>
  <c r="K31" i="35"/>
  <c r="E109" i="29"/>
  <c r="G109" i="29" s="1"/>
  <c r="I109" i="29" s="1"/>
  <c r="K109" i="29" s="1"/>
  <c r="K32" i="35"/>
  <c r="E110" i="29"/>
  <c r="G110" i="29" s="1"/>
  <c r="I110" i="29" s="1"/>
  <c r="K33" i="35"/>
  <c r="E107" i="29"/>
  <c r="G107" i="29" s="1"/>
  <c r="I107" i="29" s="1"/>
  <c r="K107" i="29" s="1"/>
  <c r="K30" i="35"/>
  <c r="C46" i="29"/>
  <c r="H142" i="29"/>
  <c r="E27" i="37"/>
  <c r="C97" i="29"/>
  <c r="D97" i="29" s="1"/>
  <c r="E97" i="29" s="1"/>
  <c r="F97" i="29" s="1"/>
  <c r="G97" i="29" s="1"/>
  <c r="H97" i="29" s="1"/>
  <c r="I97" i="29" s="1"/>
  <c r="J97" i="29" s="1"/>
  <c r="K97" i="29" s="1"/>
  <c r="L97" i="29" s="1"/>
  <c r="M97" i="29" s="1"/>
  <c r="N97" i="29" s="1"/>
  <c r="D46" i="29"/>
  <c r="F20" i="37"/>
  <c r="K144"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9" i="29"/>
  <c r="E88" i="29"/>
  <c r="D11" i="42"/>
  <c r="J3" i="35"/>
  <c r="H7" i="35" s="1"/>
  <c r="L3" i="35"/>
  <c r="I3" i="30"/>
  <c r="K3" i="30"/>
  <c r="B8" i="30" s="1"/>
  <c r="D33" i="42"/>
  <c r="D34" i="42"/>
  <c r="D35" i="42"/>
  <c r="D36" i="42"/>
  <c r="D37" i="42"/>
  <c r="D38" i="42"/>
  <c r="D39" i="42"/>
  <c r="D40" i="42"/>
  <c r="D41" i="42"/>
  <c r="D32" i="42"/>
  <c r="L143" i="29"/>
  <c r="M143" i="29"/>
  <c r="N143" i="29"/>
  <c r="P143" i="29"/>
  <c r="Q143" i="29"/>
  <c r="R143" i="29"/>
  <c r="S143" i="29"/>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M142" i="29"/>
  <c r="N142" i="29"/>
  <c r="O142" i="29"/>
  <c r="P142" i="29"/>
  <c r="Q142" i="29"/>
  <c r="R142" i="29"/>
  <c r="S142" i="29"/>
  <c r="F144" i="29"/>
  <c r="F146" i="29"/>
  <c r="F142" i="29"/>
  <c r="E144" i="29"/>
  <c r="E146" i="29"/>
  <c r="E142" i="29"/>
  <c r="B144" i="29"/>
  <c r="B146" i="29"/>
  <c r="B142" i="29"/>
  <c r="B32" i="29"/>
  <c r="D38" i="29"/>
  <c r="C38" i="29"/>
  <c r="B31" i="29"/>
  <c r="E50"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7" i="29"/>
  <c r="K146" i="29"/>
  <c r="K145" i="29"/>
  <c r="K143" i="29"/>
  <c r="K142" i="29"/>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9" i="29"/>
  <c r="D99" i="29" s="1"/>
  <c r="E99" i="29" s="1"/>
  <c r="F99" i="29" s="1"/>
  <c r="G99" i="29" s="1"/>
  <c r="H99" i="29" s="1"/>
  <c r="I99" i="29" s="1"/>
  <c r="J99" i="29" s="1"/>
  <c r="K99" i="29" s="1"/>
  <c r="L99" i="29" s="1"/>
  <c r="M99" i="29" s="1"/>
  <c r="N99" i="29" s="1"/>
  <c r="C98" i="29"/>
  <c r="D98" i="29" s="1"/>
  <c r="E98" i="29" s="1"/>
  <c r="F98" i="29" s="1"/>
  <c r="G98" i="29" s="1"/>
  <c r="H98" i="29" s="1"/>
  <c r="I98" i="29" s="1"/>
  <c r="J98" i="29" s="1"/>
  <c r="K98" i="29" s="1"/>
  <c r="L98" i="29" s="1"/>
  <c r="M98" i="29" s="1"/>
  <c r="N98" i="29" s="1"/>
  <c r="E78" i="29"/>
  <c r="D5" i="35"/>
  <c r="E4" i="35"/>
  <c r="K5" i="35"/>
  <c r="J4" i="35"/>
  <c r="D5" i="37"/>
  <c r="P5" i="37"/>
  <c r="P4" i="37"/>
  <c r="O3" i="37"/>
  <c r="J5" i="30"/>
  <c r="D5" i="30"/>
  <c r="I4" i="30"/>
  <c r="E4" i="30"/>
  <c r="L8" i="37"/>
  <c r="F8" i="37"/>
  <c r="B8" i="37"/>
  <c r="L142" i="29"/>
  <c r="J147" i="29"/>
  <c r="J146" i="29"/>
  <c r="J145" i="29"/>
  <c r="J144" i="29"/>
  <c r="J143" i="29"/>
  <c r="J142" i="29"/>
  <c r="I147" i="29"/>
  <c r="I146" i="29"/>
  <c r="I145" i="29"/>
  <c r="I144" i="29"/>
  <c r="I143" i="29"/>
  <c r="I142" i="29"/>
  <c r="H147" i="29"/>
  <c r="H146" i="29"/>
  <c r="H145" i="29"/>
  <c r="H144" i="29"/>
  <c r="H143" i="29"/>
  <c r="B26" i="37"/>
  <c r="B25" i="37"/>
  <c r="B24" i="37"/>
  <c r="B23" i="37"/>
  <c r="S141" i="29"/>
  <c r="R141" i="29"/>
  <c r="Q141" i="29"/>
  <c r="P141" i="29"/>
  <c r="O141" i="29"/>
  <c r="B22" i="37"/>
  <c r="B21" i="37"/>
  <c r="B20" i="37"/>
  <c r="E54" i="29"/>
  <c r="B27" i="37"/>
  <c r="N141" i="29"/>
  <c r="M141" i="29"/>
  <c r="L141" i="29"/>
  <c r="K141" i="29"/>
  <c r="J141" i="29"/>
  <c r="I141" i="29"/>
  <c r="H141" i="29"/>
  <c r="B36" i="39"/>
  <c r="B34" i="39"/>
  <c r="E53"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R30" i="29"/>
  <c r="E20" i="37"/>
  <c r="D30" i="42"/>
  <c r="D31" i="42"/>
  <c r="D29" i="42"/>
  <c r="B15" i="35" l="1"/>
  <c r="H15" i="35"/>
  <c r="H26" i="35"/>
  <c r="B7" i="35"/>
  <c r="H22" i="30"/>
  <c r="B3" i="32"/>
  <c r="H8" i="30"/>
  <c r="B22" i="30"/>
  <c r="E51" i="29"/>
  <c r="G20" i="37"/>
  <c r="G22" i="37"/>
  <c r="G24" i="37"/>
  <c r="G27" i="37"/>
  <c r="G26" i="37"/>
  <c r="J33" i="35"/>
  <c r="L33" i="35" s="1"/>
  <c r="K110" i="29"/>
  <c r="K108" i="29"/>
  <c r="J31" i="35"/>
  <c r="L31" i="35" s="1"/>
  <c r="G21" i="37"/>
  <c r="G23" i="37"/>
  <c r="G25" i="37"/>
  <c r="E35" i="29"/>
  <c r="R31" i="29"/>
  <c r="J32" i="35"/>
  <c r="L32" i="35" s="1"/>
  <c r="J30" i="35"/>
  <c r="L30" i="35" s="1"/>
  <c r="D35" i="29"/>
  <c r="F35" i="29" l="1"/>
  <c r="R32" i="29"/>
  <c r="G35" i="29" l="1"/>
  <c r="R33" i="29"/>
  <c r="R34" i="29" l="1"/>
  <c r="H35" i="29"/>
  <c r="I35" i="29" l="1"/>
  <c r="R35" i="29"/>
  <c r="J35" i="29" l="1"/>
  <c r="R49" i="29" l="1"/>
  <c r="K35" i="29"/>
  <c r="F46" i="29"/>
  <c r="L35" i="29" l="1"/>
  <c r="M35" i="29" l="1"/>
  <c r="Q50"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Alexander Asatiani</author>
  </authors>
  <commentList>
    <comment ref="B30" authorId="0" shapeId="0" xr:uid="{00000000-0006-0000-0200-000001000000}">
      <text>
        <r>
          <rPr>
            <sz val="8"/>
            <color rgb="FF000000"/>
            <rFont val="Tahoma"/>
            <family val="2"/>
          </rPr>
          <t>To define your periods (eg. P1, P2, P3 etc or P9, P10, P11 etc) you need to unprotect the cells.</t>
        </r>
      </text>
    </comment>
    <comment ref="B71" authorId="1" shapeId="0" xr:uid="{00000000-0006-0000-0200-000002000000}">
      <text>
        <r>
          <rPr>
            <b/>
            <sz val="8"/>
            <color indexed="81"/>
            <rFont val="Tahoma"/>
            <family val="2"/>
          </rPr>
          <t xml:space="preserve">If data are not available, do not enter zeros; rather, leave the cells in the table blank. </t>
        </r>
      </text>
    </comment>
    <comment ref="B72" authorId="1" shapeId="0" xr:uid="{00000000-0006-0000-0200-000003000000}">
      <text>
        <r>
          <rPr>
            <b/>
            <sz val="8"/>
            <color indexed="81"/>
            <rFont val="Tahoma"/>
            <family val="2"/>
          </rPr>
          <t>If data are not available, do not enter zeros; rather, leave the cells in this table blank.</t>
        </r>
      </text>
    </comment>
    <comment ref="B78" authorId="0" shapeId="0" xr:uid="{00000000-0006-0000-0200-000004000000}">
      <text>
        <r>
          <rPr>
            <sz val="8"/>
            <color indexed="81"/>
            <rFont val="Tahoma"/>
            <family val="2"/>
          </rPr>
          <t xml:space="preserve">If data are not available, do not enter zeros; rather, leave the cells in this table blank. </t>
        </r>
      </text>
    </comment>
    <comment ref="B93" authorId="0" shapeId="0" xr:uid="{00000000-0006-0000-0200-000005000000}">
      <text>
        <r>
          <rPr>
            <sz val="8"/>
            <color indexed="81"/>
            <rFont val="Tahoma"/>
            <family val="2"/>
          </rPr>
          <t>To define your periods (eg. P1, P2, P3 etc or P9, P10, P11 etc) you need to unprotect the cells.</t>
        </r>
      </text>
    </comment>
    <comment ref="H132" authorId="2" shapeId="0" xr:uid="{00000000-0006-0000-0200-000006000000}">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List>
</comments>
</file>

<file path=xl/sharedStrings.xml><?xml version="1.0" encoding="utf-8"?>
<sst xmlns="http://schemas.openxmlformats.org/spreadsheetml/2006/main" count="604" uniqueCount="457">
  <si>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</si>
  <si>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</si>
  <si>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</si>
  <si>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</si>
  <si>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</si>
  <si>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</si>
  <si>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</si>
  <si>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</si>
  <si>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</si>
  <si>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</si>
  <si>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</si>
  <si>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</si>
  <si>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</si>
  <si>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</si>
  <si>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</si>
  <si>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</si>
  <si>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</si>
  <si>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</si>
  <si>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</si>
  <si>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</si>
  <si>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</si>
  <si>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</si>
  <si>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</si>
  <si>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</si>
  <si>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</si>
  <si>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</si>
  <si>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</si>
  <si>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</si>
  <si>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</si>
  <si>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</si>
  <si>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</si>
  <si>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</si>
  <si>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</si>
  <si>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</si>
  <si>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</si>
  <si>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</si>
  <si>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</si>
  <si>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</si>
  <si>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</si>
  <si>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</si>
  <si>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</si>
  <si>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</si>
  <si>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</si>
  <si>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</si>
  <si>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</si>
  <si>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</si>
  <si>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</si>
  <si>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</si>
  <si>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</si>
  <si>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</si>
  <si>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</si>
  <si>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</si>
  <si>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</si>
  <si>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</si>
  <si>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</si>
  <si>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</si>
  <si>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</si>
  <si>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</si>
  <si>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</si>
  <si>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</si>
  <si>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</si>
  <si>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</si>
  <si>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</si>
  <si>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</si>
  <si>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</si>
  <si>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</si>
  <si>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</si>
  <si>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</si>
  <si>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</si>
  <si>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</si>
  <si>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</si>
  <si>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</si>
  <si>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</si>
  <si>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</si>
  <si>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</si>
  <si>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</si>
  <si>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</si>
  <si>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</si>
  <si>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</si>
  <si>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</si>
  <si>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</si>
  <si>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</si>
  <si>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</si>
  <si>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</si>
  <si>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</si>
  <si>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</si>
  <si>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</si>
  <si>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</si>
  <si>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</si>
  <si>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</si>
  <si>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</si>
  <si>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</si>
  <si>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</si>
  <si>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</si>
  <si>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</si>
  <si>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</si>
  <si>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</si>
  <si>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</si>
  <si>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</si>
  <si>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</si>
  <si>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</si>
  <si>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</si>
  <si>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</si>
  <si>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</si>
  <si>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</si>
  <si>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</si>
  <si>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</si>
  <si>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</si>
  <si>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</si>
  <si>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</si>
  <si>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</si>
  <si>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</si>
  <si>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</si>
  <si>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</si>
  <si>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</si>
  <si>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</si>
  <si>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</si>
  <si>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</si>
  <si>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</si>
  <si>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</si>
  <si>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</si>
  <si>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</si>
  <si>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</si>
  <si>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</si>
  <si>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</si>
  <si>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</si>
  <si>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</si>
  <si>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</si>
  <si>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</si>
  <si>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</si>
  <si>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</si>
  <si>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</si>
  <si>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</si>
  <si>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</si>
  <si>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</si>
  <si>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</si>
  <si>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</si>
  <si>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</si>
  <si>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</si>
  <si>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</si>
  <si>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</si>
  <si>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</si>
  <si>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</si>
  <si>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</si>
  <si>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</si>
  <si>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</si>
  <si>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</si>
  <si>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</si>
  <si>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</si>
  <si>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</si>
  <si>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</si>
  <si>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</si>
  <si>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</si>
  <si>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</si>
  <si>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</si>
  <si>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</si>
  <si>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</si>
  <si>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</si>
  <si>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</si>
  <si>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</si>
  <si>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</si>
  <si>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</si>
  <si>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</si>
  <si>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</si>
  <si>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</si>
  <si>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</si>
  <si>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</si>
  <si>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</si>
  <si>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</si>
  <si>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</si>
  <si>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</si>
  <si>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</si>
  <si>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</si>
  <si>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</si>
  <si>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</si>
  <si>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</si>
  <si>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</si>
  <si>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</si>
  <si>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</si>
  <si>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</si>
  <si>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</si>
  <si>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</si>
  <si>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</si>
  <si>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</si>
  <si>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</si>
  <si>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</si>
  <si>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</si>
  <si>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</si>
  <si>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</si>
  <si>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</si>
  <si>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</si>
  <si>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</si>
  <si>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</si>
  <si>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</si>
  <si>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</si>
  <si>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</si>
  <si>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</si>
  <si>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</si>
  <si>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</si>
  <si>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</si>
  <si>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</si>
  <si>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</si>
  <si>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</si>
  <si>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</si>
  <si>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</si>
  <si>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</si>
  <si>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</si>
  <si>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</si>
  <si>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</si>
  <si>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</si>
  <si>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</si>
  <si>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</si>
  <si>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</si>
  <si>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</si>
  <si>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</si>
  <si>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</si>
  <si>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</si>
  <si>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</si>
  <si>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</si>
  <si>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</si>
  <si>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</si>
  <si>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</si>
  <si>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</si>
  <si>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</si>
  <si>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</si>
  <si>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</si>
  <si>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</si>
  <si>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</si>
  <si>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</si>
  <si>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</si>
  <si>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</si>
  <si>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</si>
  <si>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</si>
  <si>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</si>
  <si>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</si>
  <si>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</si>
  <si>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</si>
  <si>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</si>
  <si>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</si>
  <si>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</si>
  <si>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</si>
  <si>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</si>
  <si>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</si>
  <si>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</si>
  <si>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</si>
  <si>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</si>
  <si>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</si>
  <si>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</si>
  <si>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</si>
  <si>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</si>
  <si>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</si>
  <si>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</si>
  <si>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</si>
  <si>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</si>
  <si>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</si>
  <si>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</si>
  <si>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</si>
  <si>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</si>
  <si>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</si>
  <si>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</si>
  <si>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</si>
  <si>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</si>
  <si>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</si>
  <si>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</si>
  <si>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</si>
  <si>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</si>
  <si>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</si>
  <si>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</si>
  <si>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</si>
  <si>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</si>
  <si>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</si>
  <si>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</si>
  <si>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</si>
  <si>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</si>
  <si>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</si>
  <si>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</si>
  <si>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</si>
  <si>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</si>
  <si>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</si>
  <si>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</si>
  <si>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</si>
  <si>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</si>
  <si>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</si>
  <si>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</si>
  <si>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</si>
  <si>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</si>
  <si>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</si>
  <si>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</si>
  <si>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</si>
  <si>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</si>
  <si>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</si>
  <si>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</si>
  <si>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</si>
  <si>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</si>
  <si>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</si>
  <si>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</si>
  <si>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</si>
  <si>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</si>
  <si>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</si>
  <si>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</si>
  <si>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</si>
  <si>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</si>
  <si>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</si>
  <si>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</si>
  <si>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</si>
  <si>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</si>
  <si>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</si>
  <si>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</si>
  <si>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</si>
  <si>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</si>
  <si>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</si>
  <si>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</si>
  <si>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</si>
  <si>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</si>
  <si>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</si>
  <si>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</si>
  <si>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</si>
  <si>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</si>
  <si>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</si>
  <si>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</si>
  <si>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</si>
  <si>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</si>
  <si>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</si>
  <si>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</si>
  <si>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</si>
  <si>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</si>
  <si>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</si>
  <si>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</si>
  <si>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</si>
  <si>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</si>
  <si>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</si>
  <si>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</si>
  <si>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</si>
  <si>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</si>
  <si>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</si>
  <si>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</si>
  <si>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</si>
  <si>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</si>
  <si>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</si>
  <si>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</si>
  <si>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</si>
  <si>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</si>
  <si>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</si>
  <si>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</si>
  <si>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</si>
  <si>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</si>
  <si>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</si>
  <si>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</si>
  <si>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</si>
  <si>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</si>
  <si>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</si>
  <si>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</si>
  <si>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</si>
  <si>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</si>
  <si>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</si>
  <si>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</si>
  <si>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</si>
  <si>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</si>
  <si>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</si>
  <si>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</si>
  <si>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</si>
  <si>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</si>
  <si>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</si>
  <si>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</si>
  <si>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</si>
  <si>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</si>
  <si>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</si>
  <si>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</si>
  <si>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</si>
  <si>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</si>
  <si>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</si>
  <si>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</si>
  <si>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</si>
  <si>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</si>
  <si>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</si>
  <si>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</si>
  <si>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</si>
  <si>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</si>
  <si>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</si>
  <si>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</si>
  <si>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</si>
  <si>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</si>
  <si>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</si>
  <si>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</si>
  <si>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</si>
  <si>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</si>
  <si>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</si>
  <si>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</si>
  <si>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</si>
  <si>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</si>
  <si>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</si>
  <si>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</si>
  <si>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</si>
  <si>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</si>
  <si>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</si>
  <si>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</si>
  <si>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</si>
  <si>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</si>
  <si>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</si>
  <si>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</si>
  <si>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</si>
  <si>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</si>
  <si>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</si>
  <si>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</si>
  <si>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</si>
  <si>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</si>
  <si>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</si>
  <si>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</si>
  <si>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</si>
  <si>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</si>
  <si>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</si>
  <si>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</si>
  <si>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</si>
  <si>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</si>
  <si>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</si>
  <si>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</si>
  <si>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</si>
  <si>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</si>
  <si>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</si>
  <si>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</si>
  <si>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</si>
  <si>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</si>
  <si>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</si>
  <si>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</si>
  <si>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</si>
  <si>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</si>
  <si>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</si>
  <si>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</si>
  <si>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</si>
  <si>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</si>
  <si>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</si>
  <si>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</si>
  <si>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</si>
  <si>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</si>
  <si>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</si>
  <si>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</si>
  <si>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</si>
  <si>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 xml:space="preserve"> Percentage of individuals receiving Opioid Substitution Therapy who received treatment for at least 6 months</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</si>
  <si>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</si>
  <si>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</si>
  <si>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</si>
  <si>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</si>
  <si>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</si>
  <si>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</si>
  <si>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</si>
  <si>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</si>
  <si>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</si>
  <si>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</si>
  <si>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Jan-Mar</t>
  </si>
  <si>
    <t>Apr-June</t>
  </si>
  <si>
    <t>Jul-Sep</t>
  </si>
  <si>
    <t>Condoms (FSW&amp;MSM)</t>
  </si>
  <si>
    <t>Lubricants (FSW&amp;MSM)</t>
  </si>
  <si>
    <t>◆ Zidovudine/Lamivudine Restock in Q4
◆ Codnoms and Lubes Restock by the end of Q3</t>
  </si>
  <si>
    <t>COVID-19 Impact on Key Populations Services</t>
  </si>
  <si>
    <t xml:space="preserve">/Annual Target 
/ Number of enrolled individuals by the end of the Q2 
/ COVID-19 Impact on Key Populations Services					</t>
  </si>
  <si>
    <t>/ Annual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</si>
</sst>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8">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
      <sz val="11"/>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4"/>
        <bgColor indexed="64"/>
      </patternFill>
    </fill>
    <fill>
      <patternFill patternType="solid">
        <fgColor rgb="FFFFFF9A"/>
        <bgColor indexed="64"/>
      </patternFill>
    </fill>
  </fills>
  <borders count="2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5" fillId="0" borderId="0" applyFont="0" applyFill="0" applyBorder="0" applyAlignment="0" applyProtection="0"/>
    <xf numFmtId="43" fontId="1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93">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1" fillId="20" borderId="27"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67" fillId="0" borderId="64"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0" fontId="0" fillId="0" borderId="72"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7" xfId="0" applyNumberFormat="1" applyFont="1" applyFill="1" applyBorder="1" applyAlignment="1" applyProtection="1">
      <protection locked="0"/>
    </xf>
    <xf numFmtId="3" fontId="28" fillId="25" borderId="73"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5"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4" xfId="28" applyNumberFormat="1" applyFont="1" applyFill="1" applyBorder="1" applyAlignment="1" applyProtection="1"/>
    <xf numFmtId="3" fontId="6" fillId="0" borderId="75" xfId="28" applyNumberFormat="1" applyFont="1" applyFill="1" applyBorder="1" applyAlignment="1" applyProtection="1"/>
    <xf numFmtId="165" fontId="14" fillId="19" borderId="76" xfId="0" applyNumberFormat="1" applyFont="1" applyFill="1" applyBorder="1" applyAlignment="1" applyProtection="1">
      <alignment horizontal="center"/>
      <protection locked="0"/>
    </xf>
    <xf numFmtId="165" fontId="14" fillId="19" borderId="77"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78" xfId="0" applyNumberFormat="1" applyFont="1" applyFill="1" applyBorder="1" applyAlignment="1" applyProtection="1">
      <alignment vertical="center" wrapText="1"/>
    </xf>
    <xf numFmtId="0" fontId="91" fillId="0" borderId="79" xfId="0" applyNumberFormat="1" applyFont="1" applyFill="1" applyBorder="1" applyAlignment="1" applyProtection="1">
      <alignment horizontal="center" vertical="center" wrapText="1"/>
    </xf>
    <xf numFmtId="0" fontId="91" fillId="0" borderId="80" xfId="0" applyNumberFormat="1" applyFont="1" applyFill="1" applyBorder="1" applyAlignment="1" applyProtection="1">
      <alignment horizontal="center" vertical="center" wrapText="1"/>
    </xf>
    <xf numFmtId="49" fontId="26" fillId="0" borderId="81" xfId="0" applyNumberFormat="1" applyFont="1" applyFill="1" applyBorder="1" applyAlignment="1" applyProtection="1">
      <alignment wrapText="1"/>
      <protection locked="0"/>
    </xf>
    <xf numFmtId="0" fontId="0" fillId="0" borderId="82" xfId="0" applyBorder="1" applyAlignment="1" applyProtection="1"/>
    <xf numFmtId="49" fontId="0" fillId="0" borderId="10" xfId="0" applyNumberFormat="1" applyBorder="1" applyAlignment="1" applyProtection="1">
      <alignment horizontal="center"/>
      <protection locked="0"/>
    </xf>
    <xf numFmtId="43" fontId="131" fillId="25" borderId="83" xfId="61" applyFill="1" applyBorder="1" applyAlignment="1" applyProtection="1">
      <alignment vertical="center"/>
    </xf>
    <xf numFmtId="0" fontId="0" fillId="22" borderId="84" xfId="0" applyFill="1" applyBorder="1"/>
    <xf numFmtId="0" fontId="0" fillId="0" borderId="20" xfId="0" applyBorder="1" applyProtection="1"/>
    <xf numFmtId="43" fontId="39" fillId="24" borderId="85" xfId="61" applyFont="1" applyFill="1" applyBorder="1" applyAlignment="1" applyProtection="1">
      <alignment horizontal="center" vertical="center"/>
    </xf>
    <xf numFmtId="43" fontId="39" fillId="0" borderId="86" xfId="61" applyFont="1" applyFill="1" applyBorder="1" applyAlignment="1" applyProtection="1">
      <alignment vertical="center"/>
    </xf>
    <xf numFmtId="0" fontId="0" fillId="0" borderId="87" xfId="0" applyNumberFormat="1" applyFill="1" applyBorder="1"/>
    <xf numFmtId="15" fontId="27" fillId="0" borderId="88"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89"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0" xfId="0" applyFont="1" applyFill="1" applyBorder="1" applyAlignment="1" applyProtection="1">
      <alignment horizontal="center" vertical="center" wrapText="1"/>
    </xf>
    <xf numFmtId="0" fontId="77" fillId="0" borderId="91" xfId="0" applyFont="1" applyFill="1" applyBorder="1" applyAlignment="1" applyProtection="1">
      <alignment horizontal="center"/>
    </xf>
    <xf numFmtId="0" fontId="77" fillId="0" borderId="92" xfId="0" applyFont="1" applyFill="1" applyBorder="1" applyAlignment="1" applyProtection="1">
      <alignment horizontal="center"/>
    </xf>
    <xf numFmtId="0" fontId="77" fillId="0" borderId="93"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vertical="center"/>
    </xf>
    <xf numFmtId="0" fontId="77" fillId="0" borderId="95" xfId="0" applyNumberFormat="1" applyFont="1" applyFill="1" applyBorder="1" applyAlignment="1" applyProtection="1">
      <alignment horizontal="center" vertical="center"/>
    </xf>
    <xf numFmtId="0" fontId="81" fillId="0" borderId="96" xfId="0" applyNumberFormat="1" applyFont="1" applyFill="1" applyBorder="1" applyAlignment="1" applyProtection="1">
      <alignment horizontal="center" vertical="center"/>
    </xf>
    <xf numFmtId="0" fontId="81"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89" xfId="0" applyFont="1" applyFill="1" applyBorder="1" applyAlignment="1" applyProtection="1">
      <alignment horizontal="center"/>
    </xf>
    <xf numFmtId="3" fontId="67" fillId="23" borderId="89" xfId="0" applyNumberFormat="1" applyFont="1" applyFill="1" applyBorder="1" applyAlignment="1" applyProtection="1">
      <alignment horizontal="right" vertical="center"/>
      <protection locked="0"/>
    </xf>
    <xf numFmtId="3" fontId="67" fillId="23" borderId="99"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0" xfId="0" applyBorder="1"/>
    <xf numFmtId="0" fontId="0" fillId="0" borderId="59" xfId="0" applyBorder="1" applyAlignment="1" applyProtection="1">
      <alignment horizontal="center" wrapText="1"/>
    </xf>
    <xf numFmtId="3" fontId="1" fillId="0" borderId="100" xfId="28" applyNumberFormat="1" applyFont="1" applyFill="1" applyBorder="1" applyAlignment="1" applyProtection="1">
      <alignment horizontal="right"/>
    </xf>
    <xf numFmtId="3" fontId="0" fillId="0" borderId="100"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1" xfId="0" applyNumberFormat="1" applyFill="1" applyBorder="1" applyProtection="1"/>
    <xf numFmtId="0" fontId="0" fillId="0" borderId="101" xfId="0" applyBorder="1" applyProtection="1"/>
    <xf numFmtId="166" fontId="131" fillId="0" borderId="100"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89" xfId="28" applyNumberFormat="1" applyFont="1" applyFill="1" applyBorder="1" applyAlignment="1" applyProtection="1">
      <alignment horizontal="right" vertical="center"/>
    </xf>
    <xf numFmtId="166" fontId="77" fillId="23" borderId="89"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3" xfId="0" applyFont="1" applyFill="1" applyBorder="1" applyAlignment="1" applyProtection="1">
      <alignment horizontal="center" vertical="center"/>
    </xf>
    <xf numFmtId="0" fontId="77" fillId="38" borderId="104" xfId="0" applyFont="1" applyFill="1" applyBorder="1" applyAlignment="1" applyProtection="1">
      <alignment horizontal="center"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2" fillId="38" borderId="107" xfId="0" applyFont="1" applyFill="1" applyBorder="1" applyAlignment="1" applyProtection="1">
      <alignment horizontal="center"/>
    </xf>
    <xf numFmtId="165" fontId="14" fillId="38" borderId="104" xfId="0" applyNumberFormat="1" applyFont="1" applyFill="1" applyBorder="1" applyAlignment="1" applyProtection="1">
      <alignment horizontal="center"/>
      <protection locked="0"/>
    </xf>
    <xf numFmtId="165" fontId="14" fillId="38" borderId="108" xfId="0" applyNumberFormat="1" applyFont="1" applyFill="1" applyBorder="1" applyAlignment="1" applyProtection="1">
      <alignment horizontal="center"/>
      <protection locked="0"/>
    </xf>
    <xf numFmtId="3" fontId="1" fillId="25" borderId="237" xfId="28" applyNumberFormat="1" applyFont="1" applyFill="1" applyBorder="1" applyAlignment="1" applyProtection="1">
      <alignment horizontal="right" vertical="center"/>
      <protection locked="0"/>
    </xf>
    <xf numFmtId="3" fontId="1" fillId="25" borderId="238" xfId="28" applyNumberFormat="1" applyFont="1" applyFill="1" applyBorder="1" applyAlignment="1" applyProtection="1">
      <alignment horizontal="right" vertical="center"/>
      <protection locked="0"/>
    </xf>
    <xf numFmtId="3" fontId="0" fillId="0" borderId="239" xfId="0" applyNumberFormat="1" applyBorder="1" applyAlignment="1" applyProtection="1">
      <alignment horizontal="right" vertical="center"/>
    </xf>
    <xf numFmtId="0" fontId="0" fillId="0" borderId="102" xfId="0" applyFill="1" applyBorder="1" applyAlignment="1" applyProtection="1">
      <alignment horizontal="center"/>
    </xf>
    <xf numFmtId="0" fontId="14" fillId="0" borderId="141" xfId="0" applyFont="1" applyFill="1" applyBorder="1" applyAlignment="1" applyProtection="1">
      <alignment horizontal="center"/>
    </xf>
    <xf numFmtId="0" fontId="14" fillId="0" borderId="102" xfId="0" applyFont="1" applyFill="1" applyBorder="1" applyAlignment="1" applyProtection="1">
      <alignment horizontal="center"/>
    </xf>
    <xf numFmtId="9" fontId="67" fillId="29" borderId="10" xfId="56" applyFont="1" applyFill="1" applyBorder="1" applyAlignment="1" applyProtection="1">
      <alignment vertical="center"/>
    </xf>
    <xf numFmtId="9" fontId="133" fillId="29" borderId="10" xfId="56" applyFont="1" applyFill="1" applyBorder="1" applyAlignment="1" applyProtection="1">
      <alignment vertical="center"/>
    </xf>
    <xf numFmtId="174" fontId="133"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3" fontId="138" fillId="22" borderId="10" xfId="0" applyNumberFormat="1" applyFont="1" applyFill="1" applyBorder="1" applyAlignment="1" applyProtection="1">
      <alignment vertical="center"/>
    </xf>
    <xf numFmtId="3" fontId="138" fillId="23" borderId="10" xfId="0" applyNumberFormat="1" applyFont="1" applyFill="1" applyBorder="1" applyAlignment="1" applyProtection="1">
      <alignment vertical="center"/>
    </xf>
    <xf numFmtId="3" fontId="138" fillId="29" borderId="10" xfId="0" applyNumberFormat="1" applyFont="1" applyFill="1" applyBorder="1" applyAlignment="1" applyProtection="1">
      <alignment vertical="center"/>
    </xf>
    <xf numFmtId="3" fontId="138" fillId="23" borderId="10" xfId="0" applyNumberFormat="1" applyFont="1" applyFill="1" applyBorder="1" applyAlignment="1" applyProtection="1">
      <alignment horizontal="right" vertical="center"/>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0" xfId="28" applyNumberFormat="1" applyFont="1" applyFill="1" applyBorder="1" applyAlignment="1" applyProtection="1">
      <alignment horizontal="center"/>
    </xf>
    <xf numFmtId="0" fontId="139" fillId="0" borderId="0" xfId="0" applyFont="1" applyBorder="1" applyProtection="1"/>
    <xf numFmtId="0" fontId="139" fillId="0" borderId="0" xfId="0" applyFont="1" applyFill="1" applyBorder="1" applyProtection="1"/>
    <xf numFmtId="0" fontId="139" fillId="0" borderId="0" xfId="0" applyFont="1" applyBorder="1"/>
    <xf numFmtId="0" fontId="140" fillId="0" borderId="0" xfId="0" applyFont="1" applyFill="1" applyBorder="1" applyAlignment="1" applyProtection="1">
      <alignment horizontal="center" vertical="center" wrapText="1"/>
    </xf>
    <xf numFmtId="0" fontId="141" fillId="0" borderId="0" xfId="0" applyFont="1" applyFill="1" applyBorder="1" applyAlignment="1" applyProtection="1">
      <alignment horizontal="center" vertical="center"/>
    </xf>
    <xf numFmtId="0" fontId="139" fillId="0" borderId="0" xfId="0" applyFont="1" applyFill="1" applyBorder="1" applyAlignment="1" applyProtection="1">
      <alignment horizontal="center" vertical="center"/>
    </xf>
    <xf numFmtId="0" fontId="139" fillId="0" borderId="0" xfId="0" applyFont="1" applyBorder="1" applyAlignment="1" applyProtection="1">
      <alignment horizontal="center" vertical="center"/>
    </xf>
    <xf numFmtId="0" fontId="139" fillId="0" borderId="0" xfId="0" applyFont="1" applyBorder="1" applyAlignment="1">
      <alignment horizontal="center" vertical="center"/>
    </xf>
    <xf numFmtId="15" fontId="139" fillId="0" borderId="0" xfId="0" applyNumberFormat="1" applyFont="1" applyFill="1" applyBorder="1" applyAlignment="1" applyProtection="1">
      <alignment horizontal="center" vertical="center"/>
      <protection locked="0"/>
    </xf>
    <xf numFmtId="0" fontId="139"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43" fontId="142" fillId="40" borderId="10" xfId="28" applyFont="1" applyFill="1" applyBorder="1" applyProtection="1">
      <protection locked="0"/>
    </xf>
    <xf numFmtId="166" fontId="142" fillId="40" borderId="10" xfId="28" applyNumberFormat="1" applyFont="1" applyFill="1" applyBorder="1" applyProtection="1">
      <protection locked="0"/>
    </xf>
    <xf numFmtId="166" fontId="142" fillId="40" borderId="10" xfId="28" applyNumberFormat="1" applyFont="1" applyFill="1" applyBorder="1" applyProtection="1"/>
    <xf numFmtId="43" fontId="142" fillId="40" borderId="100" xfId="28" applyNumberFormat="1" applyFont="1" applyFill="1" applyBorder="1" applyProtection="1">
      <protection locked="0"/>
    </xf>
    <xf numFmtId="166" fontId="142" fillId="40" borderId="100" xfId="28" applyNumberFormat="1" applyFont="1" applyFill="1" applyBorder="1" applyProtection="1">
      <protection locked="0"/>
    </xf>
    <xf numFmtId="15" fontId="1" fillId="41" borderId="10" xfId="58" applyNumberFormat="1" applyFont="1" applyFill="1" applyBorder="1" applyAlignment="1" applyProtection="1">
      <alignment horizontal="center"/>
      <protection locked="0"/>
    </xf>
    <xf numFmtId="166" fontId="131" fillId="0" borderId="10" xfId="28" applyNumberFormat="1" applyFont="1" applyFill="1" applyBorder="1" applyAlignment="1" applyProtection="1">
      <alignment horizontal="center"/>
    </xf>
    <xf numFmtId="166" fontId="142" fillId="40" borderId="100" xfId="28" applyNumberFormat="1" applyFont="1" applyFill="1" applyBorder="1" applyProtection="1"/>
    <xf numFmtId="0" fontId="28" fillId="0" borderId="242" xfId="0" applyFont="1" applyFill="1" applyBorder="1" applyAlignment="1" applyProtection="1">
      <alignment horizontal="center" wrapText="1"/>
    </xf>
    <xf numFmtId="0" fontId="28" fillId="0" borderId="243" xfId="0" applyFont="1" applyFill="1" applyBorder="1" applyAlignment="1" applyProtection="1">
      <alignment wrapText="1"/>
    </xf>
    <xf numFmtId="0" fontId="34" fillId="0" borderId="244" xfId="0" applyFont="1" applyFill="1" applyBorder="1" applyAlignment="1" applyProtection="1">
      <alignment horizontal="center" wrapText="1"/>
    </xf>
    <xf numFmtId="0" fontId="28" fillId="0" borderId="244" xfId="0" applyFont="1" applyFill="1" applyBorder="1" applyAlignment="1" applyProtection="1">
      <alignment horizontal="center" wrapText="1"/>
    </xf>
    <xf numFmtId="0" fontId="34" fillId="0" borderId="245" xfId="0" applyFont="1" applyFill="1" applyBorder="1" applyAlignment="1" applyProtection="1">
      <alignment horizontal="center" wrapText="1"/>
    </xf>
    <xf numFmtId="1" fontId="134" fillId="36" borderId="151" xfId="0" applyNumberFormat="1" applyFont="1" applyFill="1" applyBorder="1" applyAlignment="1" applyProtection="1">
      <alignment horizontal="center" vertical="center"/>
    </xf>
    <xf numFmtId="1" fontId="137" fillId="36" borderId="151" xfId="0" applyNumberFormat="1" applyFont="1" applyFill="1" applyBorder="1" applyAlignment="1" applyProtection="1">
      <alignment horizontal="center" vertical="center"/>
    </xf>
    <xf numFmtId="1" fontId="15" fillId="36" borderId="151" xfId="0" applyNumberFormat="1" applyFont="1" applyFill="1" applyBorder="1" applyAlignment="1" applyProtection="1">
      <alignment horizontal="center" vertical="center"/>
    </xf>
    <xf numFmtId="0" fontId="21" fillId="20" borderId="247" xfId="0" applyFont="1" applyFill="1" applyBorder="1" applyAlignment="1" applyProtection="1"/>
    <xf numFmtId="1" fontId="0" fillId="20" borderId="248" xfId="0" applyNumberFormat="1" applyFill="1" applyBorder="1" applyAlignment="1" applyProtection="1">
      <alignment horizontal="center" vertical="center"/>
    </xf>
    <xf numFmtId="1" fontId="0" fillId="0" borderId="248" xfId="0" applyNumberFormat="1" applyBorder="1" applyAlignment="1" applyProtection="1">
      <alignment horizontal="center" vertical="center"/>
    </xf>
    <xf numFmtId="1" fontId="15" fillId="36" borderId="249" xfId="0" applyNumberFormat="1" applyFont="1" applyFill="1" applyBorder="1" applyAlignment="1" applyProtection="1">
      <alignment horizontal="center" vertical="center"/>
    </xf>
    <xf numFmtId="3" fontId="2" fillId="29" borderId="10" xfId="0" applyNumberFormat="1" applyFont="1" applyFill="1" applyBorder="1" applyAlignment="1" applyProtection="1">
      <alignment vertical="center"/>
    </xf>
    <xf numFmtId="3" fontId="2" fillId="23" borderId="10" xfId="0" applyNumberFormat="1" applyFont="1" applyFill="1" applyBorder="1" applyAlignment="1" applyProtection="1">
      <alignment horizontal="right" vertical="center"/>
    </xf>
    <xf numFmtId="3" fontId="2" fillId="22" borderId="10" xfId="0" applyNumberFormat="1" applyFont="1" applyFill="1" applyBorder="1" applyAlignment="1" applyProtection="1">
      <alignment vertical="center"/>
    </xf>
    <xf numFmtId="3" fontId="2" fillId="23" borderId="10" xfId="0" applyNumberFormat="1" applyFont="1" applyFill="1" applyBorder="1" applyAlignment="1" applyProtection="1">
      <alignment vertical="center"/>
    </xf>
    <xf numFmtId="3" fontId="147" fillId="24" borderId="10" xfId="0" applyNumberFormat="1" applyFont="1" applyFill="1" applyBorder="1" applyAlignment="1" applyProtection="1">
      <alignment horizontal="right" wrapText="1"/>
      <protection locked="0"/>
    </xf>
    <xf numFmtId="43" fontId="6" fillId="0" borderId="0" xfId="28" applyFont="1" applyFill="1" applyBorder="1" applyAlignment="1">
      <alignment horizontal="center"/>
    </xf>
    <xf numFmtId="43" fontId="6" fillId="0" borderId="0" xfId="28" applyFont="1" applyFill="1" applyBorder="1" applyAlignment="1" applyProtection="1">
      <alignment horizontal="center"/>
      <protection locked="0"/>
    </xf>
    <xf numFmtId="43" fontId="21" fillId="20" borderId="0" xfId="0" applyNumberFormat="1" applyFont="1" applyFill="1"/>
    <xf numFmtId="43" fontId="21" fillId="20" borderId="0" xfId="28" applyFont="1" applyFill="1"/>
    <xf numFmtId="43" fontId="0" fillId="0" borderId="0" xfId="28" applyFont="1" applyFill="1" applyBorder="1" applyAlignment="1">
      <alignment horizontal="centerContinuous"/>
    </xf>
    <xf numFmtId="43" fontId="0" fillId="0" borderId="0" xfId="28" applyFont="1" applyFill="1" applyBorder="1"/>
    <xf numFmtId="43" fontId="0" fillId="0" borderId="0" xfId="28" applyFont="1"/>
    <xf numFmtId="43" fontId="0" fillId="0" borderId="0" xfId="28" applyFont="1" applyProtection="1"/>
    <xf numFmtId="43" fontId="15" fillId="20" borderId="0" xfId="28" applyFont="1" applyFill="1" applyProtection="1"/>
    <xf numFmtId="3" fontId="6" fillId="0" borderId="0" xfId="0" applyNumberFormat="1" applyFont="1" applyFill="1" applyBorder="1" applyAlignment="1" applyProtection="1">
      <alignment horizontal="centerContinuous"/>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4" xfId="0" applyFont="1" applyBorder="1" applyAlignment="1">
      <alignment horizontal="justify" vertical="center" wrapText="1"/>
    </xf>
    <xf numFmtId="0" fontId="122" fillId="0" borderId="104" xfId="0" applyFont="1" applyBorder="1" applyAlignment="1">
      <alignment horizontal="justify" vertical="center" wrapText="1"/>
    </xf>
    <xf numFmtId="0" fontId="122" fillId="0" borderId="106"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63" fillId="0" borderId="64"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6"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0" xfId="0" applyNumberFormat="1"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88" fillId="0" borderId="64" xfId="0" applyFont="1" applyBorder="1" applyAlignment="1">
      <alignment horizontal="left" vertical="center" wrapText="1"/>
    </xf>
    <xf numFmtId="0" fontId="88" fillId="0" borderId="104" xfId="0" applyFont="1" applyBorder="1" applyAlignment="1">
      <alignment horizontal="left" vertical="center" wrapText="1"/>
    </xf>
    <xf numFmtId="0" fontId="88" fillId="0" borderId="106"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0" xfId="0" applyFont="1" applyBorder="1" applyAlignment="1">
      <alignment horizontal="justify" wrapText="1"/>
    </xf>
    <xf numFmtId="0" fontId="63" fillId="0" borderId="109" xfId="0" applyFont="1" applyBorder="1" applyAlignment="1">
      <alignment horizontal="justify" wrapText="1"/>
    </xf>
    <xf numFmtId="0" fontId="63" fillId="0" borderId="111" xfId="0" applyFont="1" applyBorder="1" applyAlignment="1">
      <alignment horizontal="justify" wrapText="1"/>
    </xf>
    <xf numFmtId="0" fontId="89" fillId="0" borderId="64" xfId="0" applyFont="1" applyBorder="1" applyAlignment="1">
      <alignment horizontal="justify" vertical="center" wrapText="1"/>
    </xf>
    <xf numFmtId="0" fontId="89" fillId="0" borderId="104" xfId="0" applyFont="1" applyBorder="1" applyAlignment="1">
      <alignment horizontal="justify" vertical="center" wrapText="1"/>
    </xf>
    <xf numFmtId="0" fontId="89" fillId="0" borderId="106"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09" xfId="0" applyBorder="1" applyAlignment="1">
      <alignment horizontal="center"/>
    </xf>
    <xf numFmtId="0" fontId="0" fillId="0" borderId="109"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2" xfId="0" applyFill="1" applyBorder="1" applyAlignment="1" applyProtection="1">
      <alignment horizontal="center" vertical="center" textRotation="90"/>
    </xf>
    <xf numFmtId="43" fontId="14" fillId="0" borderId="143" xfId="0" applyNumberFormat="1" applyFont="1" applyBorder="1" applyAlignment="1" applyProtection="1">
      <alignment horizontal="center"/>
    </xf>
    <xf numFmtId="0" fontId="14" fillId="0" borderId="144" xfId="0" applyFont="1" applyBorder="1" applyAlignment="1" applyProtection="1">
      <alignment horizontal="center"/>
    </xf>
    <xf numFmtId="0" fontId="14" fillId="0" borderId="145" xfId="0" applyFont="1" applyBorder="1" applyAlignment="1" applyProtection="1">
      <alignment horizontal="center"/>
    </xf>
    <xf numFmtId="49" fontId="2" fillId="22" borderId="119" xfId="0" applyNumberFormat="1" applyFont="1" applyFill="1" applyBorder="1" applyAlignment="1" applyProtection="1">
      <alignment horizontal="left" vertical="center" wrapText="1"/>
      <protection locked="0"/>
    </xf>
    <xf numFmtId="49" fontId="67" fillId="22" borderId="107" xfId="0" applyNumberFormat="1" applyFont="1" applyFill="1" applyBorder="1" applyAlignment="1" applyProtection="1">
      <alignment horizontal="left" vertical="center" wrapText="1"/>
      <protection locked="0"/>
    </xf>
    <xf numFmtId="49" fontId="67" fillId="22" borderId="64" xfId="0" applyNumberFormat="1" applyFont="1" applyFill="1" applyBorder="1" applyAlignment="1" applyProtection="1">
      <alignment horizontal="left" vertical="center" wrapText="1"/>
      <protection locked="0"/>
    </xf>
    <xf numFmtId="49" fontId="67" fillId="22" borderId="146"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67" fillId="22" borderId="118" xfId="0" applyNumberFormat="1" applyFont="1" applyFill="1" applyBorder="1" applyAlignment="1" applyProtection="1">
      <alignment horizontal="center" vertical="center" wrapText="1"/>
      <protection locked="0"/>
    </xf>
    <xf numFmtId="49" fontId="67" fillId="22" borderId="119" xfId="0" applyNumberFormat="1" applyFont="1" applyFill="1" applyBorder="1" applyAlignment="1" applyProtection="1">
      <alignment horizontal="center" vertical="center" wrapText="1"/>
      <protection locked="0"/>
    </xf>
    <xf numFmtId="49" fontId="2" fillId="23" borderId="146"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6" xfId="0" applyNumberFormat="1" applyFont="1" applyFill="1" applyBorder="1" applyAlignment="1" applyProtection="1">
      <alignment horizontal="left" vertical="center" wrapText="1"/>
      <protection locked="0"/>
    </xf>
    <xf numFmtId="49" fontId="2" fillId="22" borderId="146"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1"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0"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27" borderId="138"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39" xfId="0" applyFont="1" applyFill="1" applyBorder="1" applyAlignment="1" applyProtection="1">
      <alignment horizontal="left" vertical="center" wrapText="1"/>
    </xf>
    <xf numFmtId="49" fontId="2" fillId="23" borderId="126" xfId="0" applyNumberFormat="1" applyFont="1" applyFill="1" applyBorder="1" applyAlignment="1" applyProtection="1">
      <alignment horizontal="left" vertical="center" wrapText="1"/>
      <protection locked="0"/>
    </xf>
    <xf numFmtId="49" fontId="67" fillId="23" borderId="109" xfId="0" applyNumberFormat="1" applyFont="1" applyFill="1" applyBorder="1" applyAlignment="1" applyProtection="1">
      <alignment horizontal="left" vertical="center" wrapText="1"/>
      <protection locked="0"/>
    </xf>
    <xf numFmtId="49" fontId="67" fillId="23" borderId="127"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04" xfId="0" applyNumberFormat="1" applyFont="1" applyFill="1" applyBorder="1" applyAlignment="1" applyProtection="1">
      <alignment horizontal="left" vertical="center" wrapText="1"/>
      <protection locked="0"/>
    </xf>
    <xf numFmtId="49" fontId="67" fillId="23" borderId="108" xfId="0" applyNumberFormat="1" applyFont="1" applyFill="1" applyBorder="1" applyAlignment="1" applyProtection="1">
      <alignment horizontal="left" vertical="center" wrapText="1"/>
      <protection locked="0"/>
    </xf>
    <xf numFmtId="49" fontId="2" fillId="34" borderId="126" xfId="0" applyNumberFormat="1" applyFont="1" applyFill="1" applyBorder="1" applyAlignment="1" applyProtection="1">
      <alignment horizontal="left" vertical="center" wrapText="1"/>
      <protection locked="0"/>
    </xf>
    <xf numFmtId="49" fontId="67" fillId="34" borderId="109" xfId="0" applyNumberFormat="1" applyFont="1" applyFill="1" applyBorder="1" applyAlignment="1" applyProtection="1">
      <alignment horizontal="left" vertical="center" wrapText="1"/>
      <protection locked="0"/>
    </xf>
    <xf numFmtId="49" fontId="67" fillId="34" borderId="127"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04" xfId="0" applyNumberFormat="1" applyFont="1" applyFill="1" applyBorder="1" applyAlignment="1" applyProtection="1">
      <alignment horizontal="left" vertical="center" wrapText="1"/>
      <protection locked="0"/>
    </xf>
    <xf numFmtId="49" fontId="67" fillId="34" borderId="108" xfId="0" applyNumberFormat="1" applyFont="1" applyFill="1" applyBorder="1" applyAlignment="1" applyProtection="1">
      <alignment horizontal="left" vertical="center" wrapText="1"/>
      <protection locked="0"/>
    </xf>
    <xf numFmtId="49" fontId="2" fillId="23" borderId="109" xfId="0" applyNumberFormat="1" applyFont="1" applyFill="1" applyBorder="1" applyAlignment="1" applyProtection="1">
      <alignment horizontal="left" vertical="center" wrapText="1"/>
      <protection locked="0"/>
    </xf>
    <xf numFmtId="49" fontId="2" fillId="23" borderId="127"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04" xfId="0" applyNumberFormat="1" applyFont="1" applyFill="1" applyBorder="1" applyAlignment="1" applyProtection="1">
      <alignment horizontal="left" vertical="center" wrapText="1"/>
      <protection locked="0"/>
    </xf>
    <xf numFmtId="49" fontId="2" fillId="23" borderId="108" xfId="0" applyNumberFormat="1" applyFont="1" applyFill="1" applyBorder="1" applyAlignment="1" applyProtection="1">
      <alignment horizontal="left" vertical="center" wrapText="1"/>
      <protection locked="0"/>
    </xf>
    <xf numFmtId="49" fontId="133" fillId="34" borderId="126" xfId="0" applyNumberFormat="1" applyFont="1" applyFill="1" applyBorder="1" applyAlignment="1" applyProtection="1">
      <alignment horizontal="left" vertical="center" wrapText="1"/>
      <protection locked="0"/>
    </xf>
    <xf numFmtId="49" fontId="133" fillId="34" borderId="109" xfId="0" applyNumberFormat="1" applyFont="1" applyFill="1" applyBorder="1" applyAlignment="1" applyProtection="1">
      <alignment horizontal="left" vertical="center" wrapText="1"/>
      <protection locked="0"/>
    </xf>
    <xf numFmtId="49" fontId="133" fillId="34" borderId="127" xfId="0" applyNumberFormat="1" applyFont="1" applyFill="1" applyBorder="1" applyAlignment="1" applyProtection="1">
      <alignment horizontal="left" vertical="center" wrapText="1"/>
      <protection locked="0"/>
    </xf>
    <xf numFmtId="49" fontId="133" fillId="34" borderId="103" xfId="0" applyNumberFormat="1" applyFont="1" applyFill="1" applyBorder="1" applyAlignment="1" applyProtection="1">
      <alignment horizontal="left" vertical="center" wrapText="1"/>
      <protection locked="0"/>
    </xf>
    <xf numFmtId="49" fontId="133" fillId="34" borderId="104" xfId="0" applyNumberFormat="1" applyFont="1" applyFill="1" applyBorder="1" applyAlignment="1" applyProtection="1">
      <alignment horizontal="left" vertical="center" wrapText="1"/>
      <protection locked="0"/>
    </xf>
    <xf numFmtId="49" fontId="133" fillId="34" borderId="108"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0" xfId="0" applyBorder="1" applyAlignment="1" applyProtection="1">
      <alignment horizontal="center"/>
    </xf>
    <xf numFmtId="0" fontId="0" fillId="0" borderId="21" xfId="0" applyBorder="1" applyAlignment="1" applyProtection="1">
      <alignment horizontal="center"/>
    </xf>
    <xf numFmtId="0" fontId="84" fillId="0" borderId="131" xfId="0" applyFont="1" applyBorder="1" applyAlignment="1" applyProtection="1">
      <alignment horizontal="right"/>
    </xf>
    <xf numFmtId="0" fontId="123" fillId="0" borderId="131" xfId="0" applyFont="1" applyBorder="1" applyAlignment="1"/>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0" fillId="0" borderId="134" xfId="0" applyFill="1" applyBorder="1" applyAlignment="1" applyProtection="1">
      <alignment horizontal="center" vertical="center"/>
      <protection locked="0"/>
    </xf>
    <xf numFmtId="49" fontId="67" fillId="23" borderId="118" xfId="0" applyNumberFormat="1" applyFont="1" applyFill="1" applyBorder="1" applyAlignment="1" applyProtection="1">
      <alignment horizontal="center" vertical="center" wrapText="1"/>
      <protection locked="0"/>
    </xf>
    <xf numFmtId="49" fontId="67" fillId="23" borderId="119" xfId="0" applyNumberFormat="1" applyFont="1" applyFill="1" applyBorder="1" applyAlignment="1" applyProtection="1">
      <alignment horizontal="center" vertical="center" wrapText="1"/>
      <protection locked="0"/>
    </xf>
    <xf numFmtId="0" fontId="2" fillId="22" borderId="113" xfId="0" applyNumberFormat="1" applyFont="1" applyFill="1" applyBorder="1" applyAlignment="1" applyProtection="1">
      <alignment horizontal="center" vertical="center" wrapText="1"/>
      <protection locked="0"/>
    </xf>
    <xf numFmtId="0" fontId="67" fillId="22" borderId="113"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2"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77" fillId="0" borderId="137" xfId="0" applyFont="1" applyFill="1" applyBorder="1" applyAlignment="1" applyProtection="1">
      <alignment horizontal="center" vertical="center"/>
    </xf>
    <xf numFmtId="9" fontId="33" fillId="0" borderId="115" xfId="56"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49" fontId="2" fillId="23" borderId="118" xfId="0" applyNumberFormat="1" applyFont="1" applyFill="1" applyBorder="1" applyAlignment="1" applyProtection="1">
      <alignment horizontal="center" vertical="center" wrapText="1"/>
      <protection locked="0"/>
    </xf>
    <xf numFmtId="0" fontId="2" fillId="23" borderId="113" xfId="0" applyNumberFormat="1" applyFont="1" applyFill="1" applyBorder="1" applyAlignment="1" applyProtection="1">
      <alignment horizontal="center" vertical="center" wrapText="1"/>
      <protection locked="0"/>
    </xf>
    <xf numFmtId="0" fontId="67" fillId="23" borderId="113" xfId="0" applyNumberFormat="1" applyFont="1" applyFill="1" applyBorder="1" applyAlignment="1" applyProtection="1">
      <alignment horizontal="center" vertical="center" wrapText="1"/>
      <protection locked="0"/>
    </xf>
    <xf numFmtId="0" fontId="0" fillId="33" borderId="120" xfId="0" applyFill="1" applyBorder="1" applyAlignment="1" applyProtection="1">
      <alignment horizontal="center"/>
    </xf>
    <xf numFmtId="0" fontId="0" fillId="33" borderId="121" xfId="0" applyFill="1" applyBorder="1" applyAlignment="1" applyProtection="1">
      <alignment horizontal="center"/>
    </xf>
    <xf numFmtId="0" fontId="0" fillId="33" borderId="122" xfId="0" applyFill="1" applyBorder="1" applyAlignment="1" applyProtection="1">
      <alignment horizontal="center"/>
    </xf>
    <xf numFmtId="0" fontId="67" fillId="0" borderId="113"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0" borderId="112" xfId="0" applyFont="1" applyFill="1" applyBorder="1" applyAlignment="1" applyProtection="1">
      <alignment horizontal="center" vertical="center" wrapText="1"/>
    </xf>
    <xf numFmtId="0" fontId="133" fillId="22" borderId="113" xfId="0" applyNumberFormat="1" applyFont="1" applyFill="1" applyBorder="1" applyAlignment="1" applyProtection="1">
      <alignment horizontal="center" vertical="center" wrapText="1"/>
      <protection locked="0"/>
    </xf>
    <xf numFmtId="0" fontId="133" fillId="22" borderId="45" xfId="0" applyNumberFormat="1" applyFont="1" applyFill="1" applyBorder="1" applyAlignment="1" applyProtection="1">
      <alignment horizontal="center" vertical="center" wrapText="1"/>
      <protection locked="0"/>
    </xf>
    <xf numFmtId="0" fontId="67" fillId="23" borderId="114" xfId="0" applyNumberFormat="1" applyFont="1" applyFill="1" applyBorder="1" applyAlignment="1" applyProtection="1">
      <alignment horizontal="center" vertical="center" wrapText="1"/>
      <protection locked="0"/>
    </xf>
    <xf numFmtId="49" fontId="67" fillId="23" borderId="112" xfId="0" applyNumberFormat="1" applyFont="1" applyFill="1" applyBorder="1" applyAlignment="1" applyProtection="1">
      <alignment horizontal="center" vertical="center" wrapText="1"/>
      <protection locked="0"/>
    </xf>
    <xf numFmtId="0" fontId="67" fillId="0" borderId="103" xfId="0" applyFont="1" applyFill="1" applyBorder="1" applyAlignment="1" applyProtection="1">
      <alignment horizontal="left" vertical="center" wrapText="1"/>
    </xf>
    <xf numFmtId="0" fontId="67" fillId="0" borderId="104" xfId="0" applyFont="1" applyFill="1" applyBorder="1" applyAlignment="1" applyProtection="1">
      <alignment horizontal="left" vertical="center" wrapText="1"/>
    </xf>
    <xf numFmtId="0" fontId="67" fillId="0" borderId="108" xfId="0" applyFont="1" applyFill="1" applyBorder="1" applyAlignment="1" applyProtection="1">
      <alignment horizontal="left" vertical="center" wrapText="1"/>
    </xf>
    <xf numFmtId="0" fontId="67" fillId="0" borderId="123"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49" fontId="67" fillId="23" borderId="126" xfId="0" applyNumberFormat="1" applyFont="1" applyFill="1" applyBorder="1" applyAlignment="1" applyProtection="1">
      <alignment horizontal="left" vertical="center" wrapText="1"/>
      <protection locked="0"/>
    </xf>
    <xf numFmtId="49" fontId="67" fillId="23" borderId="128"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0" fontId="67" fillId="27" borderId="113" xfId="0" applyFont="1" applyFill="1" applyBorder="1" applyAlignment="1" applyProtection="1">
      <alignment horizontal="center" vertical="center" wrapText="1"/>
    </xf>
    <xf numFmtId="0" fontId="2" fillId="23" borderId="113" xfId="0" applyFont="1" applyFill="1" applyBorder="1" applyAlignment="1" applyProtection="1">
      <alignment horizontal="center" vertical="center" wrapText="1"/>
      <protection locked="0"/>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0" xfId="0" applyFont="1" applyFill="1" applyBorder="1" applyAlignment="1" applyProtection="1">
      <alignment horizontal="left" wrapText="1"/>
    </xf>
    <xf numFmtId="0" fontId="118" fillId="0" borderId="151" xfId="0" applyFont="1" applyFill="1" applyBorder="1" applyAlignment="1" applyProtection="1">
      <alignment horizontal="left" wrapText="1"/>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0" xfId="0" applyNumberFormat="1" applyFont="1" applyBorder="1" applyAlignment="1" applyProtection="1">
      <alignment horizontal="center" vertical="center" wrapText="1"/>
    </xf>
    <xf numFmtId="43" fontId="110" fillId="0" borderId="121" xfId="0" applyNumberFormat="1" applyFont="1" applyBorder="1" applyAlignment="1" applyProtection="1">
      <alignment horizontal="center" vertical="center" wrapText="1"/>
    </xf>
    <xf numFmtId="43" fontId="110" fillId="0" borderId="12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3"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0" fontId="0" fillId="0" borderId="24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09"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4"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5"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5" xfId="0" applyFont="1" applyFill="1" applyBorder="1" applyAlignment="1" applyProtection="1">
      <alignment horizontal="center"/>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9" fontId="2" fillId="0" borderId="188" xfId="56" applyNumberFormat="1" applyFont="1" applyFill="1" applyBorder="1" applyAlignment="1" applyProtection="1">
      <alignment horizontal="left" vertical="center" wrapText="1"/>
    </xf>
    <xf numFmtId="0" fontId="2" fillId="0" borderId="177" xfId="56" applyNumberFormat="1" applyFont="1" applyFill="1" applyBorder="1" applyAlignment="1" applyProtection="1">
      <alignment horizontal="left" vertical="center" wrapText="1"/>
    </xf>
    <xf numFmtId="0" fontId="2" fillId="0" borderId="189" xfId="56" applyNumberFormat="1" applyFont="1" applyFill="1" applyBorder="1" applyAlignment="1" applyProtection="1">
      <alignment horizontal="left" vertical="center" wrapText="1"/>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99"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80" fillId="0" borderId="193" xfId="0" applyNumberFormat="1" applyFont="1" applyFill="1" applyBorder="1" applyAlignment="1" applyProtection="1">
      <alignment horizontal="left" vertical="top" wrapText="1"/>
    </xf>
    <xf numFmtId="0" fontId="2" fillId="0" borderId="188"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0" fontId="125" fillId="24" borderId="194" xfId="0" applyFont="1" applyFill="1" applyBorder="1" applyAlignment="1" applyProtection="1">
      <alignment horizontal="center" vertical="center"/>
    </xf>
    <xf numFmtId="0" fontId="125" fillId="24" borderId="195" xfId="0" applyFont="1" applyFill="1" applyBorder="1" applyAlignment="1" applyProtection="1">
      <alignment horizontal="center" vertical="center"/>
    </xf>
    <xf numFmtId="0" fontId="0" fillId="0" borderId="195" xfId="0" applyBorder="1" applyAlignment="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78" fillId="0" borderId="174" xfId="0" applyFont="1" applyFill="1" applyBorder="1" applyAlignment="1" applyProtection="1">
      <alignment horizontal="center"/>
    </xf>
    <xf numFmtId="49" fontId="2" fillId="25" borderId="179"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21" fillId="0" borderId="215"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36"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5"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09" xfId="53"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28"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177"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99" fillId="21" borderId="223" xfId="0" applyFont="1" applyFill="1" applyBorder="1" applyAlignment="1">
      <alignment horizontal="center" vertical="center" textRotation="90"/>
    </xf>
    <xf numFmtId="0" fontId="0" fillId="21" borderId="87" xfId="0" applyFill="1" applyBorder="1" applyAlignment="1">
      <alignment horizontal="center" vertical="center" textRotation="90"/>
    </xf>
    <xf numFmtId="0" fontId="0" fillId="21" borderId="107"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7"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21" fillId="0" borderId="214" xfId="0" applyFont="1" applyFill="1" applyBorder="1" applyAlignment="1" applyProtection="1">
      <alignment horizontal="left" wrapText="1"/>
      <protection locked="0"/>
    </xf>
    <xf numFmtId="0" fontId="0" fillId="22" borderId="110" xfId="0" applyFill="1" applyBorder="1" applyAlignment="1" applyProtection="1">
      <alignment horizontal="center"/>
      <protection locked="0"/>
    </xf>
    <xf numFmtId="0" fontId="0" fillId="22" borderId="109"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86"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77" fillId="21" borderId="222" xfId="53" applyNumberFormat="1" applyFont="1" applyFill="1" applyBorder="1" applyAlignment="1">
      <alignment horizontal="center" vertical="center" wrapText="1"/>
    </xf>
    <xf numFmtId="0" fontId="33" fillId="0" borderId="0" xfId="0" applyFont="1" applyAlignment="1">
      <alignment horizontal="center"/>
    </xf>
    <xf numFmtId="0" fontId="21" fillId="0" borderId="227" xfId="0" applyFont="1" applyFill="1" applyBorder="1" applyAlignment="1" applyProtection="1">
      <alignment horizontal="left"/>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Border="1" applyAlignment="1" applyProtection="1">
      <alignment horizontal="left"/>
      <protection locked="0"/>
    </xf>
    <xf numFmtId="43" fontId="17" fillId="32" borderId="0" xfId="39" applyFont="1" applyFill="1" applyAlignment="1">
      <alignment horizontal="center"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717729.52771723305</c:v>
                </c:pt>
                <c:pt idx="1">
                  <c:v>1702547.4540092666</c:v>
                </c:pt>
                <c:pt idx="2">
                  <c:v>2356897.2811430749</c:v>
                </c:pt>
                <c:pt idx="3">
                  <c:v>3273408.0366011825</c:v>
                </c:pt>
                <c:pt idx="4">
                  <c:v>4293280.9779703738</c:v>
                </c:pt>
                <c:pt idx="5">
                  <c:v>4930032.3111087261</c:v>
                </c:pt>
                <c:pt idx="6">
                  <c:v>5529158.4684332879</c:v>
                </c:pt>
                <c:pt idx="7">
                  <c:v>6729830.128631847</c:v>
                </c:pt>
                <c:pt idx="8">
                  <c:v>7368154.0151762124</c:v>
                </c:pt>
                <c:pt idx="9">
                  <c:v>7913184.949599281</c:v>
                </c:pt>
                <c:pt idx="10">
                  <c:v>8668327.6254981533</c:v>
                </c:pt>
                <c:pt idx="11">
                  <c:v>9348442.7807519436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2351701.87</c:v>
                </c:pt>
                <c:pt idx="3">
                  <c:v>3162772.9000000004</c:v>
                </c:pt>
                <c:pt idx="4">
                  <c:v>3162772.9000000004</c:v>
                </c:pt>
                <c:pt idx="5">
                  <c:v>3162772.9000000004</c:v>
                </c:pt>
                <c:pt idx="6">
                  <c:v>3162772.9000000004</c:v>
                </c:pt>
                <c:pt idx="7">
                  <c:v>3162772.9000000004</c:v>
                </c:pt>
                <c:pt idx="8">
                  <c:v>3162772.9000000004</c:v>
                </c:pt>
                <c:pt idx="9">
                  <c:v>3162772.9000000004</c:v>
                </c:pt>
                <c:pt idx="10">
                  <c:v>3162772.9000000004</c:v>
                </c:pt>
                <c:pt idx="11">
                  <c:v>3162772.9000000004</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304853632"/>
        <c:axId val="-304852544"/>
      </c:barChart>
      <c:catAx>
        <c:axId val="-30485363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04852544"/>
        <c:crosses val="autoZero"/>
        <c:auto val="1"/>
        <c:lblAlgn val="ctr"/>
        <c:lblOffset val="100"/>
        <c:tickLblSkip val="1"/>
        <c:tickMarkSkip val="1"/>
        <c:noMultiLvlLbl val="0"/>
      </c:catAx>
      <c:valAx>
        <c:axId val="-3048525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0485363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val>
            <c:numRef>
              <c:f>'Data Entry'!$H$121:$S$121</c:f>
              <c:numCache>
                <c:formatCode>_(* #,##0_);_(* \(#,##0\);_(* "-"??_);_(@_)</c:formatCode>
                <c:ptCount val="12"/>
                <c:pt idx="0">
                  <c:v>5500</c:v>
                </c:pt>
                <c:pt idx="1">
                  <c:v>5500</c:v>
                </c:pt>
                <c:pt idx="2" formatCode="#,##0">
                  <c:v>6110</c:v>
                </c:pt>
                <c:pt idx="3" formatCode="#,##0">
                  <c:v>6110</c:v>
                </c:pt>
              </c:numCache>
            </c:numRef>
          </c:val>
          <c:extLst>
            <c:ext xmlns:c16="http://schemas.microsoft.com/office/drawing/2014/chart" uri="{C3380CC4-5D6E-409C-BE32-E72D297353CC}">
              <c16:uniqueId val="{00000000-9988-4901-B1D9-331495B7A130}"/>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val>
            <c:numRef>
              <c:f>'Data Entry'!$H$122:$S$122</c:f>
              <c:numCache>
                <c:formatCode>_(* #,##0_);_(* \(#,##0\);_(* "-"??_);_(@_)</c:formatCode>
                <c:ptCount val="12"/>
                <c:pt idx="0">
                  <c:v>4381</c:v>
                </c:pt>
                <c:pt idx="1">
                  <c:v>5098</c:v>
                </c:pt>
                <c:pt idx="2" formatCode="#,##0">
                  <c:v>5210</c:v>
                </c:pt>
                <c:pt idx="3" formatCode="#,##0">
                  <c:v>5245</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23759440"/>
        <c:axId val="-1608640768"/>
      </c:barChart>
      <c:catAx>
        <c:axId val="-123759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608640768"/>
        <c:crosses val="autoZero"/>
        <c:auto val="1"/>
        <c:lblAlgn val="ctr"/>
        <c:lblOffset val="100"/>
        <c:tickLblSkip val="1"/>
        <c:tickMarkSkip val="1"/>
        <c:noMultiLvlLbl val="0"/>
      </c:catAx>
      <c:valAx>
        <c:axId val="-16086407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3759440"/>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_(* #,##0_);_(* \(#,##0\);_(* "-"??_);_(@_)</c:formatCode>
                <c:ptCount val="12"/>
                <c:pt idx="0">
                  <c:v>25593.75</c:v>
                </c:pt>
                <c:pt idx="1">
                  <c:v>34125</c:v>
                </c:pt>
                <c:pt idx="2" formatCode="#,##0">
                  <c:v>8860</c:v>
                </c:pt>
                <c:pt idx="3" formatCode="#,##0">
                  <c:v>17720</c:v>
                </c:pt>
              </c:numCache>
            </c:numRef>
          </c:val>
          <c:extLst>
            <c:ext xmlns:c16="http://schemas.microsoft.com/office/drawing/2014/chart" uri="{C3380CC4-5D6E-409C-BE32-E72D297353CC}">
              <c16:uniqueId val="{00000000-3D57-445C-8E51-0A45B747288A}"/>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23876</c:v>
                </c:pt>
                <c:pt idx="1">
                  <c:v>29403</c:v>
                </c:pt>
                <c:pt idx="2" formatCode="#,##0">
                  <c:v>5241</c:v>
                </c:pt>
                <c:pt idx="3" formatCode="#,##0">
                  <c:v>8847</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48966048"/>
        <c:axId val="48962240"/>
      </c:barChart>
      <c:catAx>
        <c:axId val="48966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8962240"/>
        <c:crosses val="autoZero"/>
        <c:auto val="1"/>
        <c:lblAlgn val="ctr"/>
        <c:lblOffset val="100"/>
        <c:tickLblSkip val="1"/>
        <c:tickMarkSkip val="1"/>
        <c:noMultiLvlLbl val="0"/>
      </c:catAx>
      <c:valAx>
        <c:axId val="4896224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896604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717729.52771723305</c:v>
                </c:pt>
                <c:pt idx="1">
                  <c:v>1702547.4540092666</c:v>
                </c:pt>
                <c:pt idx="2">
                  <c:v>2356897.2811430749</c:v>
                </c:pt>
                <c:pt idx="3">
                  <c:v>3273408.0366011825</c:v>
                </c:pt>
                <c:pt idx="4">
                  <c:v>4293280.9779703738</c:v>
                </c:pt>
                <c:pt idx="5">
                  <c:v>4930032.3111087261</c:v>
                </c:pt>
                <c:pt idx="6">
                  <c:v>5529158.4684332879</c:v>
                </c:pt>
                <c:pt idx="7">
                  <c:v>6729830.128631847</c:v>
                </c:pt>
                <c:pt idx="8">
                  <c:v>7368154.0151762124</c:v>
                </c:pt>
                <c:pt idx="9">
                  <c:v>7913184.949599281</c:v>
                </c:pt>
                <c:pt idx="10">
                  <c:v>8668327.6254981533</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3162772.9000000004</c:v>
                </c:pt>
                <c:pt idx="4">
                  <c:v>3162772.9000000004</c:v>
                </c:pt>
                <c:pt idx="5">
                  <c:v>3162772.9000000004</c:v>
                </c:pt>
                <c:pt idx="6">
                  <c:v>3162772.9000000004</c:v>
                </c:pt>
                <c:pt idx="7">
                  <c:v>3162772.9000000004</c:v>
                </c:pt>
                <c:pt idx="8">
                  <c:v>3162772.9000000004</c:v>
                </c:pt>
                <c:pt idx="9">
                  <c:v>3162772.9000000004</c:v>
                </c:pt>
                <c:pt idx="10">
                  <c:v>3162772.9000000004</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48967680"/>
        <c:axId val="48967136"/>
      </c:areaChart>
      <c:catAx>
        <c:axId val="4896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8967136"/>
        <c:crosses val="autoZero"/>
        <c:auto val="1"/>
        <c:lblAlgn val="ctr"/>
        <c:lblOffset val="100"/>
        <c:tickLblSkip val="8"/>
        <c:tickMarkSkip val="1"/>
        <c:noMultiLvlLbl val="0"/>
      </c:catAx>
      <c:valAx>
        <c:axId val="4896713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896768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Entry'!$C$51:$C$54</c:f>
              <c:numCache>
                <c:formatCode>#,##0</c:formatCode>
                <c:ptCount val="4"/>
                <c:pt idx="0">
                  <c:v>1677808.6600000001</c:v>
                </c:pt>
                <c:pt idx="1">
                  <c:v>1576456.0887446301</c:v>
                </c:pt>
                <c:pt idx="2">
                  <c:v>242438.62497264211</c:v>
                </c:pt>
                <c:pt idx="3">
                  <c:v>260286.92098622952</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Entry'!$D$51:$D$54</c:f>
              <c:numCache>
                <c:formatCode>#,##0</c:formatCode>
                <c:ptCount val="4"/>
                <c:pt idx="0">
                  <c:v>673893.21</c:v>
                </c:pt>
                <c:pt idx="1">
                  <c:v>570869.52796904556</c:v>
                </c:pt>
                <c:pt idx="2">
                  <c:v>52417.178048492278</c:v>
                </c:pt>
                <c:pt idx="3">
                  <c:v>53224.54</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304849280"/>
        <c:axId val="-304848736"/>
      </c:barChart>
      <c:catAx>
        <c:axId val="-30484928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4848736"/>
        <c:crossesAt val="0"/>
        <c:auto val="1"/>
        <c:lblAlgn val="ctr"/>
        <c:lblOffset val="100"/>
        <c:noMultiLvlLbl val="0"/>
      </c:catAx>
      <c:valAx>
        <c:axId val="-30484873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484928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607114.90244851517</c:v>
                </c:pt>
                <c:pt idx="1">
                  <c:v>480723.89354105806</c:v>
                </c:pt>
                <c:pt idx="2">
                  <c:v>682022.20351421554</c:v>
                </c:pt>
                <c:pt idx="3">
                  <c:v>1052021.2417412505</c:v>
                </c:pt>
                <c:pt idx="4">
                  <c:v>279822.04841020983</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472790.63926564902</c:v>
                </c:pt>
                <c:pt idx="1">
                  <c:v>358197.61891764659</c:v>
                </c:pt>
                <c:pt idx="2">
                  <c:v>471574.04580917273</c:v>
                </c:pt>
                <c:pt idx="3">
                  <c:v>920689.39408544661</c:v>
                </c:pt>
                <c:pt idx="4">
                  <c:v>199674.9573617976</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304830784"/>
        <c:axId val="-304830240"/>
      </c:barChart>
      <c:catAx>
        <c:axId val="-30483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04830240"/>
        <c:crosses val="autoZero"/>
        <c:auto val="1"/>
        <c:lblAlgn val="ctr"/>
        <c:lblOffset val="100"/>
        <c:tickMarkSkip val="1"/>
        <c:noMultiLvlLbl val="0"/>
      </c:catAx>
      <c:valAx>
        <c:axId val="-3048302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0483078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Entry'!$C$77</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Entry'!$C$78</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23718096"/>
        <c:axId val="-123733328"/>
      </c:barChart>
      <c:barChart>
        <c:barDir val="bar"/>
        <c:grouping val="percentStacked"/>
        <c:varyColors val="0"/>
        <c:ser>
          <c:idx val="1"/>
          <c:order val="1"/>
          <c:tx>
            <c:strRef>
              <c:f>'Data Entry'!$D$77</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Entry'!$D$78</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Entry'!$E$77</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Entry'!$E$78</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23732784"/>
        <c:axId val="-123729520"/>
      </c:barChart>
      <c:catAx>
        <c:axId val="-123718096"/>
        <c:scaling>
          <c:orientation val="minMax"/>
        </c:scaling>
        <c:delete val="1"/>
        <c:axPos val="l"/>
        <c:majorTickMark val="out"/>
        <c:minorTickMark val="none"/>
        <c:tickLblPos val="nextTo"/>
        <c:crossAx val="-123733328"/>
        <c:crosses val="autoZero"/>
        <c:auto val="1"/>
        <c:lblAlgn val="ctr"/>
        <c:lblOffset val="100"/>
        <c:noMultiLvlLbl val="0"/>
      </c:catAx>
      <c:valAx>
        <c:axId val="-1237333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718096"/>
        <c:crosses val="max"/>
        <c:crossBetween val="between"/>
      </c:valAx>
      <c:catAx>
        <c:axId val="-123732784"/>
        <c:scaling>
          <c:orientation val="minMax"/>
        </c:scaling>
        <c:delete val="1"/>
        <c:axPos val="l"/>
        <c:majorTickMark val="out"/>
        <c:minorTickMark val="none"/>
        <c:tickLblPos val="nextTo"/>
        <c:crossAx val="-123729520"/>
        <c:crosses val="autoZero"/>
        <c:auto val="0"/>
        <c:lblAlgn val="ctr"/>
        <c:lblOffset val="100"/>
        <c:noMultiLvlLbl val="0"/>
      </c:catAx>
      <c:valAx>
        <c:axId val="-123729520"/>
        <c:scaling>
          <c:orientation val="minMax"/>
        </c:scaling>
        <c:delete val="0"/>
        <c:axPos val="b"/>
        <c:numFmt formatCode="0%" sourceLinked="1"/>
        <c:majorTickMark val="none"/>
        <c:minorTickMark val="none"/>
        <c:tickLblPos val="none"/>
        <c:spPr>
          <a:ln w="3175">
            <a:solidFill>
              <a:srgbClr val="000000"/>
            </a:solidFill>
            <a:prstDash val="solid"/>
          </a:ln>
        </c:spPr>
        <c:crossAx val="-123732784"/>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Entry'!$C$82</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Entry'!$D$82</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Entry'!$D$83</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Entry'!$E$82</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Entry'!$E$83</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Entry'!$F$82</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Entry'!$F$83</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Entry'!$G$82</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Entry'!$G$83</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23725712"/>
        <c:axId val="-123731696"/>
      </c:barChart>
      <c:catAx>
        <c:axId val="-123725712"/>
        <c:scaling>
          <c:orientation val="minMax"/>
        </c:scaling>
        <c:delete val="0"/>
        <c:axPos val="b"/>
        <c:majorTickMark val="none"/>
        <c:minorTickMark val="none"/>
        <c:tickLblPos val="none"/>
        <c:spPr>
          <a:ln w="3175">
            <a:solidFill>
              <a:srgbClr val="000000"/>
            </a:solidFill>
            <a:prstDash val="solid"/>
          </a:ln>
        </c:spPr>
        <c:crossAx val="-123731696"/>
        <c:crosses val="autoZero"/>
        <c:auto val="0"/>
        <c:lblAlgn val="ctr"/>
        <c:lblOffset val="100"/>
        <c:tickMarkSkip val="1"/>
        <c:noMultiLvlLbl val="0"/>
      </c:catAx>
      <c:valAx>
        <c:axId val="-123731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725712"/>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Entry'!$D$70</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Entry'!$D$71:$D$72</c:f>
            </c:numRef>
          </c:val>
          <c:extLst>
            <c:ext xmlns:c16="http://schemas.microsoft.com/office/drawing/2014/chart" uri="{C3380CC4-5D6E-409C-BE32-E72D297353CC}">
              <c16:uniqueId val="{00000000-7D77-426D-8180-9FF2722F8EBA}"/>
            </c:ext>
          </c:extLst>
        </c:ser>
        <c:ser>
          <c:idx val="1"/>
          <c:order val="1"/>
          <c:tx>
            <c:strRef>
              <c:f>'Data Entry'!$E$70</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Entry'!$E$71:$E$72</c:f>
            </c:numRef>
          </c:val>
          <c:extLst>
            <c:ext xmlns:c16="http://schemas.microsoft.com/office/drawing/2014/chart" uri="{C3380CC4-5D6E-409C-BE32-E72D297353CC}">
              <c16:uniqueId val="{00000001-7D77-426D-8180-9FF2722F8EBA}"/>
            </c:ext>
          </c:extLst>
        </c:ser>
        <c:ser>
          <c:idx val="2"/>
          <c:order val="2"/>
          <c:tx>
            <c:strRef>
              <c:f>'Data Entry'!$F$70</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Entry'!$F$71:$F$72</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23717552"/>
        <c:axId val="-123708848"/>
      </c:barChart>
      <c:catAx>
        <c:axId val="-1237175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708848"/>
        <c:crosses val="autoZero"/>
        <c:auto val="1"/>
        <c:lblAlgn val="ctr"/>
        <c:lblOffset val="100"/>
        <c:tickLblSkip val="1"/>
        <c:tickMarkSkip val="1"/>
        <c:noMultiLvlLbl val="0"/>
      </c:catAx>
      <c:valAx>
        <c:axId val="-1237088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717552"/>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Entry'!$D$87</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Entry'!$B$88:$B$89</c:f>
              <c:strCache>
                <c:ptCount val="2"/>
                <c:pt idx="0">
                  <c:v>SSR to SR</c:v>
                </c:pt>
                <c:pt idx="1">
                  <c:v>SRs to PR</c:v>
                </c:pt>
              </c:strCache>
            </c:strRef>
          </c:cat>
          <c:val>
            <c:numRef>
              <c:f>'Data Entry'!$D$88:$D$89</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Entry'!$E$87</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Entry'!$B$88:$B$89</c:f>
              <c:strCache>
                <c:ptCount val="2"/>
                <c:pt idx="0">
                  <c:v>SSR to SR</c:v>
                </c:pt>
                <c:pt idx="1">
                  <c:v>SRs to PR</c:v>
                </c:pt>
              </c:strCache>
            </c:strRef>
          </c:cat>
          <c:val>
            <c:numRef>
              <c:f>'Data Entry'!$E$88:$E$89</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23716464"/>
        <c:axId val="-123727888"/>
      </c:barChart>
      <c:catAx>
        <c:axId val="-1237164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727888"/>
        <c:crosses val="autoZero"/>
        <c:auto val="1"/>
        <c:lblAlgn val="ctr"/>
        <c:lblOffset val="100"/>
        <c:noMultiLvlLbl val="0"/>
      </c:catAx>
      <c:valAx>
        <c:axId val="-1237278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716464"/>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Entry'!$B$97</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Entry'!$C$97:$N$97</c:f>
              <c:numCache>
                <c:formatCode>#,##0</c:formatCode>
                <c:ptCount val="12"/>
                <c:pt idx="0">
                  <c:v>2103.213242453749</c:v>
                </c:pt>
                <c:pt idx="1">
                  <c:v>194422.13567314509</c:v>
                </c:pt>
                <c:pt idx="2">
                  <c:v>195356.89711423565</c:v>
                </c:pt>
                <c:pt idx="3">
                  <c:v>429088.78231478092</c:v>
                </c:pt>
                <c:pt idx="4">
                  <c:v>781436.70853143139</c:v>
                </c:pt>
                <c:pt idx="5">
                  <c:v>781904.08925197669</c:v>
                </c:pt>
                <c:pt idx="6">
                  <c:v>838788.1887519767</c:v>
                </c:pt>
                <c:pt idx="7">
                  <c:v>1435662.7263955988</c:v>
                </c:pt>
                <c:pt idx="8">
                  <c:v>1435662.7263955988</c:v>
                </c:pt>
                <c:pt idx="9">
                  <c:v>1436607.5263955989</c:v>
                </c:pt>
                <c:pt idx="10">
                  <c:v>1707747.2238955989</c:v>
                </c:pt>
                <c:pt idx="11">
                  <c:v>1877718.3438955988</c:v>
                </c:pt>
              </c:numCache>
            </c:numRef>
          </c:val>
          <c:smooth val="0"/>
          <c:extLst>
            <c:ext xmlns:c16="http://schemas.microsoft.com/office/drawing/2014/chart" uri="{C3380CC4-5D6E-409C-BE32-E72D297353CC}">
              <c16:uniqueId val="{00000000-842A-4717-9F14-C1424E821776}"/>
            </c:ext>
          </c:extLst>
        </c:ser>
        <c:ser>
          <c:idx val="1"/>
          <c:order val="1"/>
          <c:tx>
            <c:strRef>
              <c:f>'Data Entry'!$B$98</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Entry'!$C$98:$N$98</c:f>
              <c:numCache>
                <c:formatCode>#,##0</c:formatCode>
                <c:ptCount val="12"/>
                <c:pt idx="0">
                  <c:v>74865.322144017322</c:v>
                </c:pt>
                <c:pt idx="1">
                  <c:v>251380.32214401732</c:v>
                </c:pt>
                <c:pt idx="2">
                  <c:v>349774.34863206727</c:v>
                </c:pt>
                <c:pt idx="3">
                  <c:v>715633.70673628303</c:v>
                </c:pt>
                <c:pt idx="4">
                  <c:v>715633.70673628303</c:v>
                </c:pt>
                <c:pt idx="5">
                  <c:v>715633.70673628303</c:v>
                </c:pt>
                <c:pt idx="6">
                  <c:v>715633.70673628303</c:v>
                </c:pt>
                <c:pt idx="7">
                  <c:v>715633.70673628303</c:v>
                </c:pt>
                <c:pt idx="8">
                  <c:v>715633.70673628303</c:v>
                </c:pt>
                <c:pt idx="9">
                  <c:v>715633.70673628303</c:v>
                </c:pt>
                <c:pt idx="10">
                  <c:v>715633.70673628303</c:v>
                </c:pt>
                <c:pt idx="11">
                  <c:v>715633.70673628303</c:v>
                </c:pt>
              </c:numCache>
            </c:numRef>
          </c:val>
          <c:smooth val="0"/>
          <c:extLst>
            <c:ext xmlns:c16="http://schemas.microsoft.com/office/drawing/2014/chart" uri="{C3380CC4-5D6E-409C-BE32-E72D297353CC}">
              <c16:uniqueId val="{00000001-842A-4717-9F14-C1424E821776}"/>
            </c:ext>
          </c:extLst>
        </c:ser>
        <c:ser>
          <c:idx val="2"/>
          <c:order val="2"/>
          <c:tx>
            <c:strRef>
              <c:f>'Data Entry'!$B$99</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Entry'!$C$99:$N$99</c:f>
              <c:numCache>
                <c:formatCode>#,##0</c:formatCode>
                <c:ptCount val="12"/>
                <c:pt idx="0">
                  <c:v>11777</c:v>
                </c:pt>
                <c:pt idx="1">
                  <c:v>150013.94007897607</c:v>
                </c:pt>
                <c:pt idx="2">
                  <c:v>188021.89007897605</c:v>
                </c:pt>
                <c:pt idx="3">
                  <c:v>325758.89007897605</c:v>
                </c:pt>
                <c:pt idx="4">
                  <c:v>325758.89007897605</c:v>
                </c:pt>
                <c:pt idx="5">
                  <c:v>325758.89007897605</c:v>
                </c:pt>
                <c:pt idx="6">
                  <c:v>325758.89007897605</c:v>
                </c:pt>
                <c:pt idx="7">
                  <c:v>325758.89007897605</c:v>
                </c:pt>
                <c:pt idx="8">
                  <c:v>325758.89007897605</c:v>
                </c:pt>
                <c:pt idx="9">
                  <c:v>325758.89007897605</c:v>
                </c:pt>
                <c:pt idx="10">
                  <c:v>325758.89007897605</c:v>
                </c:pt>
                <c:pt idx="11">
                  <c:v>325758.89007897605</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23715920"/>
        <c:axId val="-123715376"/>
      </c:lineChart>
      <c:catAx>
        <c:axId val="-123715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3715376"/>
        <c:crosses val="autoZero"/>
        <c:auto val="1"/>
        <c:lblAlgn val="ctr"/>
        <c:lblOffset val="100"/>
        <c:tickLblSkip val="1"/>
        <c:tickMarkSkip val="1"/>
        <c:noMultiLvlLbl val="0"/>
      </c:catAx>
      <c:valAx>
        <c:axId val="-1237153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3715920"/>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6243.75</c:v>
                </c:pt>
                <c:pt idx="1">
                  <c:v>8325</c:v>
                </c:pt>
                <c:pt idx="2" formatCode="#,##0">
                  <c:v>2312.5</c:v>
                </c:pt>
                <c:pt idx="3" formatCode="#,##0">
                  <c:v>4625</c:v>
                </c:pt>
              </c:numCache>
            </c:numRef>
          </c:val>
          <c:extLst>
            <c:ext xmlns:c16="http://schemas.microsoft.com/office/drawing/2014/chart" uri="{C3380CC4-5D6E-409C-BE32-E72D297353CC}">
              <c16:uniqueId val="{00000000-28ED-4437-92EF-FD6AED73C63F}"/>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6672</c:v>
                </c:pt>
                <c:pt idx="1">
                  <c:v>8798</c:v>
                </c:pt>
                <c:pt idx="2" formatCode="#,##0">
                  <c:v>1831</c:v>
                </c:pt>
                <c:pt idx="3" formatCode="#,##0">
                  <c:v>2486</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23734416"/>
        <c:axId val="-123760528"/>
      </c:barChart>
      <c:catAx>
        <c:axId val="-12373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3760528"/>
        <c:crosses val="autoZero"/>
        <c:auto val="1"/>
        <c:lblAlgn val="ctr"/>
        <c:lblOffset val="100"/>
        <c:tickLblSkip val="1"/>
        <c:tickMarkSkip val="1"/>
        <c:noMultiLvlLbl val="0"/>
      </c:catAx>
      <c:valAx>
        <c:axId val="-1237605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3734416"/>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101600</xdr:rowOff>
    </xdr:from>
    <xdr:to>
      <xdr:col>4</xdr:col>
      <xdr:colOff>1219200</xdr:colOff>
      <xdr:row>45</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1" connectionId="0">
    <xmlCellPr id="1" xr6:uid="{00000000-0010-0000-3700-000001000000}" uniqueName="1">
      <xmlPr mapId="43" xpath="/ns1:Root/ns1:F3/ns1:Disbursed_by_Global_Fund_Prior_to_reporting_period__in___" xmlDataType="double"/>
    </xmlCellPr>
  </singleXmlCell>
  <singleXmlCell id="477" xr6:uid="{00000000-000C-0000-FFFF-FFFF38000000}" r="D51" connectionId="0">
    <xmlCellPr id="1" xr6:uid="{00000000-0010-0000-3800-000001000000}" uniqueName="1">
      <xmlPr mapId="43" xpath="/ns1:Root/ns1:F3/ns1:Disbursed_by_Global_Fund_Reporting_period__in___" xmlDataType="double"/>
    </xmlCellPr>
  </singleXmlCell>
  <singleXmlCell id="478" xr6:uid="{00000000-000C-0000-FFFF-FFFF39000000}" r="C52"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2" connectionId="0">
    <xmlCellPr id="1" xr6:uid="{00000000-0010-0000-3A00-000001000000}" uniqueName="1">
      <xmlPr mapId="43" xpath="/ns1:Root/ns1:F3/ns1:PR_expenditure_and_disbursement_Reporting_period__in___" xmlDataType="double"/>
    </xmlCellPr>
  </singleXmlCell>
  <singleXmlCell id="480" xr6:uid="{00000000-000C-0000-FFFF-FFFF3B000000}" r="C53" connectionId="0">
    <xmlCellPr id="1" xr6:uid="{00000000-0010-0000-3B00-000001000000}" uniqueName="1">
      <xmlPr mapId="43" xpath="/ns1:Root/ns1:F3/ns1:Disbursed_to_SRs_Prior_to_reporting_period__in___" xmlDataType="double"/>
    </xmlCellPr>
  </singleXmlCell>
  <singleXmlCell id="481" xr6:uid="{00000000-000C-0000-FFFF-FFFF3C000000}" r="D53" connectionId="0">
    <xmlCellPr id="1" xr6:uid="{00000000-0010-0000-3C00-000001000000}" uniqueName="1">
      <xmlPr mapId="43" xpath="/ns1:Root/ns1:F3/ns1:Disbursed_to_SRs_Reporting_period__in___" xmlDataType="double"/>
    </xmlCellPr>
  </singleXmlCell>
  <singleXmlCell id="482" xr6:uid="{00000000-000C-0000-FFFF-FFFF3D000000}" r="C54" connectionId="0">
    <xmlCellPr id="1" xr6:uid="{00000000-0010-0000-3D00-000001000000}" uniqueName="1">
      <xmlPr mapId="43" xpath="/ns1:Root/ns1:F3/ns1:SR_expenditures_Prior_to_reporting_period__in___" xmlDataType="double"/>
    </xmlCellPr>
  </singleXmlCell>
  <singleXmlCell id="483" xr6:uid="{00000000-000C-0000-FFFF-FFFF3E000000}" r="D54" connectionId="0">
    <xmlCellPr id="1" xr6:uid="{00000000-0010-0000-3E00-000001000000}" uniqueName="1">
      <xmlPr mapId="43" xpath="/ns1:Root/ns1:F3/ns1:SR_expenditures_Reporting_period__in___" xmlDataType="double"/>
    </xmlCellPr>
  </singleXmlCell>
  <singleXmlCell id="484" xr6:uid="{00000000-000C-0000-FFFF-FFFF3F000000}" r="C61" connectionId="0">
    <xmlCellPr id="1" xr6:uid="{00000000-0010-0000-3F00-000001000000}" uniqueName="1">
      <xmlPr mapId="43" xpath="/ns1:Root/ns1:F4/ns1:Days_taken_to_submit_acceptable_PU_DR_to_LFA_Expected__days_" xmlDataType="double"/>
    </xmlCellPr>
  </singleXmlCell>
  <singleXmlCell id="485" xr6:uid="{00000000-000C-0000-FFFF-FFFF40000000}" r="D61" connectionId="0">
    <xmlCellPr id="1" xr6:uid="{00000000-0010-0000-4000-000001000000}" uniqueName="1">
      <xmlPr mapId="43" xpath="/ns1:Root/ns1:F4/ns1:Days_taken_to_submit_acceptable_PU_DR_to_LFA_Actual__days_" xmlDataType="double"/>
    </xmlCellPr>
  </singleXmlCell>
  <singleXmlCell id="486" xr6:uid="{00000000-000C-0000-FFFF-FFFF41000000}" r="C62" connectionId="0">
    <xmlCellPr id="1" xr6:uid="{00000000-0010-0000-4100-000001000000}" uniqueName="1">
      <xmlPr mapId="43" xpath="/ns1:Root/ns1:F4/ns1:Days_taken_for_disbursement_to_reach_PR_Expected__days_" xmlDataType="double"/>
    </xmlCellPr>
  </singleXmlCell>
  <singleXmlCell id="487" xr6:uid="{00000000-000C-0000-FFFF-FFFF42000000}" r="D62" connectionId="0">
    <xmlCellPr id="1" xr6:uid="{00000000-0010-0000-4200-000001000000}" uniqueName="1">
      <xmlPr mapId="43" xpath="/ns1:Root/ns1:F4/ns1:Days_taken_for_disbursement_to_reach_PR_Actual__days_" xmlDataType="double"/>
    </xmlCellPr>
  </singleXmlCell>
  <singleXmlCell id="488" xr6:uid="{00000000-000C-0000-FFFF-FFFF43000000}" r="C63" connectionId="0">
    <xmlCellPr id="1" xr6:uid="{00000000-0010-0000-4300-000001000000}" uniqueName="1">
      <xmlPr mapId="43" xpath="/ns1:Root/ns1:F4/ns1:Days_taken_for_disbursement_to_reach_SRs__Expected__days_" xmlDataType="double"/>
    </xmlCellPr>
  </singleXmlCell>
  <singleXmlCell id="489" xr6:uid="{00000000-000C-0000-FFFF-FFFF44000000}" r="D63" connectionId="0">
    <xmlCellPr id="1" xr6:uid="{00000000-0010-0000-4400-000001000000}" uniqueName="1">
      <xmlPr mapId="43" xpath="/ns1:Root/ns1:F4/ns1:Days_taken_for_disbursement_to_reach_SRs__Actual__days_" xmlDataType="double"/>
    </xmlCellPr>
  </singleXmlCell>
  <singleXmlCell id="490" xr6:uid="{00000000-000C-0000-FFFF-FFFF45000000}" r="B71" connectionId="0">
    <xmlCellPr id="1" xr6:uid="{00000000-0010-0000-4500-000001000000}" uniqueName="1">
      <xmlPr mapId="43" xpath="/ns1:Root/ns1:M1/ns1:Conditions_precedents__CPs__" xmlDataType="string"/>
    </xmlCellPr>
  </singleXmlCell>
  <singleXmlCell id="491" xr6:uid="{00000000-000C-0000-FFFF-FFFF46000000}" r="D71" connectionId="0">
    <xmlCellPr id="1" xr6:uid="{00000000-0010-0000-4600-000001000000}" uniqueName="1">
      <xmlPr mapId="43" xpath="/ns1:Root/ns1:M1/ns1:Conditions_precedents__CPs__Fulfilled" xmlDataType="double"/>
    </xmlCellPr>
  </singleXmlCell>
  <singleXmlCell id="492" xr6:uid="{00000000-000C-0000-FFFF-FFFF47000000}" r="E71"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1"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2" connectionId="0">
    <xmlCellPr id="1" xr6:uid="{00000000-0010-0000-4900-000001000000}" uniqueName="1">
      <xmlPr mapId="43" xpath="/ns1:Root/ns1:M1/ns1:Time_Bound_Actions__TBAs__" xmlDataType="string"/>
    </xmlCellPr>
  </singleXmlCell>
  <singleXmlCell id="495" xr6:uid="{00000000-000C-0000-FFFF-FFFF4A000000}" r="D72" connectionId="0">
    <xmlCellPr id="1" xr6:uid="{00000000-0010-0000-4A00-000001000000}" uniqueName="1">
      <xmlPr mapId="43" xpath="/ns1:Root/ns1:M1/ns1:Time_Bound_Actions__TBAs__Fulfilled" xmlDataType="double"/>
    </xmlCellPr>
  </singleXmlCell>
  <singleXmlCell id="496" xr6:uid="{00000000-000C-0000-FFFF-FFFF4B000000}" r="E72" connectionId="0">
    <xmlCellPr id="1" xr6:uid="{00000000-0010-0000-4B00-000001000000}" uniqueName="1">
      <xmlPr mapId="43" xpath="/ns1:Root/ns1:M1/ns1:Time_Bound_Actions__TBAs__Not_fulfilled__but_within_deadline" xmlDataType="string"/>
    </xmlCellPr>
  </singleXmlCell>
  <singleXmlCell id="497" xr6:uid="{00000000-000C-0000-FFFF-FFFF4C000000}" r="F72"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8" connectionId="0">
    <xmlCellPr id="1" xr6:uid="{00000000-0010-0000-4D00-000001000000}" uniqueName="1">
      <xmlPr mapId="43" xpath="/ns1:Root/ns1:M2/ns1:PMU_Planned" xmlDataType="double"/>
    </xmlCellPr>
  </singleXmlCell>
  <singleXmlCell id="499" xr6:uid="{00000000-000C-0000-FFFF-FFFF4E000000}" r="D78" connectionId="0">
    <xmlCellPr id="1" xr6:uid="{00000000-0010-0000-4E00-000001000000}" uniqueName="1">
      <xmlPr mapId="43" xpath="/ns1:Root/ns1:M2/ns1:PMU_Filled" xmlDataType="double"/>
    </xmlCellPr>
  </singleXmlCell>
  <singleXmlCell id="500" xr6:uid="{00000000-000C-0000-FFFF-FFFF4F000000}" r="C83" connectionId="0">
    <xmlCellPr id="1" xr6:uid="{00000000-0010-0000-4F00-000001000000}" uniqueName="1">
      <xmlPr mapId="43" xpath="/ns1:Root/ns1:M3/ns1:SRs_Identified" xmlDataType="double"/>
    </xmlCellPr>
  </singleXmlCell>
  <singleXmlCell id="501" xr6:uid="{00000000-000C-0000-FFFF-FFFF50000000}" r="D83" connectionId="0">
    <xmlCellPr id="1" xr6:uid="{00000000-0010-0000-5000-000001000000}" uniqueName="1">
      <xmlPr mapId="43" xpath="/ns1:Root/ns1:M3/ns1:SRs_Assessed" xmlDataType="double"/>
    </xmlCellPr>
  </singleXmlCell>
  <singleXmlCell id="502" xr6:uid="{00000000-000C-0000-FFFF-FFFF51000000}" r="E83" connectionId="0">
    <xmlCellPr id="1" xr6:uid="{00000000-0010-0000-5100-000001000000}" uniqueName="1">
      <xmlPr mapId="43" xpath="/ns1:Root/ns1:M3/ns1:SRs_Approved" xmlDataType="double"/>
    </xmlCellPr>
  </singleXmlCell>
  <singleXmlCell id="503" xr6:uid="{00000000-000C-0000-FFFF-FFFF52000000}" r="F83" connectionId="0">
    <xmlCellPr id="1" xr6:uid="{00000000-0010-0000-5200-000001000000}" uniqueName="1">
      <xmlPr mapId="43" xpath="/ns1:Root/ns1:M3/ns1:SRs_Signed" xmlDataType="double"/>
    </xmlCellPr>
  </singleXmlCell>
  <singleXmlCell id="504" xr6:uid="{00000000-000C-0000-FFFF-FFFF53000000}" r="G83" connectionId="0">
    <xmlCellPr id="1" xr6:uid="{00000000-0010-0000-5300-000001000000}" uniqueName="1">
      <xmlPr mapId="43" xpath="/ns1:Root/ns1:M3/ns1:SRs_Receiving_Funding" xmlDataType="double"/>
    </xmlCellPr>
  </singleXmlCell>
  <singleXmlCell id="506" xr6:uid="{00000000-000C-0000-FFFF-FFFF54000000}" r="C88" connectionId="0">
    <xmlCellPr id="1" xr6:uid="{00000000-0010-0000-5400-000001000000}" uniqueName="1">
      <xmlPr mapId="43" xpath="/ns1:Root/ns1:M4/ns1:SSR_to_SR__IR_____Expected" xmlDataType="string"/>
    </xmlCellPr>
  </singleXmlCell>
  <singleXmlCell id="507" xr6:uid="{00000000-000C-0000-FFFF-FFFF55000000}" r="D88" connectionId="0">
    <xmlCellPr id="1" xr6:uid="{00000000-0010-0000-5500-000001000000}" uniqueName="1">
      <xmlPr mapId="43" xpath="/ns1:Root/ns1:M4/ns1:SSR_to_SR__IR____Received" xmlDataType="string"/>
    </xmlCellPr>
  </singleXmlCell>
  <singleXmlCell id="509" xr6:uid="{00000000-000C-0000-FFFF-FFFF56000000}" r="C89" connectionId="0">
    <xmlCellPr id="1" xr6:uid="{00000000-0010-0000-5600-000001000000}" uniqueName="1">
      <xmlPr mapId="43" xpath="/ns1:Root/ns1:M4/ns1:SRs__IRs__to_PR____Expected" xmlDataType="double"/>
    </xmlCellPr>
  </singleXmlCell>
  <singleXmlCell id="510" xr6:uid="{00000000-000C-0000-FFFF-FFFF57000000}" r="D89" connectionId="0">
    <xmlCellPr id="1" xr6:uid="{00000000-0010-0000-5700-000001000000}" uniqueName="1">
      <xmlPr mapId="43" xpath="/ns1:Root/ns1:M4/ns1:SRs__IRs__to_PR___Received" xmlDataType="double"/>
    </xmlCellPr>
  </singleXmlCell>
  <singleXmlCell id="511" xr6:uid="{00000000-000C-0000-FFFF-FFFF58000000}" r="C94" connectionId="0">
    <xmlCellPr id="1" xr6:uid="{00000000-0010-0000-5800-000001000000}" uniqueName="1">
      <xmlPr mapId="43" xpath="/ns1:Root/ns1:M5/ns1:Budget_Approved__P1" xmlDataType="double"/>
    </xmlCellPr>
  </singleXmlCell>
  <singleXmlCell id="512" xr6:uid="{00000000-000C-0000-FFFF-FFFF59000000}" r="D94" connectionId="0">
    <xmlCellPr id="1" xr6:uid="{00000000-0010-0000-5900-000001000000}" uniqueName="1">
      <xmlPr mapId="43" xpath="/ns1:Root/ns1:M5/ns1:Budget_Approved__P2" xmlDataType="double"/>
    </xmlCellPr>
  </singleXmlCell>
  <singleXmlCell id="513" xr6:uid="{00000000-000C-0000-FFFF-FFFF5A000000}" r="E94" connectionId="0">
    <xmlCellPr id="1" xr6:uid="{00000000-0010-0000-5A00-000001000000}" uniqueName="1">
      <xmlPr mapId="43" xpath="/ns1:Root/ns1:M5/ns1:Budget_Approved__P3" xmlDataType="double"/>
    </xmlCellPr>
  </singleXmlCell>
  <singleXmlCell id="514" xr6:uid="{00000000-000C-0000-FFFF-FFFF5B000000}" r="F94" connectionId="0">
    <xmlCellPr id="1" xr6:uid="{00000000-0010-0000-5B00-000001000000}" uniqueName="1">
      <xmlPr mapId="43" xpath="/ns1:Root/ns1:M5/ns1:Budget_Approved__P4" xmlDataType="double"/>
    </xmlCellPr>
  </singleXmlCell>
  <singleXmlCell id="515" xr6:uid="{00000000-000C-0000-FFFF-FFFF5C000000}" r="G94" connectionId="0">
    <xmlCellPr id="1" xr6:uid="{00000000-0010-0000-5C00-000001000000}" uniqueName="1">
      <xmlPr mapId="43" xpath="/ns1:Root/ns1:M5/ns1:Budget_Approved__P5" xmlDataType="double"/>
    </xmlCellPr>
  </singleXmlCell>
  <singleXmlCell id="516" xr6:uid="{00000000-000C-0000-FFFF-FFFF5D000000}" r="H94" connectionId="0">
    <xmlCellPr id="1" xr6:uid="{00000000-0010-0000-5D00-000001000000}" uniqueName="1">
      <xmlPr mapId="43" xpath="/ns1:Root/ns1:M5/ns1:Budget_Approved__P6" xmlDataType="double"/>
    </xmlCellPr>
  </singleXmlCell>
  <singleXmlCell id="517" xr6:uid="{00000000-000C-0000-FFFF-FFFF5E000000}" r="I94" connectionId="0">
    <xmlCellPr id="1" xr6:uid="{00000000-0010-0000-5E00-000001000000}" uniqueName="1">
      <xmlPr mapId="43" xpath="/ns1:Root/ns1:M5/ns1:Budget_Approved__P7" xmlDataType="double"/>
    </xmlCellPr>
  </singleXmlCell>
  <singleXmlCell id="518" xr6:uid="{00000000-000C-0000-FFFF-FFFF5F000000}" r="J94" connectionId="0">
    <xmlCellPr id="1" xr6:uid="{00000000-0010-0000-5F00-000001000000}" uniqueName="1">
      <xmlPr mapId="43" xpath="/ns1:Root/ns1:M5/ns1:Budget_Approved__P8" xmlDataType="double"/>
    </xmlCellPr>
  </singleXmlCell>
  <singleXmlCell id="519" xr6:uid="{00000000-000C-0000-FFFF-FFFF60000000}" r="K94" connectionId="0">
    <xmlCellPr id="1" xr6:uid="{00000000-0010-0000-6000-000001000000}" uniqueName="1">
      <xmlPr mapId="43" xpath="/ns1:Root/ns1:M5/ns1:Budget_Approved__P9" xmlDataType="double"/>
    </xmlCellPr>
  </singleXmlCell>
  <singleXmlCell id="520" xr6:uid="{00000000-000C-0000-FFFF-FFFF61000000}" r="L94" connectionId="0">
    <xmlCellPr id="1" xr6:uid="{00000000-0010-0000-6100-000001000000}" uniqueName="1">
      <xmlPr mapId="43" xpath="/ns1:Root/ns1:M5/ns1:Budget_Approved__P10" xmlDataType="double"/>
    </xmlCellPr>
  </singleXmlCell>
  <singleXmlCell id="521" xr6:uid="{00000000-000C-0000-FFFF-FFFF62000000}" r="M94" connectionId="0">
    <xmlCellPr id="1" xr6:uid="{00000000-0010-0000-6200-000001000000}" uniqueName="1">
      <xmlPr mapId="43" xpath="/ns1:Root/ns1:M5/ns1:Budget_Approved__P11" xmlDataType="double"/>
    </xmlCellPr>
  </singleXmlCell>
  <singleXmlCell id="522" xr6:uid="{00000000-000C-0000-FFFF-FFFF63000000}" r="N94" connectionId="0">
    <xmlCellPr id="1" xr6:uid="{00000000-0010-0000-6300-000001000000}" uniqueName="1">
      <xmlPr mapId="43" xpath="/ns1:Root/ns1:M5/ns1:Budget_Approved__P12" xmlDataType="double"/>
    </xmlCellPr>
  </singleXmlCell>
  <singleXmlCell id="523" xr6:uid="{00000000-000C-0000-FFFF-FFFF64000000}" r="C95" connectionId="0">
    <xmlCellPr id="1" xr6:uid="{00000000-0010-0000-6400-000001000000}" uniqueName="1">
      <xmlPr mapId="43" xpath="/ns1:Root/ns1:M5/ns1:Obligations_P1" xmlDataType="double"/>
    </xmlCellPr>
  </singleXmlCell>
  <singleXmlCell id="524" xr6:uid="{00000000-000C-0000-FFFF-FFFF65000000}" r="D95" connectionId="0">
    <xmlCellPr id="1" xr6:uid="{00000000-0010-0000-6500-000001000000}" uniqueName="1">
      <xmlPr mapId="43" xpath="/ns1:Root/ns1:M5/ns1:Obligations_P2" xmlDataType="double"/>
    </xmlCellPr>
  </singleXmlCell>
  <singleXmlCell id="525" xr6:uid="{00000000-000C-0000-FFFF-FFFF66000000}" r="E95" connectionId="0">
    <xmlCellPr id="1" xr6:uid="{00000000-0010-0000-6600-000001000000}" uniqueName="1">
      <xmlPr mapId="43" xpath="/ns1:Root/ns1:M5/ns1:Obligations_P3" xmlDataType="double"/>
    </xmlCellPr>
  </singleXmlCell>
  <singleXmlCell id="526" xr6:uid="{00000000-000C-0000-FFFF-FFFF67000000}" r="F95" connectionId="0">
    <xmlCellPr id="1" xr6:uid="{00000000-0010-0000-6700-000001000000}" uniqueName="1">
      <xmlPr mapId="43" xpath="/ns1:Root/ns1:M5/ns1:Obligations_P4" xmlDataType="double"/>
    </xmlCellPr>
  </singleXmlCell>
  <singleXmlCell id="527" xr6:uid="{00000000-000C-0000-FFFF-FFFF68000000}" r="G95" connectionId="0">
    <xmlCellPr id="1" xr6:uid="{00000000-0010-0000-6800-000001000000}" uniqueName="1">
      <xmlPr mapId="43" xpath="/ns1:Root/ns1:M5/ns1:Obligations_P5" xmlDataType="double"/>
    </xmlCellPr>
  </singleXmlCell>
  <singleXmlCell id="528" xr6:uid="{00000000-000C-0000-FFFF-FFFF69000000}" r="H95" connectionId="0">
    <xmlCellPr id="1" xr6:uid="{00000000-0010-0000-6900-000001000000}" uniqueName="1">
      <xmlPr mapId="43" xpath="/ns1:Root/ns1:M5/ns1:Obligations_P6" xmlDataType="double"/>
    </xmlCellPr>
  </singleXmlCell>
  <singleXmlCell id="529" xr6:uid="{00000000-000C-0000-FFFF-FFFF6A000000}" r="I95" connectionId="0">
    <xmlCellPr id="1" xr6:uid="{00000000-0010-0000-6A00-000001000000}" uniqueName="1">
      <xmlPr mapId="43" xpath="/ns1:Root/ns1:M5/ns1:Obligations_P7" xmlDataType="double"/>
    </xmlCellPr>
  </singleXmlCell>
  <singleXmlCell id="530" xr6:uid="{00000000-000C-0000-FFFF-FFFF6B000000}" r="J95" connectionId="0">
    <xmlCellPr id="1" xr6:uid="{00000000-0010-0000-6B00-000001000000}" uniqueName="1">
      <xmlPr mapId="43" xpath="/ns1:Root/ns1:M5/ns1:Obligations_P8" xmlDataType="double"/>
    </xmlCellPr>
  </singleXmlCell>
  <singleXmlCell id="531" xr6:uid="{00000000-000C-0000-FFFF-FFFF6C000000}" r="K95" connectionId="0">
    <xmlCellPr id="1" xr6:uid="{00000000-0010-0000-6C00-000001000000}" uniqueName="1">
      <xmlPr mapId="43" xpath="/ns1:Root/ns1:M5/ns1:Obligations_P9" xmlDataType="double"/>
    </xmlCellPr>
  </singleXmlCell>
  <singleXmlCell id="532" xr6:uid="{00000000-000C-0000-FFFF-FFFF6D000000}" r="L95" connectionId="0">
    <xmlCellPr id="1" xr6:uid="{00000000-0010-0000-6D00-000001000000}" uniqueName="1">
      <xmlPr mapId="43" xpath="/ns1:Root/ns1:M5/ns1:Obligations_P10" xmlDataType="double"/>
    </xmlCellPr>
  </singleXmlCell>
  <singleXmlCell id="533" xr6:uid="{00000000-000C-0000-FFFF-FFFF6E000000}" r="M95" connectionId="0">
    <xmlCellPr id="1" xr6:uid="{00000000-0010-0000-6E00-000001000000}" uniqueName="1">
      <xmlPr mapId="43" xpath="/ns1:Root/ns1:M5/ns1:Obligations_P11" xmlDataType="double"/>
    </xmlCellPr>
  </singleXmlCell>
  <singleXmlCell id="534" xr6:uid="{00000000-000C-0000-FFFF-FFFF6F000000}" r="N95" connectionId="0">
    <xmlCellPr id="1" xr6:uid="{00000000-0010-0000-6F00-000001000000}" uniqueName="1">
      <xmlPr mapId="43" xpath="/ns1:Root/ns1:M5/ns1:Obligations_P12" xmlDataType="double"/>
    </xmlCellPr>
  </singleXmlCell>
  <singleXmlCell id="535" xr6:uid="{00000000-000C-0000-FFFF-FFFF70000000}" r="C96" connectionId="0">
    <xmlCellPr id="1" xr6:uid="{00000000-0010-0000-7000-000001000000}" uniqueName="1">
      <xmlPr mapId="43" xpath="/ns1:Root/ns1:M5/ns1:Expenditures_P1" xmlDataType="double"/>
    </xmlCellPr>
  </singleXmlCell>
  <singleXmlCell id="536" xr6:uid="{00000000-000C-0000-FFFF-FFFF71000000}" r="D96" connectionId="0">
    <xmlCellPr id="1" xr6:uid="{00000000-0010-0000-7100-000001000000}" uniqueName="1">
      <xmlPr mapId="43" xpath="/ns1:Root/ns1:M5/ns1:Expenditures_P2" xmlDataType="double"/>
    </xmlCellPr>
  </singleXmlCell>
  <singleXmlCell id="537" xr6:uid="{00000000-000C-0000-FFFF-FFFF72000000}" r="E96" connectionId="0">
    <xmlCellPr id="1" xr6:uid="{00000000-0010-0000-7200-000001000000}" uniqueName="1">
      <xmlPr mapId="43" xpath="/ns1:Root/ns1:M5/ns1:Expenditures_P3" xmlDataType="double"/>
    </xmlCellPr>
  </singleXmlCell>
  <singleXmlCell id="538" xr6:uid="{00000000-000C-0000-FFFF-FFFF73000000}" r="F96" connectionId="0">
    <xmlCellPr id="1" xr6:uid="{00000000-0010-0000-7300-000001000000}" uniqueName="1">
      <xmlPr mapId="43" xpath="/ns1:Root/ns1:M5/ns1:Expenditures_P4" xmlDataType="double"/>
    </xmlCellPr>
  </singleXmlCell>
  <singleXmlCell id="539" xr6:uid="{00000000-000C-0000-FFFF-FFFF74000000}" r="G96" connectionId="0">
    <xmlCellPr id="1" xr6:uid="{00000000-0010-0000-7400-000001000000}" uniqueName="1">
      <xmlPr mapId="43" xpath="/ns1:Root/ns1:M5/ns1:Expenditures_P5" xmlDataType="double"/>
    </xmlCellPr>
  </singleXmlCell>
  <singleXmlCell id="540" xr6:uid="{00000000-000C-0000-FFFF-FFFF75000000}" r="H96" connectionId="0">
    <xmlCellPr id="1" xr6:uid="{00000000-0010-0000-7500-000001000000}" uniqueName="1">
      <xmlPr mapId="43" xpath="/ns1:Root/ns1:M5/ns1:Expenditures_P6" xmlDataType="double"/>
    </xmlCellPr>
  </singleXmlCell>
  <singleXmlCell id="541" xr6:uid="{00000000-000C-0000-FFFF-FFFF76000000}" r="I96" connectionId="0">
    <xmlCellPr id="1" xr6:uid="{00000000-0010-0000-7600-000001000000}" uniqueName="1">
      <xmlPr mapId="43" xpath="/ns1:Root/ns1:M5/ns1:Expenditures_P7" xmlDataType="double"/>
    </xmlCellPr>
  </singleXmlCell>
  <singleXmlCell id="542" xr6:uid="{00000000-000C-0000-FFFF-FFFF77000000}" r="J96" connectionId="0">
    <xmlCellPr id="1" xr6:uid="{00000000-0010-0000-7700-000001000000}" uniqueName="1">
      <xmlPr mapId="43" xpath="/ns1:Root/ns1:M5/ns1:Expenditures_P8" xmlDataType="double"/>
    </xmlCellPr>
  </singleXmlCell>
  <singleXmlCell id="543" xr6:uid="{00000000-000C-0000-FFFF-FFFF78000000}" r="K96" connectionId="0">
    <xmlCellPr id="1" xr6:uid="{00000000-0010-0000-7800-000001000000}" uniqueName="1">
      <xmlPr mapId="43" xpath="/ns1:Root/ns1:M5/ns1:Expenditures_P9" xmlDataType="double"/>
    </xmlCellPr>
  </singleXmlCell>
  <singleXmlCell id="544" xr6:uid="{00000000-000C-0000-FFFF-FFFF79000000}" r="L96" connectionId="0">
    <xmlCellPr id="1" xr6:uid="{00000000-0010-0000-7900-000001000000}" uniqueName="1">
      <xmlPr mapId="43" xpath="/ns1:Root/ns1:M5/ns1:Expenditures_P10" xmlDataType="double"/>
    </xmlCellPr>
  </singleXmlCell>
  <singleXmlCell id="545" xr6:uid="{00000000-000C-0000-FFFF-FFFF7A000000}" r="M96" connectionId="0">
    <xmlCellPr id="1" xr6:uid="{00000000-0010-0000-7A00-000001000000}" uniqueName="1">
      <xmlPr mapId="43" xpath="/ns1:Root/ns1:M5/ns1:Expenditures_P11" xmlDataType="double"/>
    </xmlCellPr>
  </singleXmlCell>
  <singleXmlCell id="546" xr6:uid="{00000000-000C-0000-FFFF-FFFF7B000000}" r="N96" connectionId="0">
    <xmlCellPr id="1" xr6:uid="{00000000-0010-0000-7B00-000001000000}" uniqueName="1">
      <xmlPr mapId="43" xpath="/ns1:Root/ns1:M5/ns1:Expenditures_P12" xmlDataType="double"/>
    </xmlCellPr>
  </singleXmlCell>
  <singleXmlCell id="547" xr6:uid="{00000000-000C-0000-FFFF-FFFF7C000000}" r="C107" connectionId="0">
    <xmlCellPr id="1" xr6:uid="{00000000-0010-0000-7C00-000001000000}" uniqueName="1">
      <xmlPr mapId="43" xpath="/ns1:Root/ns1:M6/ns1:HIV___AIDS_Products" xmlDataType="string"/>
    </xmlCellPr>
  </singleXmlCell>
  <singleXmlCell id="548" xr6:uid="{00000000-000C-0000-FFFF-FFFF7D000000}" r="D107"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7" connectionId="0">
    <xmlCellPr id="1" xr6:uid="{00000000-0010-0000-7E00-000001000000}" uniqueName="1">
      <xmlPr mapId="43" xpath="/ns1:Root/ns1:M6/ns1:HIV___AIDS__3__Total_patients_in_treatment" xmlDataType="double"/>
    </xmlCellPr>
  </singleXmlCell>
  <singleXmlCell id="550" xr6:uid="{00000000-000C-0000-FFFF-FFFF7F000000}" r="H107"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7"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8" connectionId="0">
    <xmlCellPr id="1" xr6:uid="{00000000-0010-0000-8100-000001000000}" uniqueName="1">
      <xmlPr mapId="43" xpath="/ns1:Root/ns1:M6/ns1:_Products_1" xmlDataType="string"/>
    </xmlCellPr>
  </singleXmlCell>
  <singleXmlCell id="553" xr6:uid="{00000000-000C-0000-FFFF-FFFF82000000}" r="D108"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8" connectionId="0">
    <xmlCellPr id="1" xr6:uid="{00000000-0010-0000-8300-000001000000}" uniqueName="1">
      <xmlPr mapId="43" xpath="/ns1:Root/ns1:M6/ns1:__3__Total_patients_in_treatment_1" xmlDataType="double"/>
    </xmlCellPr>
  </singleXmlCell>
  <singleXmlCell id="555" xr6:uid="{00000000-000C-0000-FFFF-FFFF84000000}" r="H108"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8"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09" connectionId="0">
    <xmlCellPr id="1" xr6:uid="{00000000-0010-0000-8600-000001000000}" uniqueName="1">
      <xmlPr mapId="43" xpath="/ns1:Root/ns1:M6/ns1:_Products_2" xmlDataType="string"/>
    </xmlCellPr>
  </singleXmlCell>
  <singleXmlCell id="558" xr6:uid="{00000000-000C-0000-FFFF-FFFF87000000}" r="D109"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09" connectionId="0">
    <xmlCellPr id="1" xr6:uid="{00000000-0010-0000-8800-000001000000}" uniqueName="1">
      <xmlPr mapId="43" xpath="/ns1:Root/ns1:M6/ns1:__3__Total_patients_in_treatment_2" xmlDataType="double"/>
    </xmlCellPr>
  </singleXmlCell>
  <singleXmlCell id="560" xr6:uid="{00000000-000C-0000-FFFF-FFFF89000000}" r="H109"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09"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0" connectionId="0">
    <xmlCellPr id="1" xr6:uid="{00000000-0010-0000-8B00-000001000000}" uniqueName="1">
      <xmlPr mapId="43" xpath="/ns1:Root/ns1:M6/ns1:_Products" xmlDataType="string"/>
    </xmlCellPr>
  </singleXmlCell>
  <singleXmlCell id="563" xr6:uid="{00000000-000C-0000-FFFF-FFFF8C000000}" r="D110"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0" connectionId="0">
    <xmlCellPr id="1" xr6:uid="{00000000-0010-0000-8D00-000001000000}" uniqueName="1">
      <xmlPr mapId="43" xpath="/ns1:Root/ns1:M6/ns1:__3__Total_patients_in_treatment" xmlDataType="double"/>
    </xmlCellPr>
  </singleXmlCell>
  <singleXmlCell id="565" xr6:uid="{00000000-000C-0000-FFFF-FFFF8E000000}" r="H110"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0"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7" connectionId="0">
    <xmlCellPr id="1" xr6:uid="{00000000-0010-0000-9000-000001000000}" uniqueName="1">
      <xmlPr mapId="43" xpath="/ns1:Root/ns1:Prog/ns1:Target_P1_1" xmlDataType="double"/>
    </xmlCellPr>
  </singleXmlCell>
  <singleXmlCell id="568" xr6:uid="{00000000-000C-0000-FFFF-FFFF91000000}" r="I117" connectionId="0">
    <xmlCellPr id="1" xr6:uid="{00000000-0010-0000-9100-000001000000}" uniqueName="1">
      <xmlPr mapId="43" xpath="/ns1:Root/ns1:Prog/ns1:Target_P2_1" xmlDataType="double"/>
    </xmlCellPr>
  </singleXmlCell>
  <singleXmlCell id="569" xr6:uid="{00000000-000C-0000-FFFF-FFFF92000000}" r="J117" connectionId="0">
    <xmlCellPr id="1" xr6:uid="{00000000-0010-0000-9200-000001000000}" uniqueName="1">
      <xmlPr mapId="43" xpath="/ns1:Root/ns1:Prog/ns1:Target_P3_1" xmlDataType="double"/>
    </xmlCellPr>
  </singleXmlCell>
  <singleXmlCell id="570" xr6:uid="{00000000-000C-0000-FFFF-FFFF93000000}" r="K117" connectionId="0">
    <xmlCellPr id="1" xr6:uid="{00000000-0010-0000-9300-000001000000}" uniqueName="1">
      <xmlPr mapId="43" xpath="/ns1:Root/ns1:Prog/ns1:Target_P4_1" xmlDataType="double"/>
    </xmlCellPr>
  </singleXmlCell>
  <singleXmlCell id="571" xr6:uid="{00000000-000C-0000-FFFF-FFFF94000000}" r="L117" connectionId="0">
    <xmlCellPr id="1" xr6:uid="{00000000-0010-0000-9400-000001000000}" uniqueName="1">
      <xmlPr mapId="43" xpath="/ns1:Root/ns1:Prog/ns1:Target_P5_1" xmlDataType="double"/>
    </xmlCellPr>
  </singleXmlCell>
  <singleXmlCell id="572" xr6:uid="{00000000-000C-0000-FFFF-FFFF95000000}" r="M117" connectionId="0">
    <xmlCellPr id="1" xr6:uid="{00000000-0010-0000-9500-000001000000}" uniqueName="1">
      <xmlPr mapId="43" xpath="/ns1:Root/ns1:Prog/ns1:Target_P6_1" xmlDataType="double"/>
    </xmlCellPr>
  </singleXmlCell>
  <singleXmlCell id="573" xr6:uid="{00000000-000C-0000-FFFF-FFFF96000000}" r="N117" connectionId="0">
    <xmlCellPr id="1" xr6:uid="{00000000-0010-0000-9600-000001000000}" uniqueName="1">
      <xmlPr mapId="43" xpath="/ns1:Root/ns1:Prog/ns1:Target_P7_1" xmlDataType="double"/>
    </xmlCellPr>
  </singleXmlCell>
  <singleXmlCell id="574" xr6:uid="{00000000-000C-0000-FFFF-FFFF97000000}" r="O117" connectionId="0">
    <xmlCellPr id="1" xr6:uid="{00000000-0010-0000-9700-000001000000}" uniqueName="1">
      <xmlPr mapId="43" xpath="/ns1:Root/ns1:Prog/ns1:Target_P8_1" xmlDataType="double"/>
    </xmlCellPr>
  </singleXmlCell>
  <singleXmlCell id="575" xr6:uid="{00000000-000C-0000-FFFF-FFFF98000000}" r="P117" connectionId="0">
    <xmlCellPr id="1" xr6:uid="{00000000-0010-0000-9800-000001000000}" uniqueName="1">
      <xmlPr mapId="43" xpath="/ns1:Root/ns1:Prog/ns1:Target_P9_1" xmlDataType="double"/>
    </xmlCellPr>
  </singleXmlCell>
  <singleXmlCell id="576" xr6:uid="{00000000-000C-0000-FFFF-FFFF99000000}" r="Q117" connectionId="0">
    <xmlCellPr id="1" xr6:uid="{00000000-0010-0000-9900-000001000000}" uniqueName="1">
      <xmlPr mapId="43" xpath="/ns1:Root/ns1:Prog/ns1:Target_P10_1" xmlDataType="double"/>
    </xmlCellPr>
  </singleXmlCell>
  <singleXmlCell id="577" xr6:uid="{00000000-000C-0000-FFFF-FFFF9A000000}" r="R117" connectionId="0">
    <xmlCellPr id="1" xr6:uid="{00000000-0010-0000-9A00-000001000000}" uniqueName="1">
      <xmlPr mapId="43" xpath="/ns1:Root/ns1:Prog/ns1:Target_P11_1" xmlDataType="double"/>
    </xmlCellPr>
  </singleXmlCell>
  <singleXmlCell id="578" xr6:uid="{00000000-000C-0000-FFFF-FFFF9B000000}" r="S117" connectionId="0">
    <xmlCellPr id="1" xr6:uid="{00000000-0010-0000-9B00-000001000000}" uniqueName="1">
      <xmlPr mapId="43" xpath="/ns1:Root/ns1:Prog/ns1:Target_P12_1" xmlDataType="double"/>
    </xmlCellPr>
  </singleXmlCell>
  <singleXmlCell id="579" xr6:uid="{00000000-000C-0000-FFFF-FFFF9C000000}" r="H118" connectionId="0">
    <xmlCellPr id="1" xr6:uid="{00000000-0010-0000-9C00-000001000000}" uniqueName="1">
      <xmlPr mapId="43" xpath="/ns1:Root/ns1:Prog/ns1:Achieved__P1_1" xmlDataType="double"/>
    </xmlCellPr>
  </singleXmlCell>
  <singleXmlCell id="580" xr6:uid="{00000000-000C-0000-FFFF-FFFF9D000000}" r="I118" connectionId="0">
    <xmlCellPr id="1" xr6:uid="{00000000-0010-0000-9D00-000001000000}" uniqueName="1">
      <xmlPr mapId="43" xpath="/ns1:Root/ns1:Prog/ns1:Achieved__P2_1" xmlDataType="double"/>
    </xmlCellPr>
  </singleXmlCell>
  <singleXmlCell id="581" xr6:uid="{00000000-000C-0000-FFFF-FFFF9E000000}" r="J118" connectionId="0">
    <xmlCellPr id="1" xr6:uid="{00000000-0010-0000-9E00-000001000000}" uniqueName="1">
      <xmlPr mapId="43" xpath="/ns1:Root/ns1:Prog/ns1:Achieved__P3_1" xmlDataType="double"/>
    </xmlCellPr>
  </singleXmlCell>
  <singleXmlCell id="582" xr6:uid="{00000000-000C-0000-FFFF-FFFF9F000000}" r="K118" connectionId="0">
    <xmlCellPr id="1" xr6:uid="{00000000-0010-0000-9F00-000001000000}" uniqueName="1">
      <xmlPr mapId="43" xpath="/ns1:Root/ns1:Prog/ns1:Achieved__P4_1" xmlDataType="double"/>
    </xmlCellPr>
  </singleXmlCell>
  <singleXmlCell id="583" xr6:uid="{00000000-000C-0000-FFFF-FFFFA0000000}" r="L118" connectionId="0">
    <xmlCellPr id="1" xr6:uid="{00000000-0010-0000-A000-000001000000}" uniqueName="1">
      <xmlPr mapId="43" xpath="/ns1:Root/ns1:Prog/ns1:Achieved__P5_1" xmlDataType="string"/>
    </xmlCellPr>
  </singleXmlCell>
  <singleXmlCell id="584" xr6:uid="{00000000-000C-0000-FFFF-FFFFA1000000}" r="M118" connectionId="0">
    <xmlCellPr id="1" xr6:uid="{00000000-0010-0000-A100-000001000000}" uniqueName="1">
      <xmlPr mapId="43" xpath="/ns1:Root/ns1:Prog/ns1:Achieved__P6_1" xmlDataType="string"/>
    </xmlCellPr>
  </singleXmlCell>
  <singleXmlCell id="585" xr6:uid="{00000000-000C-0000-FFFF-FFFFA2000000}" r="N118" connectionId="0">
    <xmlCellPr id="1" xr6:uid="{00000000-0010-0000-A200-000001000000}" uniqueName="1">
      <xmlPr mapId="43" xpath="/ns1:Root/ns1:Prog/ns1:Achieved__P7_1" xmlDataType="string"/>
    </xmlCellPr>
  </singleXmlCell>
  <singleXmlCell id="586" xr6:uid="{00000000-000C-0000-FFFF-FFFFA3000000}" r="O118" connectionId="0">
    <xmlCellPr id="1" xr6:uid="{00000000-0010-0000-A300-000001000000}" uniqueName="1">
      <xmlPr mapId="43" xpath="/ns1:Root/ns1:Prog/ns1:Achieved__P8_1" xmlDataType="string"/>
    </xmlCellPr>
  </singleXmlCell>
  <singleXmlCell id="587" xr6:uid="{00000000-000C-0000-FFFF-FFFFA4000000}" r="P118" connectionId="0">
    <xmlCellPr id="1" xr6:uid="{00000000-0010-0000-A400-000001000000}" uniqueName="1">
      <xmlPr mapId="43" xpath="/ns1:Root/ns1:Prog/ns1:Achieved__P9_1" xmlDataType="string"/>
    </xmlCellPr>
  </singleXmlCell>
  <singleXmlCell id="588" xr6:uid="{00000000-000C-0000-FFFF-FFFFA5000000}" r="Q118" connectionId="0">
    <xmlCellPr id="1" xr6:uid="{00000000-0010-0000-A500-000001000000}" uniqueName="1">
      <xmlPr mapId="43" xpath="/ns1:Root/ns1:Prog/ns1:Achieved__P10_1" xmlDataType="string"/>
    </xmlCellPr>
  </singleXmlCell>
  <singleXmlCell id="589" xr6:uid="{00000000-000C-0000-FFFF-FFFFA6000000}" r="R118" connectionId="0">
    <xmlCellPr id="1" xr6:uid="{00000000-0010-0000-A600-000001000000}" uniqueName="1">
      <xmlPr mapId="43" xpath="/ns1:Root/ns1:Prog/ns1:Achieved__P11_1" xmlDataType="string"/>
    </xmlCellPr>
  </singleXmlCell>
  <singleXmlCell id="590" xr6:uid="{00000000-000C-0000-FFFF-FFFFA7000000}" r="S118" connectionId="0">
    <xmlCellPr id="1" xr6:uid="{00000000-0010-0000-A700-000001000000}" uniqueName="1">
      <xmlPr mapId="43" xpath="/ns1:Root/ns1:Prog/ns1:Achieved__P12_1" xmlDataType="string"/>
    </xmlCellPr>
  </singleXmlCell>
  <singleXmlCell id="591" xr6:uid="{00000000-000C-0000-FFFF-FFFFA8000000}" r="H119" connectionId="0">
    <xmlCellPr id="1" xr6:uid="{00000000-0010-0000-A800-000001000000}" uniqueName="1">
      <xmlPr mapId="43" xpath="/ns1:Root/ns1:Prog/ns1:Target_P1_2" xmlDataType="double"/>
    </xmlCellPr>
  </singleXmlCell>
  <singleXmlCell id="592" xr6:uid="{00000000-000C-0000-FFFF-FFFFA9000000}" r="I119" connectionId="0">
    <xmlCellPr id="1" xr6:uid="{00000000-0010-0000-A900-000001000000}" uniqueName="1">
      <xmlPr mapId="43" xpath="/ns1:Root/ns1:Prog/ns1:Target_P2_2" xmlDataType="double"/>
    </xmlCellPr>
  </singleXmlCell>
  <singleXmlCell id="593" xr6:uid="{00000000-000C-0000-FFFF-FFFFAA000000}" r="J119" connectionId="0">
    <xmlCellPr id="1" xr6:uid="{00000000-0010-0000-AA00-000001000000}" uniqueName="1">
      <xmlPr mapId="43" xpath="/ns1:Root/ns1:Prog/ns1:Target_P3_2" xmlDataType="double"/>
    </xmlCellPr>
  </singleXmlCell>
  <singleXmlCell id="594" xr6:uid="{00000000-000C-0000-FFFF-FFFFAB000000}" r="L119" connectionId="0">
    <xmlCellPr id="1" xr6:uid="{00000000-0010-0000-AB00-000001000000}" uniqueName="1">
      <xmlPr mapId="43" xpath="/ns1:Root/ns1:Prog/ns1:Target_P5_2" xmlDataType="double"/>
    </xmlCellPr>
  </singleXmlCell>
  <singleXmlCell id="595" xr6:uid="{00000000-000C-0000-FFFF-FFFFAC000000}" r="M119" connectionId="0">
    <xmlCellPr id="1" xr6:uid="{00000000-0010-0000-AC00-000001000000}" uniqueName="1">
      <xmlPr mapId="43" xpath="/ns1:Root/ns1:Prog/ns1:Target_P6_2" xmlDataType="double"/>
    </xmlCellPr>
  </singleXmlCell>
  <singleXmlCell id="596" xr6:uid="{00000000-000C-0000-FFFF-FFFFAD000000}" r="N119" connectionId="0">
    <xmlCellPr id="1" xr6:uid="{00000000-0010-0000-AD00-000001000000}" uniqueName="1">
      <xmlPr mapId="43" xpath="/ns1:Root/ns1:Prog/ns1:Target_P7_2" xmlDataType="double"/>
    </xmlCellPr>
  </singleXmlCell>
  <singleXmlCell id="597" xr6:uid="{00000000-000C-0000-FFFF-FFFFAE000000}" r="O119" connectionId="0">
    <xmlCellPr id="1" xr6:uid="{00000000-0010-0000-AE00-000001000000}" uniqueName="1">
      <xmlPr mapId="43" xpath="/ns1:Root/ns1:Prog/ns1:Target_P8_2" xmlDataType="double"/>
    </xmlCellPr>
  </singleXmlCell>
  <singleXmlCell id="598" xr6:uid="{00000000-000C-0000-FFFF-FFFFAF000000}" r="P119" connectionId="0">
    <xmlCellPr id="1" xr6:uid="{00000000-0010-0000-AF00-000001000000}" uniqueName="1">
      <xmlPr mapId="43" xpath="/ns1:Root/ns1:Prog/ns1:Target_P9_2" xmlDataType="double"/>
    </xmlCellPr>
  </singleXmlCell>
  <singleXmlCell id="599" xr6:uid="{00000000-000C-0000-FFFF-FFFFB0000000}" r="Q119" connectionId="0">
    <xmlCellPr id="1" xr6:uid="{00000000-0010-0000-B000-000001000000}" uniqueName="1">
      <xmlPr mapId="43" xpath="/ns1:Root/ns1:Prog/ns1:Target_P10_2" xmlDataType="double"/>
    </xmlCellPr>
  </singleXmlCell>
  <singleXmlCell id="600" xr6:uid="{00000000-000C-0000-FFFF-FFFFB1000000}" r="R119" connectionId="0">
    <xmlCellPr id="1" xr6:uid="{00000000-0010-0000-B100-000001000000}" uniqueName="1">
      <xmlPr mapId="43" xpath="/ns1:Root/ns1:Prog/ns1:Target_P11_2" xmlDataType="double"/>
    </xmlCellPr>
  </singleXmlCell>
  <singleXmlCell id="601" xr6:uid="{00000000-000C-0000-FFFF-FFFFB2000000}" r="S119" connectionId="0">
    <xmlCellPr id="1" xr6:uid="{00000000-0010-0000-B200-000001000000}" uniqueName="1">
      <xmlPr mapId="43" xpath="/ns1:Root/ns1:Prog/ns1:Target_P12_2" xmlDataType="double"/>
    </xmlCellPr>
  </singleXmlCell>
  <singleXmlCell id="602" xr6:uid="{00000000-000C-0000-FFFF-FFFFB3000000}" r="H120" connectionId="0">
    <xmlCellPr id="1" xr6:uid="{00000000-0010-0000-B300-000001000000}" uniqueName="1">
      <xmlPr mapId="43" xpath="/ns1:Root/ns1:Prog/ns1:Achieved__P1_2" xmlDataType="double"/>
    </xmlCellPr>
  </singleXmlCell>
  <singleXmlCell id="603" xr6:uid="{00000000-000C-0000-FFFF-FFFFB4000000}" r="I120" connectionId="0">
    <xmlCellPr id="1" xr6:uid="{00000000-0010-0000-B400-000001000000}" uniqueName="1">
      <xmlPr mapId="43" xpath="/ns1:Root/ns1:Prog/ns1:Achieved__P2_2" xmlDataType="double"/>
    </xmlCellPr>
  </singleXmlCell>
  <singleXmlCell id="604" xr6:uid="{00000000-000C-0000-FFFF-FFFFB5000000}" r="J120" connectionId="0">
    <xmlCellPr id="1" xr6:uid="{00000000-0010-0000-B500-000001000000}" uniqueName="1">
      <xmlPr mapId="43" xpath="/ns1:Root/ns1:Prog/ns1:Achieved__P3_2" xmlDataType="double"/>
    </xmlCellPr>
  </singleXmlCell>
  <singleXmlCell id="605" xr6:uid="{00000000-000C-0000-FFFF-FFFFB6000000}" r="K120" connectionId="0">
    <xmlCellPr id="1" xr6:uid="{00000000-0010-0000-B600-000001000000}" uniqueName="1">
      <xmlPr mapId="43" xpath="/ns1:Root/ns1:Prog/ns1:Achieved__P4_2" xmlDataType="double"/>
    </xmlCellPr>
  </singleXmlCell>
  <singleXmlCell id="606" xr6:uid="{00000000-000C-0000-FFFF-FFFFB7000000}" r="L120" connectionId="0">
    <xmlCellPr id="1" xr6:uid="{00000000-0010-0000-B700-000001000000}" uniqueName="1">
      <xmlPr mapId="43" xpath="/ns1:Root/ns1:Prog/ns1:Achieved__P5_2" xmlDataType="string"/>
    </xmlCellPr>
  </singleXmlCell>
  <singleXmlCell id="607" xr6:uid="{00000000-000C-0000-FFFF-FFFFB8000000}" r="M120" connectionId="0">
    <xmlCellPr id="1" xr6:uid="{00000000-0010-0000-B800-000001000000}" uniqueName="1">
      <xmlPr mapId="43" xpath="/ns1:Root/ns1:Prog/ns1:Achieved__P6_2" xmlDataType="string"/>
    </xmlCellPr>
  </singleXmlCell>
  <singleXmlCell id="608" xr6:uid="{00000000-000C-0000-FFFF-FFFFB9000000}" r="N120" connectionId="0">
    <xmlCellPr id="1" xr6:uid="{00000000-0010-0000-B900-000001000000}" uniqueName="1">
      <xmlPr mapId="43" xpath="/ns1:Root/ns1:Prog/ns1:Achieved__P7_2" xmlDataType="string"/>
    </xmlCellPr>
  </singleXmlCell>
  <singleXmlCell id="609" xr6:uid="{00000000-000C-0000-FFFF-FFFFBA000000}" r="O120" connectionId="0">
    <xmlCellPr id="1" xr6:uid="{00000000-0010-0000-BA00-000001000000}" uniqueName="1">
      <xmlPr mapId="43" xpath="/ns1:Root/ns1:Prog/ns1:Achieved__P8_2" xmlDataType="string"/>
    </xmlCellPr>
  </singleXmlCell>
  <singleXmlCell id="610" xr6:uid="{00000000-000C-0000-FFFF-FFFFBB000000}" r="P120" connectionId="0">
    <xmlCellPr id="1" xr6:uid="{00000000-0010-0000-BB00-000001000000}" uniqueName="1">
      <xmlPr mapId="43" xpath="/ns1:Root/ns1:Prog/ns1:Achieved__P9_2" xmlDataType="string"/>
    </xmlCellPr>
  </singleXmlCell>
  <singleXmlCell id="611" xr6:uid="{00000000-000C-0000-FFFF-FFFFBC000000}" r="Q120" connectionId="0">
    <xmlCellPr id="1" xr6:uid="{00000000-0010-0000-BC00-000001000000}" uniqueName="1">
      <xmlPr mapId="43" xpath="/ns1:Root/ns1:Prog/ns1:Achieved__P10_2" xmlDataType="string"/>
    </xmlCellPr>
  </singleXmlCell>
  <singleXmlCell id="612" xr6:uid="{00000000-000C-0000-FFFF-FFFFBD000000}" r="R120" connectionId="0">
    <xmlCellPr id="1" xr6:uid="{00000000-0010-0000-BD00-000001000000}" uniqueName="1">
      <xmlPr mapId="43" xpath="/ns1:Root/ns1:Prog/ns1:Achieved__P11_2" xmlDataType="string"/>
    </xmlCellPr>
  </singleXmlCell>
  <singleXmlCell id="613" xr6:uid="{00000000-000C-0000-FFFF-FFFFBE000000}" r="S120" connectionId="0">
    <xmlCellPr id="1" xr6:uid="{00000000-0010-0000-BE00-000001000000}" uniqueName="1">
      <xmlPr mapId="43" xpath="/ns1:Root/ns1:Prog/ns1:Achieved__P12_2" xmlDataType="string"/>
    </xmlCellPr>
  </singleXmlCell>
  <singleXmlCell id="614" xr6:uid="{00000000-000C-0000-FFFF-FFFFBF000000}" r="H121" connectionId="0">
    <xmlCellPr id="1" xr6:uid="{00000000-0010-0000-BF00-000001000000}" uniqueName="1">
      <xmlPr mapId="43" xpath="/ns1:Root/ns1:Prog/ns1:Target_P1_3" xmlDataType="double"/>
    </xmlCellPr>
  </singleXmlCell>
  <singleXmlCell id="615" xr6:uid="{00000000-000C-0000-FFFF-FFFFC0000000}" r="I121" connectionId="0">
    <xmlCellPr id="1" xr6:uid="{00000000-0010-0000-C000-000001000000}" uniqueName="1">
      <xmlPr mapId="43" xpath="/ns1:Root/ns1:Prog/ns1:Target_P2_3" xmlDataType="double"/>
    </xmlCellPr>
  </singleXmlCell>
  <singleXmlCell id="616" xr6:uid="{00000000-000C-0000-FFFF-FFFFC1000000}" r="J121" connectionId="0">
    <xmlCellPr id="1" xr6:uid="{00000000-0010-0000-C100-000001000000}" uniqueName="1">
      <xmlPr mapId="43" xpath="/ns1:Root/ns1:Prog/ns1:Target_P3_3" xmlDataType="double"/>
    </xmlCellPr>
  </singleXmlCell>
  <singleXmlCell id="617" xr6:uid="{00000000-000C-0000-FFFF-FFFFC2000000}" r="K121" connectionId="0">
    <xmlCellPr id="1" xr6:uid="{00000000-0010-0000-C200-000001000000}" uniqueName="1">
      <xmlPr mapId="43" xpath="/ns1:Root/ns1:Prog/ns1:Target_P4_3" xmlDataType="double"/>
    </xmlCellPr>
  </singleXmlCell>
  <singleXmlCell id="618" xr6:uid="{00000000-000C-0000-FFFF-FFFFC3000000}" r="L121" connectionId="0">
    <xmlCellPr id="1" xr6:uid="{00000000-0010-0000-C300-000001000000}" uniqueName="1">
      <xmlPr mapId="43" xpath="/ns1:Root/ns1:Prog/ns1:Target_P5_3" xmlDataType="double"/>
    </xmlCellPr>
  </singleXmlCell>
  <singleXmlCell id="619" xr6:uid="{00000000-000C-0000-FFFF-FFFFC4000000}" r="M121" connectionId="0">
    <xmlCellPr id="1" xr6:uid="{00000000-0010-0000-C400-000001000000}" uniqueName="1">
      <xmlPr mapId="43" xpath="/ns1:Root/ns1:Prog/ns1:Target_P6_3" xmlDataType="double"/>
    </xmlCellPr>
  </singleXmlCell>
  <singleXmlCell id="620" xr6:uid="{00000000-000C-0000-FFFF-FFFFC5000000}" r="N121" connectionId="0">
    <xmlCellPr id="1" xr6:uid="{00000000-0010-0000-C500-000001000000}" uniqueName="1">
      <xmlPr mapId="43" xpath="/ns1:Root/ns1:Prog/ns1:Target_P7_3" xmlDataType="double"/>
    </xmlCellPr>
  </singleXmlCell>
  <singleXmlCell id="621" xr6:uid="{00000000-000C-0000-FFFF-FFFFC6000000}" r="O121" connectionId="0">
    <xmlCellPr id="1" xr6:uid="{00000000-0010-0000-C600-000001000000}" uniqueName="1">
      <xmlPr mapId="43" xpath="/ns1:Root/ns1:Prog/ns1:Target_P8_3" xmlDataType="double"/>
    </xmlCellPr>
  </singleXmlCell>
  <singleXmlCell id="622" xr6:uid="{00000000-000C-0000-FFFF-FFFFC7000000}" r="P121" connectionId="0">
    <xmlCellPr id="1" xr6:uid="{00000000-0010-0000-C700-000001000000}" uniqueName="1">
      <xmlPr mapId="43" xpath="/ns1:Root/ns1:Prog/ns1:Target_P9_3" xmlDataType="double"/>
    </xmlCellPr>
  </singleXmlCell>
  <singleXmlCell id="623" xr6:uid="{00000000-000C-0000-FFFF-FFFFC8000000}" r="Q121" connectionId="0">
    <xmlCellPr id="1" xr6:uid="{00000000-0010-0000-C800-000001000000}" uniqueName="1">
      <xmlPr mapId="43" xpath="/ns1:Root/ns1:Prog/ns1:Target_P10_3" xmlDataType="string"/>
    </xmlCellPr>
  </singleXmlCell>
  <singleXmlCell id="624" xr6:uid="{00000000-000C-0000-FFFF-FFFFC9000000}" r="R121" connectionId="0">
    <xmlCellPr id="1" xr6:uid="{00000000-0010-0000-C900-000001000000}" uniqueName="1">
      <xmlPr mapId="43" xpath="/ns1:Root/ns1:Prog/ns1:Target_P11_3" xmlDataType="string"/>
    </xmlCellPr>
  </singleXmlCell>
  <singleXmlCell id="625" xr6:uid="{00000000-000C-0000-FFFF-FFFFCA000000}" r="S121" connectionId="0">
    <xmlCellPr id="1" xr6:uid="{00000000-0010-0000-CA00-000001000000}" uniqueName="1">
      <xmlPr mapId="43" xpath="/ns1:Root/ns1:Prog/ns1:Target_P12_3" xmlDataType="double"/>
    </xmlCellPr>
  </singleXmlCell>
  <singleXmlCell id="626" xr6:uid="{00000000-000C-0000-FFFF-FFFFCB000000}" r="H122" connectionId="0">
    <xmlCellPr id="1" xr6:uid="{00000000-0010-0000-CB00-000001000000}" uniqueName="1">
      <xmlPr mapId="43" xpath="/ns1:Root/ns1:Prog/ns1:Achieved__P1_3" xmlDataType="string"/>
    </xmlCellPr>
  </singleXmlCell>
  <singleXmlCell id="627" xr6:uid="{00000000-000C-0000-FFFF-FFFFCC000000}" r="I122" connectionId="0">
    <xmlCellPr id="1" xr6:uid="{00000000-0010-0000-CC00-000001000000}" uniqueName="1">
      <xmlPr mapId="43" xpath="/ns1:Root/ns1:Prog/ns1:Achieved__P2_3" xmlDataType="double"/>
    </xmlCellPr>
  </singleXmlCell>
  <singleXmlCell id="628" xr6:uid="{00000000-000C-0000-FFFF-FFFFCD000000}" r="J122" connectionId="0">
    <xmlCellPr id="1" xr6:uid="{00000000-0010-0000-CD00-000001000000}" uniqueName="1">
      <xmlPr mapId="43" xpath="/ns1:Root/ns1:Prog/ns1:Achieved__P3_3" xmlDataType="string"/>
    </xmlCellPr>
  </singleXmlCell>
  <singleXmlCell id="629" xr6:uid="{00000000-000C-0000-FFFF-FFFFCE000000}" r="K122" connectionId="0">
    <xmlCellPr id="1" xr6:uid="{00000000-0010-0000-CE00-000001000000}" uniqueName="1">
      <xmlPr mapId="43" xpath="/ns1:Root/ns1:Prog/ns1:Achieved__P4_3" xmlDataType="double"/>
    </xmlCellPr>
  </singleXmlCell>
  <singleXmlCell id="630" xr6:uid="{00000000-000C-0000-FFFF-FFFFCF000000}" r="L122" connectionId="0">
    <xmlCellPr id="1" xr6:uid="{00000000-0010-0000-CF00-000001000000}" uniqueName="1">
      <xmlPr mapId="43" xpath="/ns1:Root/ns1:Prog/ns1:Achieved__P5_3" xmlDataType="string"/>
    </xmlCellPr>
  </singleXmlCell>
  <singleXmlCell id="631" xr6:uid="{00000000-000C-0000-FFFF-FFFFD0000000}" r="M122" connectionId="0">
    <xmlCellPr id="1" xr6:uid="{00000000-0010-0000-D000-000001000000}" uniqueName="1">
      <xmlPr mapId="43" xpath="/ns1:Root/ns1:Prog/ns1:Achieved__P6_3" xmlDataType="string"/>
    </xmlCellPr>
  </singleXmlCell>
  <singleXmlCell id="632" xr6:uid="{00000000-000C-0000-FFFF-FFFFD1000000}" r="N122" connectionId="0">
    <xmlCellPr id="1" xr6:uid="{00000000-0010-0000-D100-000001000000}" uniqueName="1">
      <xmlPr mapId="43" xpath="/ns1:Root/ns1:Prog/ns1:Achieved__P7_3" xmlDataType="string"/>
    </xmlCellPr>
  </singleXmlCell>
  <singleXmlCell id="633" xr6:uid="{00000000-000C-0000-FFFF-FFFFD2000000}" r="O122" connectionId="0">
    <xmlCellPr id="1" xr6:uid="{00000000-0010-0000-D200-000001000000}" uniqueName="1">
      <xmlPr mapId="43" xpath="/ns1:Root/ns1:Prog/ns1:Achieved__P8_3" xmlDataType="string"/>
    </xmlCellPr>
  </singleXmlCell>
  <singleXmlCell id="634" xr6:uid="{00000000-000C-0000-FFFF-FFFFD3000000}" r="P122" connectionId="0">
    <xmlCellPr id="1" xr6:uid="{00000000-0010-0000-D300-000001000000}" uniqueName="1">
      <xmlPr mapId="43" xpath="/ns1:Root/ns1:Prog/ns1:Achieved__P9_3" xmlDataType="string"/>
    </xmlCellPr>
  </singleXmlCell>
  <singleXmlCell id="635" xr6:uid="{00000000-000C-0000-FFFF-FFFFD4000000}" r="Q122" connectionId="0">
    <xmlCellPr id="1" xr6:uid="{00000000-0010-0000-D400-000001000000}" uniqueName="1">
      <xmlPr mapId="43" xpath="/ns1:Root/ns1:Prog/ns1:Achieved__P10_3" xmlDataType="string"/>
    </xmlCellPr>
  </singleXmlCell>
  <singleXmlCell id="636" xr6:uid="{00000000-000C-0000-FFFF-FFFFD5000000}" r="R122" connectionId="0">
    <xmlCellPr id="1" xr6:uid="{00000000-0010-0000-D500-000001000000}" uniqueName="1">
      <xmlPr mapId="43" xpath="/ns1:Root/ns1:Prog/ns1:Achieved__P11_3" xmlDataType="string"/>
    </xmlCellPr>
  </singleXmlCell>
  <singleXmlCell id="637" xr6:uid="{00000000-000C-0000-FFFF-FFFFD6000000}" r="S122" connectionId="0">
    <xmlCellPr id="1" xr6:uid="{00000000-0010-0000-D600-000001000000}" uniqueName="1">
      <xmlPr mapId="43" xpath="/ns1:Root/ns1:Prog/ns1:Achieved__P12_3" xmlDataType="string"/>
    </xmlCellPr>
  </singleXmlCell>
  <singleXmlCell id="638" xr6:uid="{00000000-000C-0000-FFFF-FFFFD7000000}" r="H123" connectionId="0">
    <xmlCellPr id="1" xr6:uid="{00000000-0010-0000-D700-000001000000}" uniqueName="1">
      <xmlPr mapId="43" xpath="/ns1:Root/ns1:Prog/ns1:Target_P1_4" xmlDataType="string"/>
    </xmlCellPr>
  </singleXmlCell>
  <singleXmlCell id="639" xr6:uid="{00000000-000C-0000-FFFF-FFFFD8000000}" r="I123" connectionId="0">
    <xmlCellPr id="1" xr6:uid="{00000000-0010-0000-D800-000001000000}" uniqueName="1">
      <xmlPr mapId="43" xpath="/ns1:Root/ns1:Prog/ns1:Target_P2_4" xmlDataType="string"/>
    </xmlCellPr>
  </singleXmlCell>
  <singleXmlCell id="640" xr6:uid="{00000000-000C-0000-FFFF-FFFFD9000000}" r="J123" connectionId="0">
    <xmlCellPr id="1" xr6:uid="{00000000-0010-0000-D900-000001000000}" uniqueName="1">
      <xmlPr mapId="43" xpath="/ns1:Root/ns1:Prog/ns1:Target_P3_4" xmlDataType="string"/>
    </xmlCellPr>
  </singleXmlCell>
  <singleXmlCell id="641" xr6:uid="{00000000-000C-0000-FFFF-FFFFDA000000}" r="K123" connectionId="0">
    <xmlCellPr id="1" xr6:uid="{00000000-0010-0000-DA00-000001000000}" uniqueName="1">
      <xmlPr mapId="43" xpath="/ns1:Root/ns1:Prog/ns1:Target_P4_4" xmlDataType="double"/>
    </xmlCellPr>
  </singleXmlCell>
  <singleXmlCell id="642" xr6:uid="{00000000-000C-0000-FFFF-FFFFDB000000}" r="L123" connectionId="0">
    <xmlCellPr id="1" xr6:uid="{00000000-0010-0000-DB00-000001000000}" uniqueName="1">
      <xmlPr mapId="43" xpath="/ns1:Root/ns1:Prog/ns1:Target_P5_4" xmlDataType="string"/>
    </xmlCellPr>
  </singleXmlCell>
  <singleXmlCell id="643" xr6:uid="{00000000-000C-0000-FFFF-FFFFDC000000}" r="M123" connectionId="0">
    <xmlCellPr id="1" xr6:uid="{00000000-0010-0000-DC00-000001000000}" uniqueName="1">
      <xmlPr mapId="43" xpath="/ns1:Root/ns1:Prog/ns1:Target_P6_4" xmlDataType="string"/>
    </xmlCellPr>
  </singleXmlCell>
  <singleXmlCell id="644" xr6:uid="{00000000-000C-0000-FFFF-FFFFDD000000}" r="N123" connectionId="0">
    <xmlCellPr id="1" xr6:uid="{00000000-0010-0000-DD00-000001000000}" uniqueName="1">
      <xmlPr mapId="43" xpath="/ns1:Root/ns1:Prog/ns1:Target_P7_4" xmlDataType="string"/>
    </xmlCellPr>
  </singleXmlCell>
  <singleXmlCell id="645" xr6:uid="{00000000-000C-0000-FFFF-FFFFDE000000}" r="O123" connectionId="0">
    <xmlCellPr id="1" xr6:uid="{00000000-0010-0000-DE00-000001000000}" uniqueName="1">
      <xmlPr mapId="43" xpath="/ns1:Root/ns1:Prog/ns1:Target_P8_4" xmlDataType="double"/>
    </xmlCellPr>
  </singleXmlCell>
  <singleXmlCell id="646" xr6:uid="{00000000-000C-0000-FFFF-FFFFDF000000}" r="P123" connectionId="0">
    <xmlCellPr id="1" xr6:uid="{00000000-0010-0000-DF00-000001000000}" uniqueName="1">
      <xmlPr mapId="43" xpath="/ns1:Root/ns1:Prog/ns1:Target_P9_4" xmlDataType="string"/>
    </xmlCellPr>
  </singleXmlCell>
  <singleXmlCell id="647" xr6:uid="{00000000-000C-0000-FFFF-FFFFE0000000}" r="Q123" connectionId="0">
    <xmlCellPr id="1" xr6:uid="{00000000-0010-0000-E000-000001000000}" uniqueName="1">
      <xmlPr mapId="43" xpath="/ns1:Root/ns1:Prog/ns1:Target_P10_4" xmlDataType="string"/>
    </xmlCellPr>
  </singleXmlCell>
  <singleXmlCell id="648" xr6:uid="{00000000-000C-0000-FFFF-FFFFE1000000}" r="R123" connectionId="0">
    <xmlCellPr id="1" xr6:uid="{00000000-0010-0000-E100-000001000000}" uniqueName="1">
      <xmlPr mapId="43" xpath="/ns1:Root/ns1:Prog/ns1:Target_P11_4" xmlDataType="string"/>
    </xmlCellPr>
  </singleXmlCell>
  <singleXmlCell id="649" xr6:uid="{00000000-000C-0000-FFFF-FFFFE2000000}" r="S123" connectionId="0">
    <xmlCellPr id="1" xr6:uid="{00000000-0010-0000-E200-000001000000}" uniqueName="1">
      <xmlPr mapId="43" xpath="/ns1:Root/ns1:Prog/ns1:Target_P12_4" xmlDataType="double"/>
    </xmlCellPr>
  </singleXmlCell>
  <singleXmlCell id="650" xr6:uid="{00000000-000C-0000-FFFF-FFFFE3000000}" r="H124" connectionId="0">
    <xmlCellPr id="1" xr6:uid="{00000000-0010-0000-E300-000001000000}" uniqueName="1">
      <xmlPr mapId="43" xpath="/ns1:Root/ns1:Prog/ns1:Achieved__P1_4" xmlDataType="string"/>
    </xmlCellPr>
  </singleXmlCell>
  <singleXmlCell id="651" xr6:uid="{00000000-000C-0000-FFFF-FFFFE4000000}" r="I124" connectionId="0">
    <xmlCellPr id="1" xr6:uid="{00000000-0010-0000-E400-000001000000}" uniqueName="1">
      <xmlPr mapId="43" xpath="/ns1:Root/ns1:Prog/ns1:Achieved__P2_4" xmlDataType="string"/>
    </xmlCellPr>
  </singleXmlCell>
  <singleXmlCell id="652" xr6:uid="{00000000-000C-0000-FFFF-FFFFE5000000}" r="J124" connectionId="0">
    <xmlCellPr id="1" xr6:uid="{00000000-0010-0000-E500-000001000000}" uniqueName="1">
      <xmlPr mapId="43" xpath="/ns1:Root/ns1:Prog/ns1:Achieved__P3_4" xmlDataType="string"/>
    </xmlCellPr>
  </singleXmlCell>
  <singleXmlCell id="653" xr6:uid="{00000000-000C-0000-FFFF-FFFFE6000000}" r="K124" connectionId="0">
    <xmlCellPr id="1" xr6:uid="{00000000-0010-0000-E600-000001000000}" uniqueName="1">
      <xmlPr mapId="43" xpath="/ns1:Root/ns1:Prog/ns1:Achieved__P4_4" xmlDataType="double"/>
    </xmlCellPr>
  </singleXmlCell>
  <singleXmlCell id="654" xr6:uid="{00000000-000C-0000-FFFF-FFFFE7000000}" r="L124" connectionId="0">
    <xmlCellPr id="1" xr6:uid="{00000000-0010-0000-E700-000001000000}" uniqueName="1">
      <xmlPr mapId="43" xpath="/ns1:Root/ns1:Prog/ns1:Achieved__P5_4" xmlDataType="string"/>
    </xmlCellPr>
  </singleXmlCell>
  <singleXmlCell id="655" xr6:uid="{00000000-000C-0000-FFFF-FFFFE8000000}" r="M124" connectionId="0">
    <xmlCellPr id="1" xr6:uid="{00000000-0010-0000-E800-000001000000}" uniqueName="1">
      <xmlPr mapId="43" xpath="/ns1:Root/ns1:Prog/ns1:Achieved__P6_4" xmlDataType="string"/>
    </xmlCellPr>
  </singleXmlCell>
  <singleXmlCell id="656" xr6:uid="{00000000-000C-0000-FFFF-FFFFE9000000}" r="N124" connectionId="0">
    <xmlCellPr id="1" xr6:uid="{00000000-0010-0000-E900-000001000000}" uniqueName="1">
      <xmlPr mapId="43" xpath="/ns1:Root/ns1:Prog/ns1:Achieved__P7_4" xmlDataType="string"/>
    </xmlCellPr>
  </singleXmlCell>
  <singleXmlCell id="657" xr6:uid="{00000000-000C-0000-FFFF-FFFFEA000000}" r="O124" connectionId="0">
    <xmlCellPr id="1" xr6:uid="{00000000-0010-0000-EA00-000001000000}" uniqueName="1">
      <xmlPr mapId="43" xpath="/ns1:Root/ns1:Prog/ns1:Achieved__P8_4" xmlDataType="string"/>
    </xmlCellPr>
  </singleXmlCell>
  <singleXmlCell id="658" xr6:uid="{00000000-000C-0000-FFFF-FFFFEB000000}" r="P124" connectionId="0">
    <xmlCellPr id="1" xr6:uid="{00000000-0010-0000-EB00-000001000000}" uniqueName="1">
      <xmlPr mapId="43" xpath="/ns1:Root/ns1:Prog/ns1:Achieved__P9_4" xmlDataType="string"/>
    </xmlCellPr>
  </singleXmlCell>
  <singleXmlCell id="659" xr6:uid="{00000000-000C-0000-FFFF-FFFFEC000000}" r="Q124" connectionId="0">
    <xmlCellPr id="1" xr6:uid="{00000000-0010-0000-EC00-000001000000}" uniqueName="1">
      <xmlPr mapId="43" xpath="/ns1:Root/ns1:Prog/ns1:Achieved__P10_4" xmlDataType="string"/>
    </xmlCellPr>
  </singleXmlCell>
  <singleXmlCell id="660" xr6:uid="{00000000-000C-0000-FFFF-FFFFED000000}" r="R124" connectionId="0">
    <xmlCellPr id="1" xr6:uid="{00000000-0010-0000-ED00-000001000000}" uniqueName="1">
      <xmlPr mapId="43" xpath="/ns1:Root/ns1:Prog/ns1:Achieved__P11_4" xmlDataType="string"/>
    </xmlCellPr>
  </singleXmlCell>
  <singleXmlCell id="661" xr6:uid="{00000000-000C-0000-FFFF-FFFFEE000000}" r="S124" connectionId="0">
    <xmlCellPr id="1" xr6:uid="{00000000-0010-0000-EE00-000001000000}" uniqueName="1">
      <xmlPr mapId="43" xpath="/ns1:Root/ns1:Prog/ns1:Achieved__P12_4" xmlDataType="string"/>
    </xmlCellPr>
  </singleXmlCell>
  <singleXmlCell id="662" xr6:uid="{00000000-000C-0000-FFFF-FFFFEF000000}" r="H125" connectionId="0">
    <xmlCellPr id="1" xr6:uid="{00000000-0010-0000-EF00-000001000000}" uniqueName="1">
      <xmlPr mapId="43" xpath="/ns1:Root/ns1:Prog/ns1:Target_P1_5" xmlDataType="double"/>
    </xmlCellPr>
  </singleXmlCell>
  <singleXmlCell id="663" xr6:uid="{00000000-000C-0000-FFFF-FFFFF0000000}" r="I125" connectionId="0">
    <xmlCellPr id="1" xr6:uid="{00000000-0010-0000-F000-000001000000}" uniqueName="1">
      <xmlPr mapId="43" xpath="/ns1:Root/ns1:Prog/ns1:Target_P2_5" xmlDataType="double"/>
    </xmlCellPr>
  </singleXmlCell>
  <singleXmlCell id="664" xr6:uid="{00000000-000C-0000-FFFF-FFFFF1000000}" r="J125" connectionId="0">
    <xmlCellPr id="1" xr6:uid="{00000000-0010-0000-F100-000001000000}" uniqueName="1">
      <xmlPr mapId="43" xpath="/ns1:Root/ns1:Prog/ns1:Target_P3_5" xmlDataType="double"/>
    </xmlCellPr>
  </singleXmlCell>
  <singleXmlCell id="665" xr6:uid="{00000000-000C-0000-FFFF-FFFFF2000000}" r="K125" connectionId="0">
    <xmlCellPr id="1" xr6:uid="{00000000-0010-0000-F200-000001000000}" uniqueName="1">
      <xmlPr mapId="43" xpath="/ns1:Root/ns1:Prog/ns1:Target_P4_5" xmlDataType="double"/>
    </xmlCellPr>
  </singleXmlCell>
  <singleXmlCell id="666" xr6:uid="{00000000-000C-0000-FFFF-FFFFF3000000}" r="L125" connectionId="0">
    <xmlCellPr id="1" xr6:uid="{00000000-0010-0000-F300-000001000000}" uniqueName="1">
      <xmlPr mapId="43" xpath="/ns1:Root/ns1:Prog/ns1:Target_P5_5" xmlDataType="double"/>
    </xmlCellPr>
  </singleXmlCell>
  <singleXmlCell id="667" xr6:uid="{00000000-000C-0000-FFFF-FFFFF4000000}" r="M125" connectionId="0">
    <xmlCellPr id="1" xr6:uid="{00000000-0010-0000-F400-000001000000}" uniqueName="1">
      <xmlPr mapId="43" xpath="/ns1:Root/ns1:Prog/ns1:Target_P6_5" xmlDataType="double"/>
    </xmlCellPr>
  </singleXmlCell>
  <singleXmlCell id="668" xr6:uid="{00000000-000C-0000-FFFF-FFFFF5000000}" r="N125" connectionId="0">
    <xmlCellPr id="1" xr6:uid="{00000000-0010-0000-F500-000001000000}" uniqueName="1">
      <xmlPr mapId="43" xpath="/ns1:Root/ns1:Prog/ns1:Target_P7_5" xmlDataType="double"/>
    </xmlCellPr>
  </singleXmlCell>
  <singleXmlCell id="669" xr6:uid="{00000000-000C-0000-FFFF-FFFFF6000000}" r="O125" connectionId="0">
    <xmlCellPr id="1" xr6:uid="{00000000-0010-0000-F600-000001000000}" uniqueName="1">
      <xmlPr mapId="43" xpath="/ns1:Root/ns1:Prog/ns1:Target_P8_5" xmlDataType="double"/>
    </xmlCellPr>
  </singleXmlCell>
  <singleXmlCell id="670" xr6:uid="{00000000-000C-0000-FFFF-FFFFF7000000}" r="P125" connectionId="0">
    <xmlCellPr id="1" xr6:uid="{00000000-0010-0000-F700-000001000000}" uniqueName="1">
      <xmlPr mapId="43" xpath="/ns1:Root/ns1:Prog/ns1:Target_P9_5" xmlDataType="double"/>
    </xmlCellPr>
  </singleXmlCell>
  <singleXmlCell id="671" xr6:uid="{00000000-000C-0000-FFFF-FFFFF8000000}" r="Q125" connectionId="0">
    <xmlCellPr id="1" xr6:uid="{00000000-0010-0000-F800-000001000000}" uniqueName="1">
      <xmlPr mapId="43" xpath="/ns1:Root/ns1:Prog/ns1:Target_P10_5" xmlDataType="double"/>
    </xmlCellPr>
  </singleXmlCell>
  <singleXmlCell id="672" xr6:uid="{00000000-000C-0000-FFFF-FFFFF9000000}" r="R125" connectionId="0">
    <xmlCellPr id="1" xr6:uid="{00000000-0010-0000-F900-000001000000}" uniqueName="1">
      <xmlPr mapId="43" xpath="/ns1:Root/ns1:Prog/ns1:Target_P11_5" xmlDataType="double"/>
    </xmlCellPr>
  </singleXmlCell>
  <singleXmlCell id="673" xr6:uid="{00000000-000C-0000-FFFF-FFFFFA000000}" r="S125" connectionId="0">
    <xmlCellPr id="1" xr6:uid="{00000000-0010-0000-FA00-000001000000}" uniqueName="1">
      <xmlPr mapId="43" xpath="/ns1:Root/ns1:Prog/ns1:Target_P12_5" xmlDataType="double"/>
    </xmlCellPr>
  </singleXmlCell>
  <singleXmlCell id="674" xr6:uid="{00000000-000C-0000-FFFF-FFFFFB000000}" r="H126" connectionId="0">
    <xmlCellPr id="1" xr6:uid="{00000000-0010-0000-FB00-000001000000}" uniqueName="1">
      <xmlPr mapId="43" xpath="/ns1:Root/ns1:Prog/ns1:Achieved__P1_5" xmlDataType="double"/>
    </xmlCellPr>
  </singleXmlCell>
  <singleXmlCell id="675" xr6:uid="{00000000-000C-0000-FFFF-FFFFFC000000}" r="I126" connectionId="0">
    <xmlCellPr id="1" xr6:uid="{00000000-0010-0000-FC00-000001000000}" uniqueName="1">
      <xmlPr mapId="43" xpath="/ns1:Root/ns1:Prog/ns1:Achieved__P2_5" xmlDataType="double"/>
    </xmlCellPr>
  </singleXmlCell>
  <singleXmlCell id="676" xr6:uid="{00000000-000C-0000-FFFF-FFFFFD000000}" r="J126" connectionId="0">
    <xmlCellPr id="1" xr6:uid="{00000000-0010-0000-FD00-000001000000}" uniqueName="1">
      <xmlPr mapId="43" xpath="/ns1:Root/ns1:Prog/ns1:Achieved__P3_5" xmlDataType="double"/>
    </xmlCellPr>
  </singleXmlCell>
  <singleXmlCell id="677" xr6:uid="{00000000-000C-0000-FFFF-FFFFFE000000}" r="K126" connectionId="0">
    <xmlCellPr id="1" xr6:uid="{00000000-0010-0000-FE00-000001000000}" uniqueName="1">
      <xmlPr mapId="43" xpath="/ns1:Root/ns1:Prog/ns1:Achieved__P4_5" xmlDataType="double"/>
    </xmlCellPr>
  </singleXmlCell>
  <singleXmlCell id="678" xr6:uid="{00000000-000C-0000-FFFF-FFFFFF000000}" r="L126" connectionId="0">
    <xmlCellPr id="1" xr6:uid="{00000000-0010-0000-FF00-000001000000}" uniqueName="1">
      <xmlPr mapId="43" xpath="/ns1:Root/ns1:Prog/ns1:Achieved__P5_5" xmlDataType="string"/>
    </xmlCellPr>
  </singleXmlCell>
  <singleXmlCell id="679" xr6:uid="{00000000-000C-0000-FFFF-FFFF00010000}" r="M126" connectionId="0">
    <xmlCellPr id="1" xr6:uid="{00000000-0010-0000-0001-000001000000}" uniqueName="1">
      <xmlPr mapId="43" xpath="/ns1:Root/ns1:Prog/ns1:Achieved__P6_5" xmlDataType="string"/>
    </xmlCellPr>
  </singleXmlCell>
  <singleXmlCell id="680" xr6:uid="{00000000-000C-0000-FFFF-FFFF01010000}" r="N126" connectionId="0">
    <xmlCellPr id="1" xr6:uid="{00000000-0010-0000-0101-000001000000}" uniqueName="1">
      <xmlPr mapId="43" xpath="/ns1:Root/ns1:Prog/ns1:Achieved__P7_5" xmlDataType="string"/>
    </xmlCellPr>
  </singleXmlCell>
  <singleXmlCell id="681" xr6:uid="{00000000-000C-0000-FFFF-FFFF02010000}" r="O126" connectionId="0">
    <xmlCellPr id="1" xr6:uid="{00000000-0010-0000-0201-000001000000}" uniqueName="1">
      <xmlPr mapId="43" xpath="/ns1:Root/ns1:Prog/ns1:Achieved__P8_5" xmlDataType="string"/>
    </xmlCellPr>
  </singleXmlCell>
  <singleXmlCell id="682" xr6:uid="{00000000-000C-0000-FFFF-FFFF03010000}" r="P126" connectionId="0">
    <xmlCellPr id="1" xr6:uid="{00000000-0010-0000-0301-000001000000}" uniqueName="1">
      <xmlPr mapId="43" xpath="/ns1:Root/ns1:Prog/ns1:Achieved__P9_5" xmlDataType="string"/>
    </xmlCellPr>
  </singleXmlCell>
  <singleXmlCell id="683" xr6:uid="{00000000-000C-0000-FFFF-FFFF04010000}" r="Q126" connectionId="0">
    <xmlCellPr id="1" xr6:uid="{00000000-0010-0000-0401-000001000000}" uniqueName="1">
      <xmlPr mapId="43" xpath="/ns1:Root/ns1:Prog/ns1:Achieved__P10_5" xmlDataType="string"/>
    </xmlCellPr>
  </singleXmlCell>
  <singleXmlCell id="684" xr6:uid="{00000000-000C-0000-FFFF-FFFF05010000}" r="R126" connectionId="0">
    <xmlCellPr id="1" xr6:uid="{00000000-0010-0000-0501-000001000000}" uniqueName="1">
      <xmlPr mapId="43" xpath="/ns1:Root/ns1:Prog/ns1:Achieved__P11_5" xmlDataType="string"/>
    </xmlCellPr>
  </singleXmlCell>
  <singleXmlCell id="685" xr6:uid="{00000000-000C-0000-FFFF-FFFF06010000}" r="S126" connectionId="0">
    <xmlCellPr id="1" xr6:uid="{00000000-0010-0000-0601-000001000000}" uniqueName="1">
      <xmlPr mapId="43" xpath="/ns1:Root/ns1:Prog/ns1:Achieved__P12_5" xmlDataType="string"/>
    </xmlCellPr>
  </singleXmlCell>
  <singleXmlCell id="686" xr6:uid="{00000000-000C-0000-FFFF-FFFF07010000}" r="H127" connectionId="0">
    <xmlCellPr id="1" xr6:uid="{00000000-0010-0000-0701-000001000000}" uniqueName="1">
      <xmlPr mapId="43" xpath="/ns1:Root/ns1:Prog/ns1:Target_P1_6" xmlDataType="double"/>
    </xmlCellPr>
  </singleXmlCell>
  <singleXmlCell id="687" xr6:uid="{00000000-000C-0000-FFFF-FFFF08010000}" r="I127" connectionId="0">
    <xmlCellPr id="1" xr6:uid="{00000000-0010-0000-0801-000001000000}" uniqueName="1">
      <xmlPr mapId="43" xpath="/ns1:Root/ns1:Prog/ns1:Target_P2_6" xmlDataType="double"/>
    </xmlCellPr>
  </singleXmlCell>
  <singleXmlCell id="688" xr6:uid="{00000000-000C-0000-FFFF-FFFF09010000}" r="J127" connectionId="0">
    <xmlCellPr id="1" xr6:uid="{00000000-0010-0000-0901-000001000000}" uniqueName="1">
      <xmlPr mapId="43" xpath="/ns1:Root/ns1:Prog/ns1:Target_P3_6" xmlDataType="double"/>
    </xmlCellPr>
  </singleXmlCell>
  <singleXmlCell id="689" xr6:uid="{00000000-000C-0000-FFFF-FFFF0A010000}" r="K127" connectionId="0">
    <xmlCellPr id="1" xr6:uid="{00000000-0010-0000-0A01-000001000000}" uniqueName="1">
      <xmlPr mapId="43" xpath="/ns1:Root/ns1:Prog/ns1:Target_P4_6" xmlDataType="double"/>
    </xmlCellPr>
  </singleXmlCell>
  <singleXmlCell id="690" xr6:uid="{00000000-000C-0000-FFFF-FFFF0B010000}" r="L127" connectionId="0">
    <xmlCellPr id="1" xr6:uid="{00000000-0010-0000-0B01-000001000000}" uniqueName="1">
      <xmlPr mapId="43" xpath="/ns1:Root/ns1:Prog/ns1:Target_P5_6" xmlDataType="double"/>
    </xmlCellPr>
  </singleXmlCell>
  <singleXmlCell id="691" xr6:uid="{00000000-000C-0000-FFFF-FFFF0C010000}" r="M127" connectionId="0">
    <xmlCellPr id="1" xr6:uid="{00000000-0010-0000-0C01-000001000000}" uniqueName="1">
      <xmlPr mapId="43" xpath="/ns1:Root/ns1:Prog/ns1:Target_P6_6" xmlDataType="double"/>
    </xmlCellPr>
  </singleXmlCell>
  <singleXmlCell id="692" xr6:uid="{00000000-000C-0000-FFFF-FFFF0D010000}" r="N127" connectionId="0">
    <xmlCellPr id="1" xr6:uid="{00000000-0010-0000-0D01-000001000000}" uniqueName="1">
      <xmlPr mapId="43" xpath="/ns1:Root/ns1:Prog/ns1:Target_P7_6" xmlDataType="double"/>
    </xmlCellPr>
  </singleXmlCell>
  <singleXmlCell id="693" xr6:uid="{00000000-000C-0000-FFFF-FFFF0E010000}" r="O127" connectionId="0">
    <xmlCellPr id="1" xr6:uid="{00000000-0010-0000-0E01-000001000000}" uniqueName="1">
      <xmlPr mapId="43" xpath="/ns1:Root/ns1:Prog/ns1:Target_P8_6" xmlDataType="double"/>
    </xmlCellPr>
  </singleXmlCell>
  <singleXmlCell id="694" xr6:uid="{00000000-000C-0000-FFFF-FFFF0F010000}" r="P127" connectionId="0">
    <xmlCellPr id="1" xr6:uid="{00000000-0010-0000-0F01-000001000000}" uniqueName="1">
      <xmlPr mapId="43" xpath="/ns1:Root/ns1:Prog/ns1:Target_P9_6" xmlDataType="double"/>
    </xmlCellPr>
  </singleXmlCell>
  <singleXmlCell id="695" xr6:uid="{00000000-000C-0000-FFFF-FFFF10010000}" r="Q127" connectionId="0">
    <xmlCellPr id="1" xr6:uid="{00000000-0010-0000-1001-000001000000}" uniqueName="1">
      <xmlPr mapId="43" xpath="/ns1:Root/ns1:Prog/ns1:Target_P10_6" xmlDataType="double"/>
    </xmlCellPr>
  </singleXmlCell>
  <singleXmlCell id="696" xr6:uid="{00000000-000C-0000-FFFF-FFFF11010000}" r="R127" connectionId="0">
    <xmlCellPr id="1" xr6:uid="{00000000-0010-0000-1101-000001000000}" uniqueName="1">
      <xmlPr mapId="43" xpath="/ns1:Root/ns1:Prog/ns1:Target_P11_6" xmlDataType="double"/>
    </xmlCellPr>
  </singleXmlCell>
  <singleXmlCell id="697" xr6:uid="{00000000-000C-0000-FFFF-FFFF12010000}" r="S127" connectionId="0">
    <xmlCellPr id="1" xr6:uid="{00000000-0010-0000-1201-000001000000}" uniqueName="1">
      <xmlPr mapId="43" xpath="/ns1:Root/ns1:Prog/ns1:Target_P12_6" xmlDataType="double"/>
    </xmlCellPr>
  </singleXmlCell>
  <singleXmlCell id="698" xr6:uid="{00000000-000C-0000-FFFF-FFFF13010000}" r="H128" connectionId="0">
    <xmlCellPr id="1" xr6:uid="{00000000-0010-0000-1301-000001000000}" uniqueName="1">
      <xmlPr mapId="43" xpath="/ns1:Root/ns1:Prog/ns1:Achieved__P1_6" xmlDataType="double"/>
    </xmlCellPr>
  </singleXmlCell>
  <singleXmlCell id="699" xr6:uid="{00000000-000C-0000-FFFF-FFFF14010000}" r="I128" connectionId="0">
    <xmlCellPr id="1" xr6:uid="{00000000-0010-0000-1401-000001000000}" uniqueName="1">
      <xmlPr mapId="43" xpath="/ns1:Root/ns1:Prog/ns1:Achieved__P2_6" xmlDataType="double"/>
    </xmlCellPr>
  </singleXmlCell>
  <singleXmlCell id="700" xr6:uid="{00000000-000C-0000-FFFF-FFFF15010000}" r="J128" connectionId="0">
    <xmlCellPr id="1" xr6:uid="{00000000-0010-0000-1501-000001000000}" uniqueName="1">
      <xmlPr mapId="43" xpath="/ns1:Root/ns1:Prog/ns1:Achieved__P3_6" xmlDataType="double"/>
    </xmlCellPr>
  </singleXmlCell>
  <singleXmlCell id="701" xr6:uid="{00000000-000C-0000-FFFF-FFFF16010000}" r="K128" connectionId="0">
    <xmlCellPr id="1" xr6:uid="{00000000-0010-0000-1601-000001000000}" uniqueName="1">
      <xmlPr mapId="43" xpath="/ns1:Root/ns1:Prog/ns1:Achieved__P4_6" xmlDataType="double"/>
    </xmlCellPr>
  </singleXmlCell>
  <singleXmlCell id="702" xr6:uid="{00000000-000C-0000-FFFF-FFFF17010000}" r="L128" connectionId="0">
    <xmlCellPr id="1" xr6:uid="{00000000-0010-0000-1701-000001000000}" uniqueName="1">
      <xmlPr mapId="43" xpath="/ns1:Root/ns1:Prog/ns1:Achieved__P5_6" xmlDataType="string"/>
    </xmlCellPr>
  </singleXmlCell>
  <singleXmlCell id="703" xr6:uid="{00000000-000C-0000-FFFF-FFFF18010000}" r="M128" connectionId="0">
    <xmlCellPr id="1" xr6:uid="{00000000-0010-0000-1801-000001000000}" uniqueName="1">
      <xmlPr mapId="43" xpath="/ns1:Root/ns1:Prog/ns1:Achieved__P6_6" xmlDataType="string"/>
    </xmlCellPr>
  </singleXmlCell>
  <singleXmlCell id="704" xr6:uid="{00000000-000C-0000-FFFF-FFFF19010000}" r="N128" connectionId="0">
    <xmlCellPr id="1" xr6:uid="{00000000-0010-0000-1901-000001000000}" uniqueName="1">
      <xmlPr mapId="43" xpath="/ns1:Root/ns1:Prog/ns1:Achieved__P7_6" xmlDataType="string"/>
    </xmlCellPr>
  </singleXmlCell>
  <singleXmlCell id="705" xr6:uid="{00000000-000C-0000-FFFF-FFFF1A010000}" r="O128" connectionId="0">
    <xmlCellPr id="1" xr6:uid="{00000000-0010-0000-1A01-000001000000}" uniqueName="1">
      <xmlPr mapId="43" xpath="/ns1:Root/ns1:Prog/ns1:Achieved__P8_6" xmlDataType="string"/>
    </xmlCellPr>
  </singleXmlCell>
  <singleXmlCell id="706" xr6:uid="{00000000-000C-0000-FFFF-FFFF1B010000}" r="P128" connectionId="0">
    <xmlCellPr id="1" xr6:uid="{00000000-0010-0000-1B01-000001000000}" uniqueName="1">
      <xmlPr mapId="43" xpath="/ns1:Root/ns1:Prog/ns1:Achieved__P9_6" xmlDataType="string"/>
    </xmlCellPr>
  </singleXmlCell>
  <singleXmlCell id="707" xr6:uid="{00000000-000C-0000-FFFF-FFFF1C010000}" r="Q128" connectionId="0">
    <xmlCellPr id="1" xr6:uid="{00000000-0010-0000-1C01-000001000000}" uniqueName="1">
      <xmlPr mapId="43" xpath="/ns1:Root/ns1:Prog/ns1:Achieved__P10_6" xmlDataType="string"/>
    </xmlCellPr>
  </singleXmlCell>
  <singleXmlCell id="708" xr6:uid="{00000000-000C-0000-FFFF-FFFF1D010000}" r="R128" connectionId="0">
    <xmlCellPr id="1" xr6:uid="{00000000-0010-0000-1D01-000001000000}" uniqueName="1">
      <xmlPr mapId="43" xpath="/ns1:Root/ns1:Prog/ns1:Achieved__P11_6" xmlDataType="string"/>
    </xmlCellPr>
  </singleXmlCell>
  <singleXmlCell id="709" xr6:uid="{00000000-000C-0000-FFFF-FFFF1E010000}" r="S128" connectionId="0">
    <xmlCellPr id="1" xr6:uid="{00000000-0010-0000-1E01-000001000000}" uniqueName="1">
      <xmlPr mapId="43" xpath="/ns1:Root/ns1:Prog/ns1:Achieved__P12_6" xmlDataType="string"/>
    </xmlCellPr>
  </singleXmlCell>
  <singleXmlCell id="710" xr6:uid="{00000000-000C-0000-FFFF-FFFF1F010000}" r="H129" connectionId="0">
    <xmlCellPr id="1" xr6:uid="{00000000-0010-0000-1F01-000001000000}" uniqueName="1">
      <xmlPr mapId="43" xpath="/ns1:Root/ns1:Prog/ns1:Target_P1_7" xmlDataType="double"/>
    </xmlCellPr>
  </singleXmlCell>
  <singleXmlCell id="711" xr6:uid="{00000000-000C-0000-FFFF-FFFF20010000}" r="I129" connectionId="0">
    <xmlCellPr id="1" xr6:uid="{00000000-0010-0000-2001-000001000000}" uniqueName="1">
      <xmlPr mapId="43" xpath="/ns1:Root/ns1:Prog/ns1:Target_P2_7" xmlDataType="double"/>
    </xmlCellPr>
  </singleXmlCell>
  <singleXmlCell id="712" xr6:uid="{00000000-000C-0000-FFFF-FFFF21010000}" r="J129" connectionId="0">
    <xmlCellPr id="1" xr6:uid="{00000000-0010-0000-2101-000001000000}" uniqueName="1">
      <xmlPr mapId="43" xpath="/ns1:Root/ns1:Prog/ns1:Target_P3_7" xmlDataType="double"/>
    </xmlCellPr>
  </singleXmlCell>
  <singleXmlCell id="713" xr6:uid="{00000000-000C-0000-FFFF-FFFF22010000}" r="K129" connectionId="0">
    <xmlCellPr id="1" xr6:uid="{00000000-0010-0000-2201-000001000000}" uniqueName="1">
      <xmlPr mapId="43" xpath="/ns1:Root/ns1:Prog/ns1:Target_P4_7" xmlDataType="double"/>
    </xmlCellPr>
  </singleXmlCell>
  <singleXmlCell id="714" xr6:uid="{00000000-000C-0000-FFFF-FFFF23010000}" r="L129" connectionId="0">
    <xmlCellPr id="1" xr6:uid="{00000000-0010-0000-2301-000001000000}" uniqueName="1">
      <xmlPr mapId="43" xpath="/ns1:Root/ns1:Prog/ns1:Target_P5_7" xmlDataType="double"/>
    </xmlCellPr>
  </singleXmlCell>
  <singleXmlCell id="715" xr6:uid="{00000000-000C-0000-FFFF-FFFF24010000}" r="M129" connectionId="0">
    <xmlCellPr id="1" xr6:uid="{00000000-0010-0000-2401-000001000000}" uniqueName="1">
      <xmlPr mapId="43" xpath="/ns1:Root/ns1:Prog/ns1:Target_P6_7" xmlDataType="double"/>
    </xmlCellPr>
  </singleXmlCell>
  <singleXmlCell id="716" xr6:uid="{00000000-000C-0000-FFFF-FFFF25010000}" r="N129" connectionId="0">
    <xmlCellPr id="1" xr6:uid="{00000000-0010-0000-2501-000001000000}" uniqueName="1">
      <xmlPr mapId="43" xpath="/ns1:Root/ns1:Prog/ns1:Target_P7_7" xmlDataType="double"/>
    </xmlCellPr>
  </singleXmlCell>
  <singleXmlCell id="717" xr6:uid="{00000000-000C-0000-FFFF-FFFF26010000}" r="O129" connectionId="0">
    <xmlCellPr id="1" xr6:uid="{00000000-0010-0000-2601-000001000000}" uniqueName="1">
      <xmlPr mapId="43" xpath="/ns1:Root/ns1:Prog/ns1:Target_P8_7" xmlDataType="double"/>
    </xmlCellPr>
  </singleXmlCell>
  <singleXmlCell id="718" xr6:uid="{00000000-000C-0000-FFFF-FFFF27010000}" r="P129" connectionId="0">
    <xmlCellPr id="1" xr6:uid="{00000000-0010-0000-2701-000001000000}" uniqueName="1">
      <xmlPr mapId="43" xpath="/ns1:Root/ns1:Prog/ns1:Target_P9_7" xmlDataType="double"/>
    </xmlCellPr>
  </singleXmlCell>
  <singleXmlCell id="719" xr6:uid="{00000000-000C-0000-FFFF-FFFF28010000}" r="Q129" connectionId="0">
    <xmlCellPr id="1" xr6:uid="{00000000-0010-0000-2801-000001000000}" uniqueName="1">
      <xmlPr mapId="43" xpath="/ns1:Root/ns1:Prog/ns1:Target_P10_7" xmlDataType="double"/>
    </xmlCellPr>
  </singleXmlCell>
  <singleXmlCell id="720" xr6:uid="{00000000-000C-0000-FFFF-FFFF29010000}" r="R129" connectionId="0">
    <xmlCellPr id="1" xr6:uid="{00000000-0010-0000-2901-000001000000}" uniqueName="1">
      <xmlPr mapId="43" xpath="/ns1:Root/ns1:Prog/ns1:Target_P11_7" xmlDataType="double"/>
    </xmlCellPr>
  </singleXmlCell>
  <singleXmlCell id="721" xr6:uid="{00000000-000C-0000-FFFF-FFFF2A010000}" r="S129" connectionId="0">
    <xmlCellPr id="1" xr6:uid="{00000000-0010-0000-2A01-000001000000}" uniqueName="1">
      <xmlPr mapId="43" xpath="/ns1:Root/ns1:Prog/ns1:Target_P12_7" xmlDataType="double"/>
    </xmlCellPr>
  </singleXmlCell>
  <singleXmlCell id="722" xr6:uid="{00000000-000C-0000-FFFF-FFFF2B010000}" r="H130" connectionId="0">
    <xmlCellPr id="1" xr6:uid="{00000000-0010-0000-2B01-000001000000}" uniqueName="1">
      <xmlPr mapId="43" xpath="/ns1:Root/ns1:Prog/ns1:Achieved__P1_7" xmlDataType="double"/>
    </xmlCellPr>
  </singleXmlCell>
  <singleXmlCell id="723" xr6:uid="{00000000-000C-0000-FFFF-FFFF2C010000}" r="I130" connectionId="0">
    <xmlCellPr id="1" xr6:uid="{00000000-0010-0000-2C01-000001000000}" uniqueName="1">
      <xmlPr mapId="43" xpath="/ns1:Root/ns1:Prog/ns1:Achieved__P2_7" xmlDataType="double"/>
    </xmlCellPr>
  </singleXmlCell>
  <singleXmlCell id="724" xr6:uid="{00000000-000C-0000-FFFF-FFFF2D010000}" r="J130" connectionId="0">
    <xmlCellPr id="1" xr6:uid="{00000000-0010-0000-2D01-000001000000}" uniqueName="1">
      <xmlPr mapId="43" xpath="/ns1:Root/ns1:Prog/ns1:Achieved__P3_7" xmlDataType="double"/>
    </xmlCellPr>
  </singleXmlCell>
  <singleXmlCell id="725" xr6:uid="{00000000-000C-0000-FFFF-FFFF2E010000}" r="K130" connectionId="0">
    <xmlCellPr id="1" xr6:uid="{00000000-0010-0000-2E01-000001000000}" uniqueName="1">
      <xmlPr mapId="43" xpath="/ns1:Root/ns1:Prog/ns1:Achieved__P4_7" xmlDataType="double"/>
    </xmlCellPr>
  </singleXmlCell>
  <singleXmlCell id="726" xr6:uid="{00000000-000C-0000-FFFF-FFFF2F010000}" r="L130" connectionId="0">
    <xmlCellPr id="1" xr6:uid="{00000000-0010-0000-2F01-000001000000}" uniqueName="1">
      <xmlPr mapId="43" xpath="/ns1:Root/ns1:Prog/ns1:Achieved__P5_7" xmlDataType="string"/>
    </xmlCellPr>
  </singleXmlCell>
  <singleXmlCell id="727" xr6:uid="{00000000-000C-0000-FFFF-FFFF30010000}" r="M130" connectionId="0">
    <xmlCellPr id="1" xr6:uid="{00000000-0010-0000-3001-000001000000}" uniqueName="1">
      <xmlPr mapId="43" xpath="/ns1:Root/ns1:Prog/ns1:Achieved__P6_7" xmlDataType="string"/>
    </xmlCellPr>
  </singleXmlCell>
  <singleXmlCell id="728" xr6:uid="{00000000-000C-0000-FFFF-FFFF31010000}" r="N130" connectionId="0">
    <xmlCellPr id="1" xr6:uid="{00000000-0010-0000-3101-000001000000}" uniqueName="1">
      <xmlPr mapId="43" xpath="/ns1:Root/ns1:Prog/ns1:Achieved__P7_7" xmlDataType="string"/>
    </xmlCellPr>
  </singleXmlCell>
  <singleXmlCell id="729" xr6:uid="{00000000-000C-0000-FFFF-FFFF32010000}" r="O130" connectionId="0">
    <xmlCellPr id="1" xr6:uid="{00000000-0010-0000-3201-000001000000}" uniqueName="1">
      <xmlPr mapId="43" xpath="/ns1:Root/ns1:Prog/ns1:Achieved__P8_7" xmlDataType="string"/>
    </xmlCellPr>
  </singleXmlCell>
  <singleXmlCell id="730" xr6:uid="{00000000-000C-0000-FFFF-FFFF33010000}" r="P130" connectionId="0">
    <xmlCellPr id="1" xr6:uid="{00000000-0010-0000-3301-000001000000}" uniqueName="1">
      <xmlPr mapId="43" xpath="/ns1:Root/ns1:Prog/ns1:Achieved__P9_7" xmlDataType="string"/>
    </xmlCellPr>
  </singleXmlCell>
  <singleXmlCell id="731" xr6:uid="{00000000-000C-0000-FFFF-FFFF34010000}" r="Q130" connectionId="0">
    <xmlCellPr id="1" xr6:uid="{00000000-0010-0000-3401-000001000000}" uniqueName="1">
      <xmlPr mapId="43" xpath="/ns1:Root/ns1:Prog/ns1:Achieved__P10_7" xmlDataType="string"/>
    </xmlCellPr>
  </singleXmlCell>
  <singleXmlCell id="732" xr6:uid="{00000000-000C-0000-FFFF-FFFF35010000}" r="R130" connectionId="0">
    <xmlCellPr id="1" xr6:uid="{00000000-0010-0000-3501-000001000000}" uniqueName="1">
      <xmlPr mapId="43" xpath="/ns1:Root/ns1:Prog/ns1:Achieved__P11_7" xmlDataType="string"/>
    </xmlCellPr>
  </singleXmlCell>
  <singleXmlCell id="733" xr6:uid="{00000000-000C-0000-FFFF-FFFF36010000}" r="S130" connectionId="0">
    <xmlCellPr id="1" xr6:uid="{00000000-0010-0000-3601-000001000000}" uniqueName="1">
      <xmlPr mapId="43" xpath="/ns1:Root/ns1:Prog/ns1:Achieved__P12_7" xmlDataType="string"/>
    </xmlCellPr>
  </singleXmlCell>
  <singleXmlCell id="734" xr6:uid="{00000000-000C-0000-FFFF-FFFF37010000}" r="H131" connectionId="0">
    <xmlCellPr id="1" xr6:uid="{00000000-0010-0000-3701-000001000000}" uniqueName="1">
      <xmlPr mapId="43" xpath="/ns1:Root/ns1:Prog/ns1:Target_P1_8" xmlDataType="string"/>
    </xmlCellPr>
  </singleXmlCell>
  <singleXmlCell id="735" xr6:uid="{00000000-000C-0000-FFFF-FFFF38010000}" r="I131" connectionId="0">
    <xmlCellPr id="1" xr6:uid="{00000000-0010-0000-3801-000001000000}" uniqueName="1">
      <xmlPr mapId="43" xpath="/ns1:Root/ns1:Prog/ns1:Target_P2_8" xmlDataType="double"/>
    </xmlCellPr>
  </singleXmlCell>
  <singleXmlCell id="736" xr6:uid="{00000000-000C-0000-FFFF-FFFF39010000}" r="J131" connectionId="0">
    <xmlCellPr id="1" xr6:uid="{00000000-0010-0000-3901-000001000000}" uniqueName="1">
      <xmlPr mapId="43" xpath="/ns1:Root/ns1:Prog/ns1:Target_P3_8" xmlDataType="string"/>
    </xmlCellPr>
  </singleXmlCell>
  <singleXmlCell id="737" xr6:uid="{00000000-000C-0000-FFFF-FFFF3A010000}" r="K131" connectionId="0">
    <xmlCellPr id="1" xr6:uid="{00000000-0010-0000-3A01-000001000000}" uniqueName="1">
      <xmlPr mapId="43" xpath="/ns1:Root/ns1:Prog/ns1:Target_P4_8" xmlDataType="double"/>
    </xmlCellPr>
  </singleXmlCell>
  <singleXmlCell id="738" xr6:uid="{00000000-000C-0000-FFFF-FFFF3B010000}" r="L131" connectionId="0">
    <xmlCellPr id="1" xr6:uid="{00000000-0010-0000-3B01-000001000000}" uniqueName="1">
      <xmlPr mapId="43" xpath="/ns1:Root/ns1:Prog/ns1:Target_P5_8" xmlDataType="string"/>
    </xmlCellPr>
  </singleXmlCell>
  <singleXmlCell id="739" xr6:uid="{00000000-000C-0000-FFFF-FFFF3C010000}" r="M131" connectionId="0">
    <xmlCellPr id="1" xr6:uid="{00000000-0010-0000-3C01-000001000000}" uniqueName="1">
      <xmlPr mapId="43" xpath="/ns1:Root/ns1:Prog/ns1:Target_P6_8" xmlDataType="double"/>
    </xmlCellPr>
  </singleXmlCell>
  <singleXmlCell id="740" xr6:uid="{00000000-000C-0000-FFFF-FFFF3D010000}" r="N131" connectionId="0">
    <xmlCellPr id="1" xr6:uid="{00000000-0010-0000-3D01-000001000000}" uniqueName="1">
      <xmlPr mapId="43" xpath="/ns1:Root/ns1:Prog/ns1:Target_P7_8" xmlDataType="string"/>
    </xmlCellPr>
  </singleXmlCell>
  <singleXmlCell id="741" xr6:uid="{00000000-000C-0000-FFFF-FFFF3E010000}" r="O131" connectionId="0">
    <xmlCellPr id="1" xr6:uid="{00000000-0010-0000-3E01-000001000000}" uniqueName="1">
      <xmlPr mapId="43" xpath="/ns1:Root/ns1:Prog/ns1:Target_P8_8" xmlDataType="double"/>
    </xmlCellPr>
  </singleXmlCell>
  <singleXmlCell id="742" xr6:uid="{00000000-000C-0000-FFFF-FFFF3F010000}" r="P131" connectionId="0">
    <xmlCellPr id="1" xr6:uid="{00000000-0010-0000-3F01-000001000000}" uniqueName="1">
      <xmlPr mapId="43" xpath="/ns1:Root/ns1:Prog/ns1:Target_P9_8" xmlDataType="double"/>
    </xmlCellPr>
  </singleXmlCell>
  <singleXmlCell id="743" xr6:uid="{00000000-000C-0000-FFFF-FFFF40010000}" r="Q131" connectionId="0">
    <xmlCellPr id="1" xr6:uid="{00000000-0010-0000-4001-000001000000}" uniqueName="1">
      <xmlPr mapId="43" xpath="/ns1:Root/ns1:Prog/ns1:Target_P10_8" xmlDataType="double"/>
    </xmlCellPr>
  </singleXmlCell>
  <singleXmlCell id="744" xr6:uid="{00000000-000C-0000-FFFF-FFFF41010000}" r="R131" connectionId="0">
    <xmlCellPr id="1" xr6:uid="{00000000-0010-0000-4101-000001000000}" uniqueName="1">
      <xmlPr mapId="43" xpath="/ns1:Root/ns1:Prog/ns1:Target_P11_8" xmlDataType="double"/>
    </xmlCellPr>
  </singleXmlCell>
  <singleXmlCell id="745" xr6:uid="{00000000-000C-0000-FFFF-FFFF42010000}" r="S131" connectionId="0">
    <xmlCellPr id="1" xr6:uid="{00000000-0010-0000-4201-000001000000}" uniqueName="1">
      <xmlPr mapId="43" xpath="/ns1:Root/ns1:Prog/ns1:Target_P12_8" xmlDataType="double"/>
    </xmlCellPr>
  </singleXmlCell>
  <singleXmlCell id="746" xr6:uid="{00000000-000C-0000-FFFF-FFFF43010000}" r="H132" connectionId="0">
    <xmlCellPr id="1" xr6:uid="{00000000-0010-0000-4301-000001000000}" uniqueName="1">
      <xmlPr mapId="43" xpath="/ns1:Root/ns1:Prog/ns1:Achieved__P1_8" xmlDataType="string"/>
    </xmlCellPr>
  </singleXmlCell>
  <singleXmlCell id="747" xr6:uid="{00000000-000C-0000-FFFF-FFFF44010000}" r="I132" connectionId="0">
    <xmlCellPr id="1" xr6:uid="{00000000-0010-0000-4401-000001000000}" uniqueName="1">
      <xmlPr mapId="43" xpath="/ns1:Root/ns1:Prog/ns1:Achieved__P2_8" xmlDataType="string"/>
    </xmlCellPr>
  </singleXmlCell>
  <singleXmlCell id="748" xr6:uid="{00000000-000C-0000-FFFF-FFFF45010000}" r="J132" connectionId="0">
    <xmlCellPr id="1" xr6:uid="{00000000-0010-0000-4501-000001000000}" uniqueName="1">
      <xmlPr mapId="43" xpath="/ns1:Root/ns1:Prog/ns1:Achieved__P3_8" xmlDataType="string"/>
    </xmlCellPr>
  </singleXmlCell>
  <singleXmlCell id="749" xr6:uid="{00000000-000C-0000-FFFF-FFFF46010000}" r="K132" connectionId="0">
    <xmlCellPr id="1" xr6:uid="{00000000-0010-0000-4601-000001000000}" uniqueName="1">
      <xmlPr mapId="43" xpath="/ns1:Root/ns1:Prog/ns1:Achieved__P4_8" xmlDataType="string"/>
    </xmlCellPr>
  </singleXmlCell>
  <singleXmlCell id="750" xr6:uid="{00000000-000C-0000-FFFF-FFFF47010000}" r="L132" connectionId="0">
    <xmlCellPr id="1" xr6:uid="{00000000-0010-0000-4701-000001000000}" uniqueName="1">
      <xmlPr mapId="43" xpath="/ns1:Root/ns1:Prog/ns1:Achieved__P5_8" xmlDataType="string"/>
    </xmlCellPr>
  </singleXmlCell>
  <singleXmlCell id="751" xr6:uid="{00000000-000C-0000-FFFF-FFFF48010000}" r="M132" connectionId="0">
    <xmlCellPr id="1" xr6:uid="{00000000-0010-0000-4801-000001000000}" uniqueName="1">
      <xmlPr mapId="43" xpath="/ns1:Root/ns1:Prog/ns1:Achieved__P6_8" xmlDataType="string"/>
    </xmlCellPr>
  </singleXmlCell>
  <singleXmlCell id="752" xr6:uid="{00000000-000C-0000-FFFF-FFFF49010000}" r="N132" connectionId="0">
    <xmlCellPr id="1" xr6:uid="{00000000-0010-0000-4901-000001000000}" uniqueName="1">
      <xmlPr mapId="43" xpath="/ns1:Root/ns1:Prog/ns1:Achieved__P7_8" xmlDataType="string"/>
    </xmlCellPr>
  </singleXmlCell>
  <singleXmlCell id="753" xr6:uid="{00000000-000C-0000-FFFF-FFFF4A010000}" r="O132" connectionId="0">
    <xmlCellPr id="1" xr6:uid="{00000000-0010-0000-4A01-000001000000}" uniqueName="1">
      <xmlPr mapId="43" xpath="/ns1:Root/ns1:Prog/ns1:Achieved__P8_8" xmlDataType="string"/>
    </xmlCellPr>
  </singleXmlCell>
  <singleXmlCell id="754" xr6:uid="{00000000-000C-0000-FFFF-FFFF4B010000}" r="P132" connectionId="0">
    <xmlCellPr id="1" xr6:uid="{00000000-0010-0000-4B01-000001000000}" uniqueName="1">
      <xmlPr mapId="43" xpath="/ns1:Root/ns1:Prog/ns1:Achieved__P9_8" xmlDataType="string"/>
    </xmlCellPr>
  </singleXmlCell>
  <singleXmlCell id="755" xr6:uid="{00000000-000C-0000-FFFF-FFFF4C010000}" r="Q132" connectionId="0">
    <xmlCellPr id="1" xr6:uid="{00000000-0010-0000-4C01-000001000000}" uniqueName="1">
      <xmlPr mapId="43" xpath="/ns1:Root/ns1:Prog/ns1:Achieved__P10_8" xmlDataType="string"/>
    </xmlCellPr>
  </singleXmlCell>
  <singleXmlCell id="756" xr6:uid="{00000000-000C-0000-FFFF-FFFF4D010000}" r="R132" connectionId="0">
    <xmlCellPr id="1" xr6:uid="{00000000-0010-0000-4D01-000001000000}" uniqueName="1">
      <xmlPr mapId="43" xpath="/ns1:Root/ns1:Prog/ns1:Achieved__P11_8" xmlDataType="string"/>
    </xmlCellPr>
  </singleXmlCell>
  <singleXmlCell id="757" xr6:uid="{00000000-000C-0000-FFFF-FFFF4E010000}" r="S132" connectionId="0">
    <xmlCellPr id="1" xr6:uid="{00000000-0010-0000-4E01-000001000000}" uniqueName="1">
      <xmlPr mapId="43" xpath="/ns1:Root/ns1:Prog/ns1:Achieved__P12_8" xmlDataType="string"/>
    </xmlCellPr>
  </singleXmlCell>
  <singleXmlCell id="758" xr6:uid="{00000000-000C-0000-FFFF-FFFF4F010000}" r="H133" connectionId="0">
    <xmlCellPr id="1" xr6:uid="{00000000-0010-0000-4F01-000001000000}" uniqueName="1">
      <xmlPr mapId="43" xpath="/ns1:Root/ns1:Prog/ns1:Target_P1_9" xmlDataType="double"/>
    </xmlCellPr>
  </singleXmlCell>
  <singleXmlCell id="759" xr6:uid="{00000000-000C-0000-FFFF-FFFF50010000}" r="I133" connectionId="0">
    <xmlCellPr id="1" xr6:uid="{00000000-0010-0000-5001-000001000000}" uniqueName="1">
      <xmlPr mapId="43" xpath="/ns1:Root/ns1:Prog/ns1:Target_P2_9" xmlDataType="double"/>
    </xmlCellPr>
  </singleXmlCell>
  <singleXmlCell id="760" xr6:uid="{00000000-000C-0000-FFFF-FFFF51010000}" r="J133" connectionId="0">
    <xmlCellPr id="1" xr6:uid="{00000000-0010-0000-5101-000001000000}" uniqueName="1">
      <xmlPr mapId="43" xpath="/ns1:Root/ns1:Prog/ns1:Target_P3_9" xmlDataType="double"/>
    </xmlCellPr>
  </singleXmlCell>
  <singleXmlCell id="761" xr6:uid="{00000000-000C-0000-FFFF-FFFF52010000}" r="K133" connectionId="0">
    <xmlCellPr id="1" xr6:uid="{00000000-0010-0000-5201-000001000000}" uniqueName="1">
      <xmlPr mapId="43" xpath="/ns1:Root/ns1:Prog/ns1:Target_P4_9" xmlDataType="double"/>
    </xmlCellPr>
  </singleXmlCell>
  <singleXmlCell id="762" xr6:uid="{00000000-000C-0000-FFFF-FFFF53010000}" r="L133" connectionId="0">
    <xmlCellPr id="1" xr6:uid="{00000000-0010-0000-5301-000001000000}" uniqueName="1">
      <xmlPr mapId="43" xpath="/ns1:Root/ns1:Prog/ns1:Target_P5_9" xmlDataType="double"/>
    </xmlCellPr>
  </singleXmlCell>
  <singleXmlCell id="763" xr6:uid="{00000000-000C-0000-FFFF-FFFF54010000}" r="M133" connectionId="0">
    <xmlCellPr id="1" xr6:uid="{00000000-0010-0000-5401-000001000000}" uniqueName="1">
      <xmlPr mapId="43" xpath="/ns1:Root/ns1:Prog/ns1:Target_P6_9" xmlDataType="double"/>
    </xmlCellPr>
  </singleXmlCell>
  <singleXmlCell id="764" xr6:uid="{00000000-000C-0000-FFFF-FFFF55010000}" r="N133" connectionId="0">
    <xmlCellPr id="1" xr6:uid="{00000000-0010-0000-5501-000001000000}" uniqueName="1">
      <xmlPr mapId="43" xpath="/ns1:Root/ns1:Prog/ns1:Target_P7_9" xmlDataType="double"/>
    </xmlCellPr>
  </singleXmlCell>
  <singleXmlCell id="765" xr6:uid="{00000000-000C-0000-FFFF-FFFF56010000}" r="O133" connectionId="0">
    <xmlCellPr id="1" xr6:uid="{00000000-0010-0000-5601-000001000000}" uniqueName="1">
      <xmlPr mapId="43" xpath="/ns1:Root/ns1:Prog/ns1:Target_P8_9" xmlDataType="double"/>
    </xmlCellPr>
  </singleXmlCell>
  <singleXmlCell id="766" xr6:uid="{00000000-000C-0000-FFFF-FFFF57010000}" r="P133" connectionId="0">
    <xmlCellPr id="1" xr6:uid="{00000000-0010-0000-5701-000001000000}" uniqueName="1">
      <xmlPr mapId="43" xpath="/ns1:Root/ns1:Prog/ns1:Target_P9_9" xmlDataType="double"/>
    </xmlCellPr>
  </singleXmlCell>
  <singleXmlCell id="767" xr6:uid="{00000000-000C-0000-FFFF-FFFF58010000}" r="Q133" connectionId="0">
    <xmlCellPr id="1" xr6:uid="{00000000-0010-0000-5801-000001000000}" uniqueName="1">
      <xmlPr mapId="43" xpath="/ns1:Root/ns1:Prog/ns1:Target_P10_9" xmlDataType="double"/>
    </xmlCellPr>
  </singleXmlCell>
  <singleXmlCell id="768" xr6:uid="{00000000-000C-0000-FFFF-FFFF59010000}" r="R133" connectionId="0">
    <xmlCellPr id="1" xr6:uid="{00000000-0010-0000-5901-000001000000}" uniqueName="1">
      <xmlPr mapId="43" xpath="/ns1:Root/ns1:Prog/ns1:Target_P11_9" xmlDataType="double"/>
    </xmlCellPr>
  </singleXmlCell>
  <singleXmlCell id="769" xr6:uid="{00000000-000C-0000-FFFF-FFFF5A010000}" r="S133" connectionId="0">
    <xmlCellPr id="1" xr6:uid="{00000000-0010-0000-5A01-000001000000}" uniqueName="1">
      <xmlPr mapId="43" xpath="/ns1:Root/ns1:Prog/ns1:Target_P12_9" xmlDataType="double"/>
    </xmlCellPr>
  </singleXmlCell>
  <singleXmlCell id="770" xr6:uid="{00000000-000C-0000-FFFF-FFFF5B010000}" r="H134" connectionId="0">
    <xmlCellPr id="1" xr6:uid="{00000000-0010-0000-5B01-000001000000}" uniqueName="1">
      <xmlPr mapId="43" xpath="/ns1:Root/ns1:Prog/ns1:Achieved__P1_9" xmlDataType="string"/>
    </xmlCellPr>
  </singleXmlCell>
  <singleXmlCell id="771" xr6:uid="{00000000-000C-0000-FFFF-FFFF5C010000}" r="I134" connectionId="0">
    <xmlCellPr id="1" xr6:uid="{00000000-0010-0000-5C01-000001000000}" uniqueName="1">
      <xmlPr mapId="43" xpath="/ns1:Root/ns1:Prog/ns1:Achieved__P2_9" xmlDataType="double"/>
    </xmlCellPr>
  </singleXmlCell>
  <singleXmlCell id="772" xr6:uid="{00000000-000C-0000-FFFF-FFFF5D010000}" r="J134" connectionId="0">
    <xmlCellPr id="1" xr6:uid="{00000000-0010-0000-5D01-000001000000}" uniqueName="1">
      <xmlPr mapId="43" xpath="/ns1:Root/ns1:Prog/ns1:Achieved__P3_9" xmlDataType="string"/>
    </xmlCellPr>
  </singleXmlCell>
  <singleXmlCell id="773" xr6:uid="{00000000-000C-0000-FFFF-FFFF5E010000}" r="K134" connectionId="0">
    <xmlCellPr id="1" xr6:uid="{00000000-0010-0000-5E01-000001000000}" uniqueName="1">
      <xmlPr mapId="43" xpath="/ns1:Root/ns1:Prog/ns1:Achieved__P4_9" xmlDataType="double"/>
    </xmlCellPr>
  </singleXmlCell>
  <singleXmlCell id="774" xr6:uid="{00000000-000C-0000-FFFF-FFFF5F010000}" r="L134" connectionId="0">
    <xmlCellPr id="1" xr6:uid="{00000000-0010-0000-5F01-000001000000}" uniqueName="1">
      <xmlPr mapId="43" xpath="/ns1:Root/ns1:Prog/ns1:Achieved__P5_9" xmlDataType="string"/>
    </xmlCellPr>
  </singleXmlCell>
  <singleXmlCell id="775" xr6:uid="{00000000-000C-0000-FFFF-FFFF60010000}" r="M134" connectionId="0">
    <xmlCellPr id="1" xr6:uid="{00000000-0010-0000-6001-000001000000}" uniqueName="1">
      <xmlPr mapId="43" xpath="/ns1:Root/ns1:Prog/ns1:Achieved__P6_9" xmlDataType="string"/>
    </xmlCellPr>
  </singleXmlCell>
  <singleXmlCell id="776" xr6:uid="{00000000-000C-0000-FFFF-FFFF61010000}" r="N134" connectionId="0">
    <xmlCellPr id="1" xr6:uid="{00000000-0010-0000-6101-000001000000}" uniqueName="1">
      <xmlPr mapId="43" xpath="/ns1:Root/ns1:Prog/ns1:Achieved__P7_9" xmlDataType="string"/>
    </xmlCellPr>
  </singleXmlCell>
  <singleXmlCell id="777" xr6:uid="{00000000-000C-0000-FFFF-FFFF62010000}" r="O134" connectionId="0">
    <xmlCellPr id="1" xr6:uid="{00000000-0010-0000-6201-000001000000}" uniqueName="1">
      <xmlPr mapId="43" xpath="/ns1:Root/ns1:Prog/ns1:Achieved__P8_9" xmlDataType="string"/>
    </xmlCellPr>
  </singleXmlCell>
  <singleXmlCell id="778" xr6:uid="{00000000-000C-0000-FFFF-FFFF63010000}" r="P134" connectionId="0">
    <xmlCellPr id="1" xr6:uid="{00000000-0010-0000-6301-000001000000}" uniqueName="1">
      <xmlPr mapId="43" xpath="/ns1:Root/ns1:Prog/ns1:Achieved__P9_9" xmlDataType="string"/>
    </xmlCellPr>
  </singleXmlCell>
  <singleXmlCell id="779" xr6:uid="{00000000-000C-0000-FFFF-FFFF64010000}" r="Q134" connectionId="0">
    <xmlCellPr id="1" xr6:uid="{00000000-0010-0000-6401-000001000000}" uniqueName="1">
      <xmlPr mapId="43" xpath="/ns1:Root/ns1:Prog/ns1:Achieved__P10_9" xmlDataType="string"/>
    </xmlCellPr>
  </singleXmlCell>
  <singleXmlCell id="780" xr6:uid="{00000000-000C-0000-FFFF-FFFF65010000}" r="R134" connectionId="0">
    <xmlCellPr id="1" xr6:uid="{00000000-0010-0000-6501-000001000000}" uniqueName="1">
      <xmlPr mapId="43" xpath="/ns1:Root/ns1:Prog/ns1:Achieved__P11_9" xmlDataType="string"/>
    </xmlCellPr>
  </singleXmlCell>
  <singleXmlCell id="781" xr6:uid="{00000000-000C-0000-FFFF-FFFF66010000}" r="S134" connectionId="0">
    <xmlCellPr id="1" xr6:uid="{00000000-0010-0000-6601-000001000000}" uniqueName="1">
      <xmlPr mapId="43" xpath="/ns1:Root/ns1:Prog/ns1:Achieved__P12_9" xmlDataType="string"/>
    </xmlCellPr>
  </singleXmlCell>
  <singleXmlCell id="782" xr6:uid="{00000000-000C-0000-FFFF-FFFF67010000}" r="H135" connectionId="0">
    <xmlCellPr id="1" xr6:uid="{00000000-0010-0000-6701-000001000000}" uniqueName="1">
      <xmlPr mapId="43" xpath="/ns1:Root/ns1:Prog/ns1:Target_P1" xmlDataType="string"/>
    </xmlCellPr>
  </singleXmlCell>
  <singleXmlCell id="783" xr6:uid="{00000000-000C-0000-FFFF-FFFF68010000}" r="I135" connectionId="0">
    <xmlCellPr id="1" xr6:uid="{00000000-0010-0000-6801-000001000000}" uniqueName="1">
      <xmlPr mapId="43" xpath="/ns1:Root/ns1:Prog/ns1:Target_P2" xmlDataType="string"/>
    </xmlCellPr>
  </singleXmlCell>
  <singleXmlCell id="784" xr6:uid="{00000000-000C-0000-FFFF-FFFF69010000}" r="J135" connectionId="0">
    <xmlCellPr id="1" xr6:uid="{00000000-0010-0000-6901-000001000000}" uniqueName="1">
      <xmlPr mapId="43" xpath="/ns1:Root/ns1:Prog/ns1:Target_P3" xmlDataType="string"/>
    </xmlCellPr>
  </singleXmlCell>
  <singleXmlCell id="785" xr6:uid="{00000000-000C-0000-FFFF-FFFF6A010000}" r="K135" connectionId="0">
    <xmlCellPr id="1" xr6:uid="{00000000-0010-0000-6A01-000001000000}" uniqueName="1">
      <xmlPr mapId="43" xpath="/ns1:Root/ns1:Prog/ns1:Target_P4" xmlDataType="double"/>
    </xmlCellPr>
  </singleXmlCell>
  <singleXmlCell id="786" xr6:uid="{00000000-000C-0000-FFFF-FFFF6B010000}" r="L135" connectionId="0">
    <xmlCellPr id="1" xr6:uid="{00000000-0010-0000-6B01-000001000000}" uniqueName="1">
      <xmlPr mapId="43" xpath="/ns1:Root/ns1:Prog/ns1:Target_P5" xmlDataType="string"/>
    </xmlCellPr>
  </singleXmlCell>
  <singleXmlCell id="787" xr6:uid="{00000000-000C-0000-FFFF-FFFF6C010000}" r="M135" connectionId="0">
    <xmlCellPr id="1" xr6:uid="{00000000-0010-0000-6C01-000001000000}" uniqueName="1">
      <xmlPr mapId="43" xpath="/ns1:Root/ns1:Prog/ns1:Target_P6" xmlDataType="string"/>
    </xmlCellPr>
  </singleXmlCell>
  <singleXmlCell id="788" xr6:uid="{00000000-000C-0000-FFFF-FFFF6D010000}" r="N135" connectionId="0">
    <xmlCellPr id="1" xr6:uid="{00000000-0010-0000-6D01-000001000000}" uniqueName="1">
      <xmlPr mapId="43" xpath="/ns1:Root/ns1:Prog/ns1:Target_P7" xmlDataType="string"/>
    </xmlCellPr>
  </singleXmlCell>
  <singleXmlCell id="789" xr6:uid="{00000000-000C-0000-FFFF-FFFF6E010000}" r="O135" connectionId="0">
    <xmlCellPr id="1" xr6:uid="{00000000-0010-0000-6E01-000001000000}" uniqueName="1">
      <xmlPr mapId="43" xpath="/ns1:Root/ns1:Prog/ns1:Target_P8" xmlDataType="string"/>
    </xmlCellPr>
  </singleXmlCell>
  <singleXmlCell id="790" xr6:uid="{00000000-000C-0000-FFFF-FFFF6F010000}" r="P135" connectionId="0">
    <xmlCellPr id="1" xr6:uid="{00000000-0010-0000-6F01-000001000000}" uniqueName="1">
      <xmlPr mapId="43" xpath="/ns1:Root/ns1:Prog/ns1:Target_P9" xmlDataType="string"/>
    </xmlCellPr>
  </singleXmlCell>
  <singleXmlCell id="791" xr6:uid="{00000000-000C-0000-FFFF-FFFF70010000}" r="Q135" connectionId="0">
    <xmlCellPr id="1" xr6:uid="{00000000-0010-0000-7001-000001000000}" uniqueName="1">
      <xmlPr mapId="43" xpath="/ns1:Root/ns1:Prog/ns1:Target_P10" xmlDataType="string"/>
    </xmlCellPr>
  </singleXmlCell>
  <singleXmlCell id="792" xr6:uid="{00000000-000C-0000-FFFF-FFFF71010000}" r="R135" connectionId="0">
    <xmlCellPr id="1" xr6:uid="{00000000-0010-0000-7101-000001000000}" uniqueName="1">
      <xmlPr mapId="43" xpath="/ns1:Root/ns1:Prog/ns1:Target_P11" xmlDataType="string"/>
    </xmlCellPr>
  </singleXmlCell>
  <singleXmlCell id="793" xr6:uid="{00000000-000C-0000-FFFF-FFFF72010000}" r="S135" connectionId="0">
    <xmlCellPr id="1" xr6:uid="{00000000-0010-0000-7201-000001000000}" uniqueName="1">
      <xmlPr mapId="43" xpath="/ns1:Root/ns1:Prog/ns1:Target_P12" xmlDataType="string"/>
    </xmlCellPr>
  </singleXmlCell>
  <singleXmlCell id="794" xr6:uid="{00000000-000C-0000-FFFF-FFFF73010000}" r="H136" connectionId="0">
    <xmlCellPr id="1" xr6:uid="{00000000-0010-0000-7301-000001000000}" uniqueName="1">
      <xmlPr mapId="43" xpath="/ns1:Root/ns1:Prog/ns1:Achieved__P1" xmlDataType="string"/>
    </xmlCellPr>
  </singleXmlCell>
  <singleXmlCell id="795" xr6:uid="{00000000-000C-0000-FFFF-FFFF74010000}" r="I136" connectionId="0">
    <xmlCellPr id="1" xr6:uid="{00000000-0010-0000-7401-000001000000}" uniqueName="1">
      <xmlPr mapId="43" xpath="/ns1:Root/ns1:Prog/ns1:Achieved__P2" xmlDataType="string"/>
    </xmlCellPr>
  </singleXmlCell>
  <singleXmlCell id="796" xr6:uid="{00000000-000C-0000-FFFF-FFFF75010000}" r="J136" connectionId="0">
    <xmlCellPr id="1" xr6:uid="{00000000-0010-0000-7501-000001000000}" uniqueName="1">
      <xmlPr mapId="43" xpath="/ns1:Root/ns1:Prog/ns1:Achieved__P3" xmlDataType="string"/>
    </xmlCellPr>
  </singleXmlCell>
  <singleXmlCell id="797" xr6:uid="{00000000-000C-0000-FFFF-FFFF76010000}" r="K136" connectionId="0">
    <xmlCellPr id="1" xr6:uid="{00000000-0010-0000-7601-000001000000}" uniqueName="1">
      <xmlPr mapId="43" xpath="/ns1:Root/ns1:Prog/ns1:Achieved__P4" xmlDataType="string"/>
    </xmlCellPr>
  </singleXmlCell>
  <singleXmlCell id="798" xr6:uid="{00000000-000C-0000-FFFF-FFFF77010000}" r="L136" connectionId="0">
    <xmlCellPr id="1" xr6:uid="{00000000-0010-0000-7701-000001000000}" uniqueName="1">
      <xmlPr mapId="43" xpath="/ns1:Root/ns1:Prog/ns1:Achieved__P5" xmlDataType="string"/>
    </xmlCellPr>
  </singleXmlCell>
  <singleXmlCell id="799" xr6:uid="{00000000-000C-0000-FFFF-FFFF78010000}" r="M136" connectionId="0">
    <xmlCellPr id="1" xr6:uid="{00000000-0010-0000-7801-000001000000}" uniqueName="1">
      <xmlPr mapId="43" xpath="/ns1:Root/ns1:Prog/ns1:Achieved__P6" xmlDataType="string"/>
    </xmlCellPr>
  </singleXmlCell>
  <singleXmlCell id="800" xr6:uid="{00000000-000C-0000-FFFF-FFFF79010000}" r="N136" connectionId="0">
    <xmlCellPr id="1" xr6:uid="{00000000-0010-0000-7901-000001000000}" uniqueName="1">
      <xmlPr mapId="43" xpath="/ns1:Root/ns1:Prog/ns1:Achieved__P7" xmlDataType="string"/>
    </xmlCellPr>
  </singleXmlCell>
  <singleXmlCell id="801" xr6:uid="{00000000-000C-0000-FFFF-FFFF7A010000}" r="O136" connectionId="0">
    <xmlCellPr id="1" xr6:uid="{00000000-0010-0000-7A01-000001000000}" uniqueName="1">
      <xmlPr mapId="43" xpath="/ns1:Root/ns1:Prog/ns1:Achieved__P8" xmlDataType="string"/>
    </xmlCellPr>
  </singleXmlCell>
  <singleXmlCell id="802" xr6:uid="{00000000-000C-0000-FFFF-FFFF7B010000}" r="P136" connectionId="0">
    <xmlCellPr id="1" xr6:uid="{00000000-0010-0000-7B01-000001000000}" uniqueName="1">
      <xmlPr mapId="43" xpath="/ns1:Root/ns1:Prog/ns1:Achieved__P9" xmlDataType="string"/>
    </xmlCellPr>
  </singleXmlCell>
  <singleXmlCell id="803" xr6:uid="{00000000-000C-0000-FFFF-FFFF7C010000}" r="Q136" connectionId="0">
    <xmlCellPr id="1" xr6:uid="{00000000-0010-0000-7C01-000001000000}" uniqueName="1">
      <xmlPr mapId="43" xpath="/ns1:Root/ns1:Prog/ns1:Achieved__P10" xmlDataType="string"/>
    </xmlCellPr>
  </singleXmlCell>
  <singleXmlCell id="804" xr6:uid="{00000000-000C-0000-FFFF-FFFF7D010000}" r="R136" connectionId="0">
    <xmlCellPr id="1" xr6:uid="{00000000-0010-0000-7D01-000001000000}" uniqueName="1">
      <xmlPr mapId="43" xpath="/ns1:Root/ns1:Prog/ns1:Achieved__P11" xmlDataType="string"/>
    </xmlCellPr>
  </singleXmlCell>
  <singleXmlCell id="805" xr6:uid="{00000000-000C-0000-FFFF-FFFF7E010000}" r="S136" connectionId="0">
    <xmlCellPr id="1" xr6:uid="{00000000-0010-0000-7E01-000001000000}" uniqueName="1">
      <xmlPr mapId="43" xpath="/ns1:Root/ns1:Prog/ns1:Achieved__P12" xmlDataType="string"/>
    </xmlCellPr>
  </singleXmlCell>
  <singleXmlCell id="806" xr6:uid="{00000000-000C-0000-FFFF-FFFF7F010000}" r="K119" connectionId="0">
    <xmlCellPr id="1" xr6:uid="{00000000-0010-0000-7F01-000001000000}" uniqueName="1">
      <xmlPr mapId="43" xpath="/ns1:Root/ns1:Prog/ns1:Target_P4_2" xmlDataType="double"/>
    </xmlCellPr>
  </singleXmlCell>
  <singleXmlCell id="807" xr6:uid="{00000000-000C-0000-FFFF-FFFF80010000}" r="B117" connectionId="0">
    <xmlCellPr id="1" xr6:uid="{00000000-0010-0000-8001-000001000000}" uniqueName="1">
      <xmlPr mapId="43" xpath="/ns1:Root/ns1:P1" xmlDataType="string"/>
    </xmlCellPr>
  </singleXmlCell>
  <singleXmlCell id="808" xr6:uid="{00000000-000C-0000-FFFF-FFFF81010000}" r="E117" connectionId="0">
    <xmlCellPr id="1" xr6:uid="{00000000-0010-0000-8101-000001000000}" uniqueName="1">
      <xmlPr mapId="43" xpath="/ns1:Root/ns1:P1_Code" xmlDataType="double"/>
    </xmlCellPr>
  </singleXmlCell>
  <singleXmlCell id="809" xr6:uid="{00000000-000C-0000-FFFF-FFFF82010000}" r="F117" connectionId="0">
    <xmlCellPr id="1" xr6:uid="{00000000-0010-0000-8201-000001000000}" uniqueName="1">
      <xmlPr mapId="43" xpath="/ns1:Root/ns1:P1_Tied" xmlDataType="string"/>
    </xmlCellPr>
  </singleXmlCell>
  <singleXmlCell id="810" xr6:uid="{00000000-000C-0000-FFFF-FFFF83010000}" r="B119" connectionId="0">
    <xmlCellPr id="1" xr6:uid="{00000000-0010-0000-8301-000001000000}" uniqueName="1">
      <xmlPr mapId="43" xpath="/ns1:Root/ns1:P2" xmlDataType="string"/>
    </xmlCellPr>
  </singleXmlCell>
  <singleXmlCell id="811" xr6:uid="{00000000-000C-0000-FFFF-FFFF84010000}" r="E119" connectionId="0">
    <xmlCellPr id="1" xr6:uid="{00000000-0010-0000-8401-000001000000}" uniqueName="1">
      <xmlPr mapId="43" xpath="/ns1:Root/ns1:P2_Code" xmlDataType="double"/>
    </xmlCellPr>
  </singleXmlCell>
  <singleXmlCell id="812" xr6:uid="{00000000-000C-0000-FFFF-FFFF85010000}" r="F119" connectionId="0">
    <xmlCellPr id="1" xr6:uid="{00000000-0010-0000-8501-000001000000}" uniqueName="1">
      <xmlPr mapId="43" xpath="/ns1:Root/ns1:P2_Tied" xmlDataType="string"/>
    </xmlCellPr>
  </singleXmlCell>
  <singleXmlCell id="813" xr6:uid="{00000000-000C-0000-FFFF-FFFF86010000}" r="B121" connectionId="0">
    <xmlCellPr id="1" xr6:uid="{00000000-0010-0000-8601-000001000000}" uniqueName="1">
      <xmlPr mapId="43" xpath="/ns1:Root/ns1:P3" xmlDataType="string"/>
    </xmlCellPr>
  </singleXmlCell>
  <singleXmlCell id="814" xr6:uid="{00000000-000C-0000-FFFF-FFFF87010000}" r="E121" connectionId="0">
    <xmlCellPr id="1" xr6:uid="{00000000-0010-0000-8701-000001000000}" uniqueName="1">
      <xmlPr mapId="43" xpath="/ns1:Root/ns1:P3_Code" xmlDataType="double"/>
    </xmlCellPr>
  </singleXmlCell>
  <singleXmlCell id="815" xr6:uid="{00000000-000C-0000-FFFF-FFFF88010000}" r="F121" connectionId="0">
    <xmlCellPr id="1" xr6:uid="{00000000-0010-0000-8801-000001000000}" uniqueName="1">
      <xmlPr mapId="43" xpath="/ns1:Root/ns1:P3_Tied" xmlDataType="string"/>
    </xmlCellPr>
  </singleXmlCell>
  <singleXmlCell id="816" xr6:uid="{00000000-000C-0000-FFFF-FFFF89010000}" r="B123" connectionId="0">
    <xmlCellPr id="1" xr6:uid="{00000000-0010-0000-8901-000001000000}" uniqueName="1">
      <xmlPr mapId="43" xpath="/ns1:Root/ns1:P4" xmlDataType="string"/>
    </xmlCellPr>
  </singleXmlCell>
  <singleXmlCell id="817" xr6:uid="{00000000-000C-0000-FFFF-FFFF8A010000}" r="E123" connectionId="0">
    <xmlCellPr id="1" xr6:uid="{00000000-0010-0000-8A01-000001000000}" uniqueName="1">
      <xmlPr mapId="43" xpath="/ns1:Root/ns1:P4_Code" xmlDataType="double"/>
    </xmlCellPr>
  </singleXmlCell>
  <singleXmlCell id="818" xr6:uid="{00000000-000C-0000-FFFF-FFFF8B010000}" r="F123" connectionId="0">
    <xmlCellPr id="1" xr6:uid="{00000000-0010-0000-8B01-000001000000}" uniqueName="1">
      <xmlPr mapId="43" xpath="/ns1:Root/ns1:P4_Tied" xmlDataType="string"/>
    </xmlCellPr>
  </singleXmlCell>
  <singleXmlCell id="819" xr6:uid="{00000000-000C-0000-FFFF-FFFF8C010000}" r="B125" connectionId="0">
    <xmlCellPr id="1" xr6:uid="{00000000-0010-0000-8C01-000001000000}" uniqueName="1">
      <xmlPr mapId="43" xpath="/ns1:Root/ns1:P5" xmlDataType="string"/>
    </xmlCellPr>
  </singleXmlCell>
  <singleXmlCell id="820" xr6:uid="{00000000-000C-0000-FFFF-FFFF8D010000}" r="E125" connectionId="0">
    <xmlCellPr id="1" xr6:uid="{00000000-0010-0000-8D01-000001000000}" uniqueName="1">
      <xmlPr mapId="43" xpath="/ns1:Root/ns1:P5_Code" xmlDataType="double"/>
    </xmlCellPr>
  </singleXmlCell>
  <singleXmlCell id="821" xr6:uid="{00000000-000C-0000-FFFF-FFFF8E010000}" r="F125" connectionId="0">
    <xmlCellPr id="1" xr6:uid="{00000000-0010-0000-8E01-000001000000}" uniqueName="1">
      <xmlPr mapId="43" xpath="/ns1:Root/ns1:P5_Tied" xmlDataType="string"/>
    </xmlCellPr>
  </singleXmlCell>
  <singleXmlCell id="822" xr6:uid="{00000000-000C-0000-FFFF-FFFF8F010000}" r="B127" connectionId="0">
    <xmlCellPr id="1" xr6:uid="{00000000-0010-0000-8F01-000001000000}" uniqueName="1">
      <xmlPr mapId="43" xpath="/ns1:Root/ns1:P6" xmlDataType="string"/>
    </xmlCellPr>
  </singleXmlCell>
  <singleXmlCell id="823" xr6:uid="{00000000-000C-0000-FFFF-FFFF90010000}" r="E127" connectionId="0">
    <xmlCellPr id="1" xr6:uid="{00000000-0010-0000-9001-000001000000}" uniqueName="1">
      <xmlPr mapId="43" xpath="/ns1:Root/ns1:P6_Code" xmlDataType="double"/>
    </xmlCellPr>
  </singleXmlCell>
  <singleXmlCell id="824" xr6:uid="{00000000-000C-0000-FFFF-FFFF91010000}" r="F127" connectionId="0">
    <xmlCellPr id="1" xr6:uid="{00000000-0010-0000-9101-000001000000}" uniqueName="1">
      <xmlPr mapId="43" xpath="/ns1:Root/ns1:P6_Tied" xmlDataType="string"/>
    </xmlCellPr>
  </singleXmlCell>
  <singleXmlCell id="825" xr6:uid="{00000000-000C-0000-FFFF-FFFF92010000}" r="B129" connectionId="0">
    <xmlCellPr id="1" xr6:uid="{00000000-0010-0000-9201-000001000000}" uniqueName="1">
      <xmlPr mapId="43" xpath="/ns1:Root/ns1:P7" xmlDataType="string"/>
    </xmlCellPr>
  </singleXmlCell>
  <singleXmlCell id="826" xr6:uid="{00000000-000C-0000-FFFF-FFFF93010000}" r="E129" connectionId="0">
    <xmlCellPr id="1" xr6:uid="{00000000-0010-0000-9301-000001000000}" uniqueName="1">
      <xmlPr mapId="43" xpath="/ns1:Root/ns1:P7_Code" xmlDataType="double"/>
    </xmlCellPr>
  </singleXmlCell>
  <singleXmlCell id="827" xr6:uid="{00000000-000C-0000-FFFF-FFFF94010000}" r="F129" connectionId="0">
    <xmlCellPr id="1" xr6:uid="{00000000-0010-0000-9401-000001000000}" uniqueName="1">
      <xmlPr mapId="43" xpath="/ns1:Root/ns1:P7_Tied" xmlDataType="string"/>
    </xmlCellPr>
  </singleXmlCell>
  <singleXmlCell id="828" xr6:uid="{00000000-000C-0000-FFFF-FFFF95010000}" r="B131" connectionId="0">
    <xmlCellPr id="1" xr6:uid="{00000000-0010-0000-9501-000001000000}" uniqueName="1">
      <xmlPr mapId="43" xpath="/ns1:Root/ns1:P8" xmlDataType="string"/>
    </xmlCellPr>
  </singleXmlCell>
  <singleXmlCell id="829" xr6:uid="{00000000-000C-0000-FFFF-FFFF96010000}" r="E131" connectionId="0">
    <xmlCellPr id="1" xr6:uid="{00000000-0010-0000-9601-000001000000}" uniqueName="1">
      <xmlPr mapId="43" xpath="/ns1:Root/ns1:P8_Code" xmlDataType="double"/>
    </xmlCellPr>
  </singleXmlCell>
  <singleXmlCell id="830" xr6:uid="{00000000-000C-0000-FFFF-FFFF97010000}" r="F131" connectionId="0">
    <xmlCellPr id="1" xr6:uid="{00000000-0010-0000-9701-000001000000}" uniqueName="1">
      <xmlPr mapId="43" xpath="/ns1:Root/ns1:P8_Tied" xmlDataType="string"/>
    </xmlCellPr>
  </singleXmlCell>
  <singleXmlCell id="831" xr6:uid="{00000000-000C-0000-FFFF-FFFF98010000}" r="B133" connectionId="0">
    <xmlCellPr id="1" xr6:uid="{00000000-0010-0000-9801-000001000000}" uniqueName="1">
      <xmlPr mapId="43" xpath="/ns1:Root/ns1:P9" xmlDataType="string"/>
    </xmlCellPr>
  </singleXmlCell>
  <singleXmlCell id="832" xr6:uid="{00000000-000C-0000-FFFF-FFFF99010000}" r="E133" connectionId="0">
    <xmlCellPr id="1" xr6:uid="{00000000-0010-0000-9901-000001000000}" uniqueName="1">
      <xmlPr mapId="43" xpath="/ns1:Root/ns1:P9_Code" xmlDataType="double"/>
    </xmlCellPr>
  </singleXmlCell>
  <singleXmlCell id="833" xr6:uid="{00000000-000C-0000-FFFF-FFFF9A010000}" r="F133" connectionId="0">
    <xmlCellPr id="1" xr6:uid="{00000000-0010-0000-9A01-000001000000}" uniqueName="1">
      <xmlPr mapId="43" xpath="/ns1:Root/ns1:P9_Tied" xmlDataType="double"/>
    </xmlCellPr>
  </singleXmlCell>
  <singleXmlCell id="834" xr6:uid="{00000000-000C-0000-FFFF-FFFF9B010000}" r="B135" connectionId="0">
    <xmlCellPr id="1" xr6:uid="{00000000-0010-0000-9B01-000001000000}" uniqueName="1">
      <xmlPr mapId="43" xpath="/ns1:Root/ns1:P10" xmlDataType="string"/>
    </xmlCellPr>
  </singleXmlCell>
  <singleXmlCell id="835" xr6:uid="{00000000-000C-0000-FFFF-FFFF9C010000}" r="E135" connectionId="0">
    <xmlCellPr id="1" xr6:uid="{00000000-0010-0000-9C01-000001000000}" uniqueName="1">
      <xmlPr mapId="43" xpath="/ns1:Root/ns1:P10_Code" xmlDataType="double"/>
    </xmlCellPr>
  </singleXmlCell>
  <singleXmlCell id="836" xr6:uid="{00000000-000C-0000-FFFF-FFFF9D010000}" r="F135"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47" t="str">
        <f>+'Grant Detail'!B3:J3</f>
        <v>Dashboard:  Georgia - HIV / AIDS</v>
      </c>
      <c r="C2" s="547"/>
      <c r="D2" s="547"/>
      <c r="E2" s="547"/>
      <c r="F2" s="547"/>
      <c r="G2" s="547"/>
      <c r="H2" s="547"/>
      <c r="I2" s="547"/>
      <c r="J2" s="547"/>
      <c r="K2" s="547"/>
      <c r="L2" s="547"/>
      <c r="M2" s="1"/>
      <c r="N2" s="1"/>
      <c r="O2" s="1"/>
    </row>
    <row r="4" spans="2:15" ht="21">
      <c r="B4" s="548" t="str">
        <f>+IF('Data Entry'!G6="Please Select", "",'Data Entry'!G6) &amp;"  "&amp;+IF('Data Entry'!G8="Please Select", "", 'Data Entry'!G8&amp;",  ")&amp;+IF('Data Entry'!I8="Please Select","",'Data Entry'!I8)</f>
        <v>HIV / AIDS  NFM,  N/A</v>
      </c>
      <c r="C4" s="548"/>
      <c r="D4" s="548"/>
      <c r="E4" s="549"/>
      <c r="F4" s="226"/>
      <c r="G4" s="226"/>
      <c r="H4" s="344" t="str">
        <f>+'Data Entry'!B6&amp;" "&amp;+'Data Entry'!C6</f>
        <v>Grant No.: GEO-H-NCDC</v>
      </c>
      <c r="I4" s="344"/>
      <c r="J4" s="225"/>
      <c r="K4" s="226"/>
      <c r="L4" s="226"/>
    </row>
    <row r="22" spans="2:12" ht="26">
      <c r="B22" s="550" t="s">
        <v>404</v>
      </c>
      <c r="C22" s="551"/>
      <c r="D22" s="551"/>
      <c r="E22" s="551"/>
      <c r="F22" s="551"/>
      <c r="G22" s="551"/>
      <c r="H22" s="551"/>
      <c r="I22" s="551"/>
      <c r="J22" s="551"/>
      <c r="K22" s="551"/>
      <c r="L22" s="551"/>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92" t="str">
        <f>'Grant Detail'!B3:J3</f>
        <v>Dashboard:  Georgia - HIV / AIDS</v>
      </c>
      <c r="C3" s="992"/>
      <c r="D3" s="992"/>
      <c r="E3" s="992"/>
      <c r="F3" s="992"/>
      <c r="G3" s="992"/>
      <c r="H3" s="992"/>
      <c r="I3" s="1"/>
    </row>
    <row r="6" spans="2:15" ht="19">
      <c r="B6" s="979" t="s">
        <v>318</v>
      </c>
      <c r="C6" s="979"/>
      <c r="D6" s="979"/>
      <c r="E6" s="979"/>
      <c r="F6" s="979"/>
      <c r="G6" s="979"/>
      <c r="H6" s="979"/>
    </row>
    <row r="8" spans="2:15" ht="19">
      <c r="B8" s="61" t="s">
        <v>32</v>
      </c>
      <c r="C8" s="61" t="s">
        <v>35</v>
      </c>
      <c r="D8" s="61" t="s">
        <v>36</v>
      </c>
      <c r="E8" s="61" t="s">
        <v>41</v>
      </c>
      <c r="F8" s="61" t="s">
        <v>285</v>
      </c>
      <c r="G8" s="61" t="s">
        <v>265</v>
      </c>
      <c r="H8" s="61" t="s">
        <v>292</v>
      </c>
      <c r="I8" s="62" t="s">
        <v>87</v>
      </c>
      <c r="J8" s="62" t="s">
        <v>129</v>
      </c>
      <c r="M8" s="19"/>
      <c r="N8" s="19"/>
      <c r="O8" s="19"/>
    </row>
    <row r="9" spans="2:15">
      <c r="B9" s="85" t="s">
        <v>371</v>
      </c>
      <c r="C9" s="85" t="s">
        <v>371</v>
      </c>
      <c r="D9" s="85" t="s">
        <v>371</v>
      </c>
      <c r="E9" s="85" t="s">
        <v>371</v>
      </c>
      <c r="F9" s="85" t="s">
        <v>371</v>
      </c>
      <c r="G9" s="85" t="s">
        <v>371</v>
      </c>
      <c r="H9" s="85" t="s">
        <v>371</v>
      </c>
      <c r="I9" s="397" t="s">
        <v>371</v>
      </c>
      <c r="J9" s="85" t="s">
        <v>371</v>
      </c>
      <c r="M9" s="19"/>
      <c r="N9" s="19"/>
      <c r="O9" s="19"/>
    </row>
    <row r="10" spans="2:15">
      <c r="B10" s="56" t="s">
        <v>27</v>
      </c>
      <c r="C10" s="56" t="s">
        <v>18</v>
      </c>
      <c r="D10" s="56" t="s">
        <v>16</v>
      </c>
      <c r="E10" s="56" t="s">
        <v>17</v>
      </c>
      <c r="F10" s="56" t="s">
        <v>105</v>
      </c>
      <c r="G10" s="402" t="s">
        <v>43</v>
      </c>
      <c r="H10" s="59" t="s">
        <v>48</v>
      </c>
      <c r="I10" s="27" t="s">
        <v>298</v>
      </c>
      <c r="J10" s="85" t="s">
        <v>130</v>
      </c>
      <c r="M10" s="19"/>
      <c r="N10" s="19"/>
      <c r="O10" s="19"/>
    </row>
    <row r="11" spans="2:15">
      <c r="B11" s="56" t="s">
        <v>33</v>
      </c>
      <c r="C11" s="56" t="s">
        <v>13</v>
      </c>
      <c r="D11" s="56" t="s">
        <v>19</v>
      </c>
      <c r="E11" s="56" t="s">
        <v>15</v>
      </c>
      <c r="F11" s="56" t="s">
        <v>106</v>
      </c>
      <c r="G11" s="402" t="s">
        <v>44</v>
      </c>
      <c r="H11" s="59" t="s">
        <v>49</v>
      </c>
      <c r="I11" s="27" t="s">
        <v>299</v>
      </c>
      <c r="J11" s="85" t="s">
        <v>131</v>
      </c>
      <c r="M11" s="19"/>
      <c r="N11" s="19"/>
      <c r="O11" s="19"/>
    </row>
    <row r="12" spans="2:15">
      <c r="B12" s="56" t="s">
        <v>34</v>
      </c>
      <c r="D12" s="56" t="s">
        <v>22</v>
      </c>
      <c r="E12" s="56" t="s">
        <v>23</v>
      </c>
      <c r="F12" s="56" t="s">
        <v>107</v>
      </c>
      <c r="G12" s="402" t="s">
        <v>45</v>
      </c>
      <c r="H12" s="59" t="s">
        <v>50</v>
      </c>
      <c r="I12" s="27" t="s">
        <v>300</v>
      </c>
      <c r="J12" s="85" t="s">
        <v>132</v>
      </c>
      <c r="M12" s="194"/>
      <c r="N12" s="19"/>
      <c r="O12" s="19"/>
    </row>
    <row r="13" spans="2:15">
      <c r="B13" s="56" t="s">
        <v>83</v>
      </c>
      <c r="D13" s="56" t="s">
        <v>24</v>
      </c>
      <c r="E13" s="57"/>
      <c r="F13" s="56" t="s">
        <v>108</v>
      </c>
      <c r="G13" s="402" t="s">
        <v>46</v>
      </c>
      <c r="H13" s="59" t="s">
        <v>51</v>
      </c>
      <c r="I13" s="27" t="s">
        <v>301</v>
      </c>
      <c r="J13" s="85" t="s">
        <v>133</v>
      </c>
      <c r="M13" s="194"/>
      <c r="N13" s="19"/>
      <c r="O13" s="19"/>
    </row>
    <row r="14" spans="2:15">
      <c r="B14" s="56" t="s">
        <v>84</v>
      </c>
      <c r="D14" s="56" t="s">
        <v>37</v>
      </c>
      <c r="F14" s="56" t="s">
        <v>120</v>
      </c>
      <c r="G14" s="402" t="s">
        <v>47</v>
      </c>
      <c r="H14" s="59" t="s">
        <v>52</v>
      </c>
      <c r="I14" s="27" t="s">
        <v>270</v>
      </c>
      <c r="J14" s="85" t="s">
        <v>134</v>
      </c>
      <c r="M14" s="194"/>
      <c r="N14" s="19"/>
      <c r="O14" s="19"/>
    </row>
    <row r="15" spans="2:15">
      <c r="D15" s="56" t="s">
        <v>38</v>
      </c>
      <c r="F15" s="56" t="s">
        <v>121</v>
      </c>
      <c r="H15" s="59" t="s">
        <v>53</v>
      </c>
      <c r="I15" s="27" t="s">
        <v>70</v>
      </c>
      <c r="J15" s="85" t="s">
        <v>135</v>
      </c>
      <c r="M15" s="194"/>
      <c r="N15" s="19"/>
      <c r="O15" s="19"/>
    </row>
    <row r="16" spans="2:15">
      <c r="D16" s="56" t="s">
        <v>39</v>
      </c>
      <c r="F16" s="56" t="s">
        <v>122</v>
      </c>
      <c r="H16" s="59" t="s">
        <v>54</v>
      </c>
      <c r="I16" s="27" t="s">
        <v>71</v>
      </c>
      <c r="J16" s="85" t="s">
        <v>136</v>
      </c>
      <c r="M16" s="194"/>
      <c r="N16" s="19"/>
      <c r="O16" s="19"/>
    </row>
    <row r="17" spans="4:15">
      <c r="D17" s="56" t="s">
        <v>40</v>
      </c>
      <c r="F17" s="56" t="s">
        <v>123</v>
      </c>
      <c r="H17" s="59" t="s">
        <v>55</v>
      </c>
      <c r="I17" s="27" t="s">
        <v>72</v>
      </c>
      <c r="J17" s="85" t="s">
        <v>137</v>
      </c>
      <c r="M17" s="194"/>
      <c r="N17" s="19"/>
      <c r="O17" s="19"/>
    </row>
    <row r="18" spans="4:15">
      <c r="D18" s="56" t="s">
        <v>14</v>
      </c>
      <c r="F18" s="56" t="s">
        <v>124</v>
      </c>
      <c r="H18" s="59" t="s">
        <v>56</v>
      </c>
      <c r="I18" s="27" t="s">
        <v>73</v>
      </c>
      <c r="J18" s="85" t="s">
        <v>138</v>
      </c>
      <c r="M18" s="194"/>
      <c r="N18" s="19"/>
      <c r="O18" s="19"/>
    </row>
    <row r="19" spans="4:15">
      <c r="D19" s="401" t="s">
        <v>367</v>
      </c>
      <c r="F19" s="56" t="s">
        <v>125</v>
      </c>
      <c r="H19" s="59" t="s">
        <v>57</v>
      </c>
      <c r="I19" s="27" t="s">
        <v>74</v>
      </c>
      <c r="J19" s="85" t="s">
        <v>139</v>
      </c>
      <c r="M19" s="194"/>
      <c r="N19" s="19"/>
      <c r="O19" s="19"/>
    </row>
    <row r="20" spans="4:15">
      <c r="D20" s="58"/>
      <c r="F20" s="56" t="s">
        <v>126</v>
      </c>
      <c r="H20" s="59" t="s">
        <v>262</v>
      </c>
      <c r="I20" s="27" t="s">
        <v>75</v>
      </c>
      <c r="J20" s="85" t="s">
        <v>140</v>
      </c>
      <c r="M20" s="19"/>
      <c r="N20" s="19"/>
      <c r="O20" s="19"/>
    </row>
    <row r="21" spans="4:15">
      <c r="D21" s="60"/>
      <c r="F21" s="56" t="s">
        <v>286</v>
      </c>
      <c r="H21" s="60"/>
      <c r="I21" s="27" t="s">
        <v>77</v>
      </c>
      <c r="J21" s="85" t="s">
        <v>141</v>
      </c>
      <c r="M21" s="19"/>
      <c r="N21" s="19"/>
      <c r="O21" s="19"/>
    </row>
    <row r="22" spans="4:15">
      <c r="H22" s="60"/>
      <c r="I22" s="27" t="s">
        <v>78</v>
      </c>
      <c r="J22" s="85" t="s">
        <v>142</v>
      </c>
      <c r="M22" s="19"/>
      <c r="N22" s="19"/>
      <c r="O22" s="19"/>
    </row>
    <row r="23" spans="4:15">
      <c r="I23" s="27" t="s">
        <v>76</v>
      </c>
      <c r="J23" s="85" t="s">
        <v>143</v>
      </c>
      <c r="M23" s="19"/>
      <c r="N23" s="19"/>
      <c r="O23" s="19"/>
    </row>
    <row r="24" spans="4:15">
      <c r="I24" s="27" t="s">
        <v>309</v>
      </c>
      <c r="J24" s="85" t="s">
        <v>144</v>
      </c>
      <c r="M24" s="19"/>
      <c r="N24" s="19"/>
      <c r="O24" s="19"/>
    </row>
    <row r="25" spans="4:15">
      <c r="I25" s="44"/>
      <c r="J25" s="85" t="s">
        <v>145</v>
      </c>
    </row>
    <row r="26" spans="4:15">
      <c r="I26" s="27" t="s">
        <v>313</v>
      </c>
      <c r="J26" s="85" t="s">
        <v>146</v>
      </c>
    </row>
    <row r="27" spans="4:15">
      <c r="I27" s="27" t="s">
        <v>308</v>
      </c>
      <c r="J27" s="85" t="s">
        <v>147</v>
      </c>
    </row>
    <row r="28" spans="4:15">
      <c r="I28" s="44"/>
      <c r="J28" s="85" t="s">
        <v>148</v>
      </c>
    </row>
    <row r="29" spans="4:15">
      <c r="I29" s="44"/>
      <c r="J29" s="85" t="s">
        <v>149</v>
      </c>
    </row>
    <row r="30" spans="4:15">
      <c r="I30" s="44"/>
      <c r="J30" s="85" t="s">
        <v>150</v>
      </c>
    </row>
    <row r="31" spans="4:15">
      <c r="J31" s="85" t="s">
        <v>151</v>
      </c>
    </row>
    <row r="32" spans="4:15">
      <c r="J32" s="85" t="s">
        <v>152</v>
      </c>
    </row>
    <row r="33" spans="10:10">
      <c r="J33" s="85" t="s">
        <v>153</v>
      </c>
    </row>
    <row r="34" spans="10:10">
      <c r="J34" s="85" t="s">
        <v>154</v>
      </c>
    </row>
    <row r="35" spans="10:10">
      <c r="J35" s="85" t="s">
        <v>155</v>
      </c>
    </row>
    <row r="36" spans="10:10">
      <c r="J36" s="85" t="s">
        <v>155</v>
      </c>
    </row>
    <row r="37" spans="10:10">
      <c r="J37" s="85" t="s">
        <v>156</v>
      </c>
    </row>
    <row r="38" spans="10:10">
      <c r="J38" s="85" t="s">
        <v>157</v>
      </c>
    </row>
    <row r="39" spans="10:10">
      <c r="J39" s="85" t="s">
        <v>158</v>
      </c>
    </row>
    <row r="40" spans="10:10">
      <c r="J40" s="85" t="s">
        <v>159</v>
      </c>
    </row>
    <row r="41" spans="10:10">
      <c r="J41" s="85" t="s">
        <v>160</v>
      </c>
    </row>
    <row r="42" spans="10:10">
      <c r="J42" s="85" t="s">
        <v>161</v>
      </c>
    </row>
    <row r="43" spans="10:10">
      <c r="J43" s="85" t="s">
        <v>162</v>
      </c>
    </row>
    <row r="44" spans="10:10">
      <c r="J44" s="85" t="s">
        <v>163</v>
      </c>
    </row>
    <row r="45" spans="10:10">
      <c r="J45" s="85" t="s">
        <v>164</v>
      </c>
    </row>
    <row r="46" spans="10:10">
      <c r="J46" s="85" t="s">
        <v>165</v>
      </c>
    </row>
    <row r="47" spans="10:10">
      <c r="J47" s="85" t="s">
        <v>166</v>
      </c>
    </row>
    <row r="48" spans="10:10">
      <c r="J48" s="85" t="s">
        <v>167</v>
      </c>
    </row>
    <row r="49" spans="10:10">
      <c r="J49" s="85" t="s">
        <v>168</v>
      </c>
    </row>
    <row r="50" spans="10:10">
      <c r="J50" s="85" t="s">
        <v>169</v>
      </c>
    </row>
    <row r="51" spans="10:10">
      <c r="J51" s="85" t="s">
        <v>170</v>
      </c>
    </row>
    <row r="52" spans="10:10">
      <c r="J52" s="85" t="s">
        <v>171</v>
      </c>
    </row>
    <row r="53" spans="10:10">
      <c r="J53" s="85" t="s">
        <v>172</v>
      </c>
    </row>
    <row r="54" spans="10:10">
      <c r="J54" s="85" t="s">
        <v>173</v>
      </c>
    </row>
    <row r="55" spans="10:10">
      <c r="J55" s="85" t="s">
        <v>174</v>
      </c>
    </row>
    <row r="56" spans="10:10">
      <c r="J56" s="85" t="s">
        <v>175</v>
      </c>
    </row>
    <row r="57" spans="10:10">
      <c r="J57" s="85" t="s">
        <v>176</v>
      </c>
    </row>
    <row r="58" spans="10:10">
      <c r="J58" s="85" t="s">
        <v>177</v>
      </c>
    </row>
    <row r="59" spans="10:10">
      <c r="J59" s="85" t="s">
        <v>178</v>
      </c>
    </row>
    <row r="60" spans="10:10">
      <c r="J60" s="85" t="s">
        <v>179</v>
      </c>
    </row>
    <row r="61" spans="10:10">
      <c r="J61" s="85" t="s">
        <v>180</v>
      </c>
    </row>
    <row r="62" spans="10:10">
      <c r="J62" s="85" t="s">
        <v>181</v>
      </c>
    </row>
    <row r="63" spans="10:10">
      <c r="J63" s="85" t="s">
        <v>182</v>
      </c>
    </row>
    <row r="64" spans="10:10">
      <c r="J64" s="85" t="s">
        <v>183</v>
      </c>
    </row>
    <row r="65" spans="10:10">
      <c r="J65" s="85" t="s">
        <v>184</v>
      </c>
    </row>
    <row r="66" spans="10:10">
      <c r="J66" s="85" t="s">
        <v>185</v>
      </c>
    </row>
    <row r="67" spans="10:10">
      <c r="J67" s="85" t="s">
        <v>186</v>
      </c>
    </row>
    <row r="68" spans="10:10">
      <c r="J68" s="85" t="s">
        <v>187</v>
      </c>
    </row>
    <row r="69" spans="10:10">
      <c r="J69" s="85" t="s">
        <v>188</v>
      </c>
    </row>
    <row r="70" spans="10:10">
      <c r="J70" s="85" t="s">
        <v>189</v>
      </c>
    </row>
    <row r="71" spans="10:10">
      <c r="J71" s="85" t="s">
        <v>190</v>
      </c>
    </row>
    <row r="72" spans="10:10">
      <c r="J72" s="85" t="s">
        <v>191</v>
      </c>
    </row>
    <row r="73" spans="10:10">
      <c r="J73" s="85" t="s">
        <v>192</v>
      </c>
    </row>
    <row r="74" spans="10:10">
      <c r="J74" s="85" t="s">
        <v>193</v>
      </c>
    </row>
    <row r="75" spans="10:10">
      <c r="J75" s="85" t="s">
        <v>194</v>
      </c>
    </row>
    <row r="76" spans="10:10">
      <c r="J76" s="85" t="s">
        <v>195</v>
      </c>
    </row>
    <row r="77" spans="10:10">
      <c r="J77" s="85" t="s">
        <v>196</v>
      </c>
    </row>
    <row r="78" spans="10:10">
      <c r="J78" s="85" t="s">
        <v>197</v>
      </c>
    </row>
    <row r="79" spans="10:10">
      <c r="J79" s="85" t="s">
        <v>198</v>
      </c>
    </row>
    <row r="80" spans="10:10">
      <c r="J80" s="85" t="s">
        <v>199</v>
      </c>
    </row>
    <row r="81" spans="10:10">
      <c r="J81" s="85" t="s">
        <v>200</v>
      </c>
    </row>
    <row r="82" spans="10:10">
      <c r="J82" s="85" t="s">
        <v>201</v>
      </c>
    </row>
    <row r="83" spans="10:10">
      <c r="J83" s="85" t="s">
        <v>202</v>
      </c>
    </row>
    <row r="84" spans="10:10">
      <c r="J84" s="85" t="s">
        <v>203</v>
      </c>
    </row>
    <row r="85" spans="10:10">
      <c r="J85" s="85" t="s">
        <v>204</v>
      </c>
    </row>
    <row r="86" spans="10:10">
      <c r="J86" s="85" t="s">
        <v>205</v>
      </c>
    </row>
    <row r="87" spans="10:10">
      <c r="J87" s="85" t="s">
        <v>206</v>
      </c>
    </row>
    <row r="88" spans="10:10">
      <c r="J88" s="85" t="s">
        <v>207</v>
      </c>
    </row>
    <row r="89" spans="10:10">
      <c r="J89" s="85" t="s">
        <v>208</v>
      </c>
    </row>
    <row r="90" spans="10:10">
      <c r="J90" s="85" t="s">
        <v>209</v>
      </c>
    </row>
    <row r="91" spans="10:10">
      <c r="J91" s="85" t="s">
        <v>210</v>
      </c>
    </row>
    <row r="92" spans="10:10">
      <c r="J92" s="85" t="s">
        <v>211</v>
      </c>
    </row>
    <row r="93" spans="10:10">
      <c r="J93" s="85" t="s">
        <v>212</v>
      </c>
    </row>
    <row r="94" spans="10:10">
      <c r="J94" s="85" t="s">
        <v>213</v>
      </c>
    </row>
    <row r="95" spans="10:10">
      <c r="J95" s="85" t="s">
        <v>214</v>
      </c>
    </row>
    <row r="96" spans="10:10">
      <c r="J96" s="85" t="s">
        <v>215</v>
      </c>
    </row>
    <row r="97" spans="10:10">
      <c r="J97" s="85" t="s">
        <v>216</v>
      </c>
    </row>
    <row r="98" spans="10:10">
      <c r="J98" s="85" t="s">
        <v>217</v>
      </c>
    </row>
    <row r="99" spans="10:10">
      <c r="J99" s="85" t="s">
        <v>218</v>
      </c>
    </row>
    <row r="100" spans="10:10">
      <c r="J100" s="85" t="s">
        <v>219</v>
      </c>
    </row>
    <row r="101" spans="10:10">
      <c r="J101" s="85" t="s">
        <v>220</v>
      </c>
    </row>
    <row r="102" spans="10:10">
      <c r="J102" s="85" t="s">
        <v>221</v>
      </c>
    </row>
    <row r="103" spans="10:10">
      <c r="J103" s="85" t="s">
        <v>222</v>
      </c>
    </row>
    <row r="104" spans="10:10">
      <c r="J104" s="85" t="s">
        <v>223</v>
      </c>
    </row>
    <row r="105" spans="10:10">
      <c r="J105" s="85" t="s">
        <v>224</v>
      </c>
    </row>
    <row r="106" spans="10:10">
      <c r="J106" s="85" t="s">
        <v>225</v>
      </c>
    </row>
    <row r="107" spans="10:10">
      <c r="J107" s="85" t="s">
        <v>226</v>
      </c>
    </row>
    <row r="108" spans="10:10">
      <c r="J108" s="85" t="s">
        <v>227</v>
      </c>
    </row>
    <row r="109" spans="10:10">
      <c r="J109" s="85" t="s">
        <v>228</v>
      </c>
    </row>
    <row r="110" spans="10:10">
      <c r="J110" s="85" t="s">
        <v>229</v>
      </c>
    </row>
    <row r="111" spans="10:10">
      <c r="J111" s="85" t="s">
        <v>80</v>
      </c>
    </row>
    <row r="112" spans="10:10">
      <c r="J112" s="85" t="s">
        <v>230</v>
      </c>
    </row>
    <row r="113" spans="10:10">
      <c r="J113" s="85" t="s">
        <v>231</v>
      </c>
    </row>
    <row r="114" spans="10:10">
      <c r="J114" s="85" t="s">
        <v>232</v>
      </c>
    </row>
    <row r="115" spans="10:10">
      <c r="J115" s="85" t="s">
        <v>233</v>
      </c>
    </row>
    <row r="116" spans="10:10">
      <c r="J116" s="85" t="s">
        <v>234</v>
      </c>
    </row>
    <row r="117" spans="10:10">
      <c r="J117" s="85" t="s">
        <v>235</v>
      </c>
    </row>
    <row r="118" spans="10:10">
      <c r="J118" s="85" t="s">
        <v>236</v>
      </c>
    </row>
    <row r="119" spans="10:10">
      <c r="J119" s="85" t="s">
        <v>237</v>
      </c>
    </row>
    <row r="120" spans="10:10">
      <c r="J120" s="85" t="s">
        <v>238</v>
      </c>
    </row>
    <row r="121" spans="10:10">
      <c r="J121" s="85" t="s">
        <v>239</v>
      </c>
    </row>
    <row r="122" spans="10:10">
      <c r="J122" s="85" t="s">
        <v>240</v>
      </c>
    </row>
    <row r="123" spans="10:10">
      <c r="J123" s="85" t="s">
        <v>241</v>
      </c>
    </row>
    <row r="124" spans="10:10">
      <c r="J124" s="85" t="s">
        <v>242</v>
      </c>
    </row>
    <row r="125" spans="10:10">
      <c r="J125" s="85" t="s">
        <v>243</v>
      </c>
    </row>
    <row r="126" spans="10:10">
      <c r="J126" s="85" t="s">
        <v>244</v>
      </c>
    </row>
    <row r="127" spans="10:10">
      <c r="J127" s="85" t="s">
        <v>245</v>
      </c>
    </row>
    <row r="128" spans="10:10">
      <c r="J128" s="85" t="s">
        <v>246</v>
      </c>
    </row>
    <row r="129" spans="10:10">
      <c r="J129" s="85" t="s">
        <v>247</v>
      </c>
    </row>
    <row r="130" spans="10:10">
      <c r="J130" s="85" t="s">
        <v>248</v>
      </c>
    </row>
    <row r="131" spans="10:10">
      <c r="J131" s="85" t="s">
        <v>249</v>
      </c>
    </row>
    <row r="132" spans="10:10">
      <c r="J132" s="85" t="s">
        <v>250</v>
      </c>
    </row>
    <row r="133" spans="10:10">
      <c r="J133" s="85" t="s">
        <v>251</v>
      </c>
    </row>
    <row r="134" spans="10:10">
      <c r="J134" s="85" t="s">
        <v>252</v>
      </c>
    </row>
    <row r="135" spans="10:10">
      <c r="J135" s="85" t="s">
        <v>253</v>
      </c>
    </row>
    <row r="136" spans="10:10">
      <c r="J136" s="85" t="s">
        <v>254</v>
      </c>
    </row>
    <row r="137" spans="10:10">
      <c r="J137" s="85" t="s">
        <v>255</v>
      </c>
    </row>
    <row r="138" spans="10:10">
      <c r="J138" s="85" t="s">
        <v>256</v>
      </c>
    </row>
    <row r="139" spans="10:10">
      <c r="J139" s="85" t="s">
        <v>257</v>
      </c>
    </row>
    <row r="140" spans="10:10">
      <c r="J140" s="85" t="s">
        <v>258</v>
      </c>
    </row>
    <row r="141" spans="10:10">
      <c r="J141" s="85" t="s">
        <v>259</v>
      </c>
    </row>
    <row r="142" spans="10:10">
      <c r="J142" s="85" t="s">
        <v>260</v>
      </c>
    </row>
    <row r="143" spans="10:10">
      <c r="J143" s="85" t="s">
        <v>261</v>
      </c>
    </row>
    <row r="144" spans="10:10">
      <c r="J144" s="395"/>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38" t="str">
        <f>+"Dashboard: "&amp;" "&amp;+IF('Data Entry'!C4="Please Select","",'Data Entry'!C4&amp;" - ")&amp;+IF('Data Entry'!G6="Please Select","",'Data Entry'!G6)</f>
        <v>Dashboard:  Georgia - HIV / AIDS</v>
      </c>
      <c r="C2" s="638"/>
      <c r="D2" s="638"/>
      <c r="E2" s="638"/>
      <c r="F2" s="638"/>
      <c r="G2" s="638"/>
      <c r="H2" s="638"/>
      <c r="I2" s="638"/>
      <c r="J2" s="638"/>
      <c r="K2" s="638"/>
      <c r="L2" s="638"/>
      <c r="M2" s="638"/>
    </row>
    <row r="3" spans="1:15" ht="15.75" customHeight="1">
      <c r="A3" s="3"/>
      <c r="B3" s="217"/>
      <c r="C3" s="217"/>
      <c r="D3" s="217"/>
      <c r="E3" s="217"/>
      <c r="F3" s="217"/>
      <c r="G3" s="217"/>
      <c r="H3" s="217"/>
      <c r="I3" s="217"/>
      <c r="J3" s="217"/>
      <c r="K3" s="218"/>
      <c r="L3" s="218"/>
      <c r="M3" s="3"/>
    </row>
    <row r="5" spans="1:15" ht="24">
      <c r="B5" s="622" t="s">
        <v>282</v>
      </c>
      <c r="C5" s="622"/>
      <c r="D5" s="622"/>
      <c r="E5" s="622"/>
      <c r="F5" s="622"/>
      <c r="G5" s="622"/>
      <c r="H5" s="622"/>
      <c r="I5" s="622"/>
      <c r="J5" s="622"/>
      <c r="K5" s="622"/>
      <c r="L5" s="622"/>
      <c r="M5" s="622"/>
      <c r="N5" s="622"/>
      <c r="O5" s="622"/>
    </row>
    <row r="7" spans="1:15" ht="21">
      <c r="B7" s="639" t="s">
        <v>271</v>
      </c>
      <c r="C7" s="640"/>
      <c r="D7" s="641"/>
      <c r="E7" s="639" t="s">
        <v>272</v>
      </c>
      <c r="F7" s="640"/>
      <c r="G7" s="640"/>
      <c r="H7" s="640"/>
      <c r="I7" s="641"/>
      <c r="J7" s="639" t="s">
        <v>273</v>
      </c>
      <c r="K7" s="640"/>
      <c r="L7" s="641"/>
      <c r="M7" s="639" t="s">
        <v>346</v>
      </c>
      <c r="N7" s="640"/>
      <c r="O7" s="641"/>
    </row>
    <row r="8" spans="1:15" ht="92.25" customHeight="1">
      <c r="B8" s="567" t="str">
        <f>+'Data Entry'!B27</f>
        <v>F1: Budget and disbursements by Global Fund</v>
      </c>
      <c r="C8" s="650"/>
      <c r="D8" s="651"/>
      <c r="E8" s="642" t="s">
        <v>392</v>
      </c>
      <c r="F8" s="643"/>
      <c r="G8" s="643"/>
      <c r="H8" s="643"/>
      <c r="I8" s="644"/>
      <c r="J8" s="584" t="s">
        <v>347</v>
      </c>
      <c r="K8" s="585"/>
      <c r="L8" s="586"/>
      <c r="M8" s="584" t="s">
        <v>393</v>
      </c>
      <c r="N8" s="585"/>
      <c r="O8" s="586"/>
    </row>
    <row r="9" spans="1:15" ht="117.75" customHeight="1">
      <c r="B9" s="567" t="str">
        <f>+'Data Entry'!B36</f>
        <v>F2: Budget and actual expenditures by Grant Objective</v>
      </c>
      <c r="C9" s="650"/>
      <c r="D9" s="651"/>
      <c r="E9" s="599" t="s">
        <v>355</v>
      </c>
      <c r="F9" s="600"/>
      <c r="G9" s="600"/>
      <c r="H9" s="600"/>
      <c r="I9" s="601"/>
      <c r="J9" s="584" t="s">
        <v>349</v>
      </c>
      <c r="K9" s="585"/>
      <c r="L9" s="586"/>
      <c r="M9" s="584" t="s">
        <v>393</v>
      </c>
      <c r="N9" s="585"/>
      <c r="O9" s="586"/>
    </row>
    <row r="10" spans="1:15" ht="152.25" customHeight="1">
      <c r="B10" s="645" t="str">
        <f>+'Data Entry'!B48</f>
        <v>F3: Disbursements and expenditures</v>
      </c>
      <c r="C10" s="648"/>
      <c r="D10" s="649"/>
      <c r="E10" s="599" t="s">
        <v>394</v>
      </c>
      <c r="F10" s="600"/>
      <c r="G10" s="600"/>
      <c r="H10" s="600"/>
      <c r="I10" s="601"/>
      <c r="J10" s="584" t="s">
        <v>356</v>
      </c>
      <c r="K10" s="585"/>
      <c r="L10" s="586"/>
      <c r="M10" s="584" t="s">
        <v>348</v>
      </c>
      <c r="N10" s="585"/>
      <c r="O10" s="586"/>
    </row>
    <row r="11" spans="1:15" ht="279.75" customHeight="1">
      <c r="B11" s="645" t="str">
        <f>+'Data Entry'!B57</f>
        <v>F4: Latest PR reporting and disbursement cycle</v>
      </c>
      <c r="C11" s="646"/>
      <c r="D11" s="647"/>
      <c r="E11" s="599" t="s">
        <v>405</v>
      </c>
      <c r="F11" s="600"/>
      <c r="G11" s="600"/>
      <c r="H11" s="600"/>
      <c r="I11" s="601"/>
      <c r="J11" s="584" t="s">
        <v>357</v>
      </c>
      <c r="K11" s="585"/>
      <c r="L11" s="586"/>
      <c r="M11" s="584" t="s">
        <v>276</v>
      </c>
      <c r="N11" s="585"/>
      <c r="O11" s="586"/>
    </row>
    <row r="12" spans="1:15" s="19" customFormat="1">
      <c r="B12" s="652"/>
      <c r="C12" s="652"/>
      <c r="D12" s="652"/>
      <c r="E12" s="653"/>
      <c r="F12" s="653"/>
      <c r="G12" s="653"/>
      <c r="H12" s="653"/>
      <c r="I12" s="653"/>
      <c r="J12" s="653"/>
      <c r="K12" s="653"/>
      <c r="L12" s="653"/>
      <c r="M12" s="653"/>
      <c r="N12" s="653"/>
      <c r="O12" s="653"/>
    </row>
    <row r="13" spans="1:15" s="19" customFormat="1">
      <c r="B13" s="609"/>
      <c r="C13" s="609"/>
      <c r="D13" s="609"/>
      <c r="E13" s="610"/>
      <c r="F13" s="610"/>
      <c r="G13" s="610"/>
      <c r="H13" s="610"/>
      <c r="I13" s="610"/>
      <c r="J13" s="610"/>
      <c r="K13" s="610"/>
      <c r="L13" s="610"/>
      <c r="M13" s="610"/>
      <c r="N13" s="610"/>
      <c r="O13" s="610"/>
    </row>
    <row r="14" spans="1:15" s="19" customFormat="1">
      <c r="B14" s="609"/>
      <c r="C14" s="609"/>
      <c r="D14" s="609"/>
      <c r="E14" s="610"/>
      <c r="F14" s="610"/>
      <c r="G14" s="610"/>
      <c r="H14" s="610"/>
      <c r="I14" s="610"/>
      <c r="J14" s="610"/>
      <c r="K14" s="610"/>
      <c r="L14" s="610"/>
      <c r="M14" s="610"/>
      <c r="N14" s="610"/>
      <c r="O14" s="610"/>
    </row>
    <row r="15" spans="1:15" s="19" customFormat="1">
      <c r="B15" s="609"/>
      <c r="C15" s="609"/>
      <c r="D15" s="609"/>
      <c r="E15" s="610"/>
      <c r="F15" s="610"/>
      <c r="G15" s="610"/>
      <c r="H15" s="610"/>
      <c r="I15" s="610"/>
      <c r="J15" s="610"/>
      <c r="K15" s="610"/>
      <c r="L15" s="610"/>
      <c r="M15" s="610"/>
      <c r="N15" s="610"/>
      <c r="O15" s="610"/>
    </row>
    <row r="16" spans="1:15" ht="24">
      <c r="B16" s="622" t="s">
        <v>283</v>
      </c>
      <c r="C16" s="622"/>
      <c r="D16" s="622"/>
      <c r="E16" s="622"/>
      <c r="F16" s="622"/>
      <c r="G16" s="622"/>
      <c r="H16" s="622"/>
      <c r="I16" s="622"/>
      <c r="J16" s="622"/>
      <c r="K16" s="622"/>
      <c r="L16" s="622"/>
      <c r="M16" s="622"/>
      <c r="N16" s="622"/>
      <c r="O16" s="622"/>
    </row>
    <row r="18" spans="1:15" ht="21">
      <c r="B18" s="654" t="s">
        <v>271</v>
      </c>
      <c r="C18" s="655"/>
      <c r="D18" s="656"/>
      <c r="E18" s="654" t="s">
        <v>272</v>
      </c>
      <c r="F18" s="655"/>
      <c r="G18" s="655"/>
      <c r="H18" s="655"/>
      <c r="I18" s="656"/>
      <c r="J18" s="654" t="s">
        <v>273</v>
      </c>
      <c r="K18" s="655"/>
      <c r="L18" s="656"/>
      <c r="M18" s="654" t="s">
        <v>274</v>
      </c>
      <c r="N18" s="655"/>
      <c r="O18" s="656"/>
    </row>
    <row r="19" spans="1:15" ht="114" customHeight="1">
      <c r="B19" s="567" t="str">
        <f>+'Data Entry'!B68</f>
        <v>M1: Status of Conditions Precedent (CPs) and Time Bound Actions (TBAs)</v>
      </c>
      <c r="C19" s="568"/>
      <c r="D19" s="569"/>
      <c r="E19" s="599" t="s">
        <v>281</v>
      </c>
      <c r="F19" s="600"/>
      <c r="G19" s="600"/>
      <c r="H19" s="600"/>
      <c r="I19" s="601"/>
      <c r="J19" s="584" t="s">
        <v>350</v>
      </c>
      <c r="K19" s="585"/>
      <c r="L19" s="586"/>
      <c r="M19" s="584" t="s">
        <v>351</v>
      </c>
      <c r="N19" s="585"/>
      <c r="O19" s="586"/>
    </row>
    <row r="20" spans="1:15" ht="102.75" customHeight="1">
      <c r="B20" s="567" t="str">
        <f>+'Data Entry'!B75</f>
        <v>M2: Status of key PR management positions</v>
      </c>
      <c r="C20" s="568"/>
      <c r="D20" s="569"/>
      <c r="E20" s="599" t="s">
        <v>395</v>
      </c>
      <c r="F20" s="600"/>
      <c r="G20" s="600"/>
      <c r="H20" s="600"/>
      <c r="I20" s="601"/>
      <c r="J20" s="584" t="s">
        <v>278</v>
      </c>
      <c r="K20" s="585"/>
      <c r="L20" s="586"/>
      <c r="M20" s="584" t="s">
        <v>277</v>
      </c>
      <c r="N20" s="585"/>
      <c r="O20" s="586"/>
    </row>
    <row r="21" spans="1:15" ht="111.75" customHeight="1">
      <c r="B21" s="567" t="str">
        <f>+'Data Entry'!B80</f>
        <v xml:space="preserve">M3: Contractual arrangements (SRs) </v>
      </c>
      <c r="C21" s="568"/>
      <c r="D21" s="569"/>
      <c r="E21" s="602" t="s">
        <v>0</v>
      </c>
      <c r="F21" s="600"/>
      <c r="G21" s="600"/>
      <c r="H21" s="600"/>
      <c r="I21" s="601"/>
      <c r="J21" s="584" t="s">
        <v>352</v>
      </c>
      <c r="K21" s="585"/>
      <c r="L21" s="586"/>
      <c r="M21" s="584" t="s">
        <v>353</v>
      </c>
      <c r="N21" s="585"/>
      <c r="O21" s="586"/>
    </row>
    <row r="22" spans="1:15" ht="74.25" customHeight="1">
      <c r="B22" s="567" t="str">
        <f>+'Data Entry'!B85</f>
        <v>M4: Number of complete reports received on time</v>
      </c>
      <c r="C22" s="568"/>
      <c r="D22" s="569"/>
      <c r="E22" s="602" t="s">
        <v>406</v>
      </c>
      <c r="F22" s="611"/>
      <c r="G22" s="611"/>
      <c r="H22" s="611"/>
      <c r="I22" s="612"/>
      <c r="J22" s="584" t="s">
        <v>358</v>
      </c>
      <c r="K22" s="585"/>
      <c r="L22" s="586"/>
      <c r="M22" s="584" t="s">
        <v>279</v>
      </c>
      <c r="N22" s="585"/>
      <c r="O22" s="586"/>
    </row>
    <row r="23" spans="1:15" ht="207.75" customHeight="1">
      <c r="B23" s="603" t="str">
        <f>+'Data Entry'!B91</f>
        <v>M5: Budget and Procurement of health products, health equipment, medicines and pharmaceuticals</v>
      </c>
      <c r="C23" s="604"/>
      <c r="D23" s="605"/>
      <c r="E23" s="613" t="s">
        <v>359</v>
      </c>
      <c r="F23" s="614"/>
      <c r="G23" s="614"/>
      <c r="H23" s="614"/>
      <c r="I23" s="615"/>
      <c r="J23" s="593" t="s">
        <v>275</v>
      </c>
      <c r="K23" s="594"/>
      <c r="L23" s="595"/>
      <c r="M23" s="593" t="s">
        <v>280</v>
      </c>
      <c r="N23" s="594"/>
      <c r="O23" s="595"/>
    </row>
    <row r="24" spans="1:15" ht="114.75" customHeight="1">
      <c r="B24" s="606"/>
      <c r="C24" s="607"/>
      <c r="D24" s="608"/>
      <c r="E24" s="616" t="s">
        <v>354</v>
      </c>
      <c r="F24" s="617"/>
      <c r="G24" s="617"/>
      <c r="H24" s="617"/>
      <c r="I24" s="618"/>
      <c r="J24" s="596"/>
      <c r="K24" s="597"/>
      <c r="L24" s="598"/>
      <c r="M24" s="596"/>
      <c r="N24" s="597"/>
      <c r="O24" s="598"/>
    </row>
    <row r="25" spans="1:15" ht="409.5" customHeight="1">
      <c r="B25" s="567" t="str">
        <f>+'Data Entry'!B104</f>
        <v>M6: Difference between current and safety stock</v>
      </c>
      <c r="C25" s="568"/>
      <c r="D25" s="569"/>
      <c r="E25" s="578" t="s">
        <v>407</v>
      </c>
      <c r="F25" s="579"/>
      <c r="G25" s="579"/>
      <c r="H25" s="579"/>
      <c r="I25" s="580"/>
      <c r="J25" s="590" t="s">
        <v>360</v>
      </c>
      <c r="K25" s="591"/>
      <c r="L25" s="592"/>
      <c r="M25" s="587" t="s">
        <v>365</v>
      </c>
      <c r="N25" s="588"/>
      <c r="O25" s="589"/>
    </row>
    <row r="29" spans="1:15" ht="19">
      <c r="B29" s="252"/>
    </row>
    <row r="30" spans="1:15" ht="24">
      <c r="B30" s="622" t="s">
        <v>296</v>
      </c>
      <c r="C30" s="622"/>
      <c r="D30" s="622"/>
      <c r="E30" s="622"/>
      <c r="F30" s="622"/>
      <c r="G30" s="622"/>
      <c r="H30" s="622"/>
      <c r="I30" s="622"/>
      <c r="J30" s="622"/>
      <c r="K30" s="622"/>
      <c r="L30" s="622"/>
      <c r="M30" s="622"/>
      <c r="N30" s="622"/>
      <c r="O30" s="622"/>
    </row>
    <row r="32" spans="1:15" ht="28.5" customHeight="1">
      <c r="A32" s="243"/>
      <c r="B32" s="623" t="s">
        <v>344</v>
      </c>
      <c r="C32" s="624"/>
      <c r="D32" s="625"/>
      <c r="E32" s="626" t="s">
        <v>302</v>
      </c>
      <c r="F32" s="627"/>
      <c r="G32" s="627"/>
      <c r="H32" s="627"/>
      <c r="I32" s="628"/>
      <c r="J32" s="626" t="s">
        <v>273</v>
      </c>
      <c r="K32" s="627"/>
      <c r="L32" s="628"/>
      <c r="M32" s="626" t="s">
        <v>274</v>
      </c>
      <c r="N32" s="627"/>
      <c r="O32" s="628"/>
    </row>
    <row r="33" spans="1:15" ht="47.25" customHeight="1">
      <c r="A33" s="244"/>
      <c r="B33" s="570"/>
      <c r="C33" s="571"/>
      <c r="D33" s="572"/>
      <c r="E33" s="558"/>
      <c r="F33" s="559"/>
      <c r="G33" s="559"/>
      <c r="H33" s="559"/>
      <c r="I33" s="560"/>
      <c r="J33" s="564"/>
      <c r="K33" s="565"/>
      <c r="L33" s="566"/>
      <c r="M33" s="564"/>
      <c r="N33" s="565"/>
      <c r="O33" s="566"/>
    </row>
    <row r="34" spans="1:15" ht="59.25" customHeight="1">
      <c r="A34" s="244"/>
      <c r="B34" s="570"/>
      <c r="C34" s="571"/>
      <c r="D34" s="572"/>
      <c r="E34" s="558"/>
      <c r="F34" s="559"/>
      <c r="G34" s="559"/>
      <c r="H34" s="559"/>
      <c r="I34" s="560"/>
      <c r="J34" s="564"/>
      <c r="K34" s="565"/>
      <c r="L34" s="566"/>
      <c r="M34" s="564"/>
      <c r="N34" s="565"/>
      <c r="O34" s="566"/>
    </row>
    <row r="35" spans="1:15" ht="57.75" customHeight="1">
      <c r="A35" s="244"/>
      <c r="B35" s="570"/>
      <c r="C35" s="571"/>
      <c r="D35" s="572"/>
      <c r="E35" s="564"/>
      <c r="F35" s="565"/>
      <c r="G35" s="565"/>
      <c r="H35" s="565"/>
      <c r="I35" s="566"/>
      <c r="J35" s="564"/>
      <c r="K35" s="565"/>
      <c r="L35" s="566"/>
      <c r="M35" s="564"/>
      <c r="N35" s="565"/>
      <c r="O35" s="566"/>
    </row>
    <row r="36" spans="1:15" ht="9.75" customHeight="1">
      <c r="A36" s="244"/>
      <c r="B36" s="575"/>
      <c r="C36" s="576"/>
      <c r="D36" s="577"/>
      <c r="E36" s="245"/>
      <c r="F36" s="246"/>
      <c r="G36" s="246"/>
      <c r="H36" s="246"/>
      <c r="I36" s="247"/>
      <c r="J36" s="265"/>
      <c r="K36" s="266"/>
      <c r="L36" s="267"/>
      <c r="M36" s="265"/>
      <c r="N36" s="266"/>
      <c r="O36" s="267"/>
    </row>
    <row r="37" spans="1:15" ht="46.5" customHeight="1">
      <c r="A37" s="244"/>
      <c r="B37" s="570"/>
      <c r="C37" s="571"/>
      <c r="D37" s="572"/>
      <c r="E37" s="564"/>
      <c r="F37" s="573"/>
      <c r="G37" s="573"/>
      <c r="H37" s="573"/>
      <c r="I37" s="574"/>
      <c r="J37" s="260"/>
      <c r="K37" s="261"/>
      <c r="L37" s="262"/>
      <c r="M37" s="260"/>
      <c r="N37" s="261"/>
      <c r="O37" s="262"/>
    </row>
    <row r="38" spans="1:15" ht="69" customHeight="1">
      <c r="A38" s="244"/>
      <c r="B38" s="570"/>
      <c r="C38" s="571"/>
      <c r="D38" s="572"/>
      <c r="E38" s="558"/>
      <c r="F38" s="559"/>
      <c r="G38" s="559"/>
      <c r="H38" s="559"/>
      <c r="I38" s="560"/>
      <c r="J38" s="564"/>
      <c r="K38" s="565"/>
      <c r="L38" s="566"/>
      <c r="M38" s="564"/>
      <c r="N38" s="565"/>
      <c r="O38" s="566"/>
    </row>
    <row r="39" spans="1:15" ht="64.5" customHeight="1">
      <c r="A39" s="244"/>
      <c r="B39" s="570"/>
      <c r="C39" s="571"/>
      <c r="D39" s="572"/>
      <c r="E39" s="564"/>
      <c r="F39" s="565"/>
      <c r="G39" s="565"/>
      <c r="H39" s="565"/>
      <c r="I39" s="566"/>
      <c r="J39" s="260"/>
      <c r="K39" s="261"/>
      <c r="L39" s="262"/>
      <c r="M39" s="260"/>
      <c r="N39" s="261"/>
      <c r="O39" s="262"/>
    </row>
    <row r="40" spans="1:15" ht="45" customHeight="1">
      <c r="A40" s="244"/>
      <c r="B40" s="555"/>
      <c r="C40" s="556"/>
      <c r="D40" s="557"/>
      <c r="E40" s="581"/>
      <c r="F40" s="582"/>
      <c r="G40" s="582"/>
      <c r="H40" s="582"/>
      <c r="I40" s="583"/>
      <c r="J40" s="564"/>
      <c r="K40" s="565"/>
      <c r="L40" s="566"/>
      <c r="M40" s="564"/>
      <c r="N40" s="565"/>
      <c r="O40" s="566"/>
    </row>
    <row r="41" spans="1:15" ht="62.25" customHeight="1">
      <c r="A41" s="244"/>
      <c r="B41" s="552"/>
      <c r="C41" s="553"/>
      <c r="D41" s="554"/>
      <c r="E41" s="558"/>
      <c r="F41" s="559"/>
      <c r="G41" s="559"/>
      <c r="H41" s="559"/>
      <c r="I41" s="560"/>
      <c r="J41" s="564"/>
      <c r="K41" s="565"/>
      <c r="L41" s="566"/>
      <c r="M41" s="564"/>
      <c r="N41" s="565"/>
      <c r="O41" s="566"/>
    </row>
    <row r="42" spans="1:15" ht="84" customHeight="1">
      <c r="A42" s="244"/>
      <c r="B42" s="552"/>
      <c r="C42" s="553"/>
      <c r="D42" s="554"/>
      <c r="E42" s="564"/>
      <c r="F42" s="565"/>
      <c r="G42" s="565"/>
      <c r="H42" s="565"/>
      <c r="I42" s="566"/>
      <c r="J42" s="260"/>
      <c r="K42" s="261"/>
      <c r="L42" s="262"/>
      <c r="M42" s="260"/>
      <c r="N42" s="261"/>
      <c r="O42" s="262"/>
    </row>
    <row r="43" spans="1:15" ht="45" customHeight="1">
      <c r="A43" s="244"/>
      <c r="B43" s="552"/>
      <c r="C43" s="553"/>
      <c r="D43" s="554"/>
      <c r="E43" s="558"/>
      <c r="F43" s="559"/>
      <c r="G43" s="559"/>
      <c r="H43" s="559"/>
      <c r="I43" s="560"/>
      <c r="J43" s="564"/>
      <c r="K43" s="565"/>
      <c r="L43" s="566"/>
      <c r="M43" s="260"/>
      <c r="N43" s="261"/>
      <c r="O43" s="262"/>
    </row>
    <row r="44" spans="1:15" ht="64.5" customHeight="1">
      <c r="A44" s="244"/>
      <c r="B44" s="555"/>
      <c r="C44" s="556"/>
      <c r="D44" s="557"/>
      <c r="E44" s="558"/>
      <c r="F44" s="559"/>
      <c r="G44" s="559"/>
      <c r="H44" s="559"/>
      <c r="I44" s="560"/>
      <c r="J44" s="564"/>
      <c r="K44" s="565"/>
      <c r="L44" s="566"/>
      <c r="M44" s="260"/>
      <c r="N44" s="261"/>
      <c r="O44" s="262"/>
    </row>
    <row r="45" spans="1:15" ht="49.5" customHeight="1">
      <c r="B45" s="555"/>
      <c r="C45" s="556"/>
      <c r="D45" s="557"/>
      <c r="E45" s="558"/>
      <c r="F45" s="559"/>
      <c r="G45" s="559"/>
      <c r="H45" s="559"/>
      <c r="I45" s="560"/>
      <c r="J45" s="564"/>
      <c r="K45" s="565"/>
      <c r="L45" s="566"/>
      <c r="M45" s="260"/>
      <c r="N45" s="261"/>
      <c r="O45" s="262"/>
    </row>
    <row r="46" spans="1:15" ht="30" customHeight="1">
      <c r="B46" s="561"/>
      <c r="C46" s="562"/>
      <c r="D46" s="563"/>
      <c r="E46" s="248"/>
      <c r="F46" s="249"/>
      <c r="G46" s="249"/>
      <c r="H46" s="249"/>
      <c r="I46" s="250"/>
      <c r="J46" s="260"/>
      <c r="K46" s="261"/>
      <c r="L46" s="262"/>
      <c r="M46" s="260"/>
      <c r="N46" s="261"/>
      <c r="O46" s="262"/>
    </row>
    <row r="47" spans="1:15" ht="44.25" customHeight="1">
      <c r="B47" s="632" t="s">
        <v>297</v>
      </c>
      <c r="C47" s="633"/>
      <c r="D47" s="634"/>
      <c r="E47" s="635" t="s">
        <v>272</v>
      </c>
      <c r="F47" s="636"/>
      <c r="G47" s="636"/>
      <c r="H47" s="636"/>
      <c r="I47" s="637"/>
      <c r="J47" s="635" t="s">
        <v>273</v>
      </c>
      <c r="K47" s="636"/>
      <c r="L47" s="637"/>
      <c r="M47" s="635" t="s">
        <v>274</v>
      </c>
      <c r="N47" s="636"/>
      <c r="O47" s="637"/>
    </row>
    <row r="48" spans="1:15" ht="33.75" customHeight="1">
      <c r="B48" s="239"/>
      <c r="C48" s="240"/>
      <c r="D48" s="240"/>
      <c r="E48" s="233"/>
      <c r="F48" s="235"/>
      <c r="G48" s="235"/>
      <c r="H48" s="235"/>
      <c r="I48" s="235"/>
      <c r="J48" s="233"/>
      <c r="K48" s="233"/>
      <c r="L48" s="234"/>
      <c r="M48" s="232"/>
      <c r="N48" s="233"/>
      <c r="O48" s="234"/>
    </row>
    <row r="49" spans="2:15" ht="15.75" customHeight="1">
      <c r="B49" s="629" t="s">
        <v>294</v>
      </c>
      <c r="C49" s="630"/>
      <c r="D49" s="630"/>
      <c r="E49" s="630"/>
      <c r="F49" s="630"/>
      <c r="G49" s="630"/>
      <c r="H49" s="630"/>
      <c r="I49" s="630"/>
      <c r="J49" s="630"/>
      <c r="K49" s="630"/>
      <c r="L49" s="631"/>
      <c r="M49" s="619" t="s">
        <v>284</v>
      </c>
      <c r="N49" s="620"/>
      <c r="O49" s="621"/>
    </row>
    <row r="50" spans="2:15">
      <c r="D50" s="219"/>
    </row>
    <row r="52" spans="2:15">
      <c r="D52" s="219"/>
    </row>
    <row r="53" spans="2:15">
      <c r="D53" s="219"/>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1"/>
  <sheetViews>
    <sheetView showGridLines="0" tabSelected="1" zoomScale="110" zoomScaleNormal="110" zoomScalePageLayoutView="90" workbookViewId="0">
      <selection activeCell="B1" sqref="B1"/>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88" t="s">
        <v>372</v>
      </c>
      <c r="C2" s="688"/>
      <c r="D2" s="688"/>
      <c r="E2" s="688"/>
      <c r="F2" s="688"/>
      <c r="G2" s="688"/>
      <c r="H2" s="688"/>
      <c r="I2" s="688"/>
      <c r="J2" s="688"/>
      <c r="K2" s="282"/>
      <c r="L2" s="282"/>
      <c r="M2" s="282"/>
    </row>
    <row r="3" spans="1:13" ht="4.5" customHeight="1">
      <c r="A3" s="3"/>
      <c r="B3" s="3"/>
      <c r="C3" s="3"/>
      <c r="D3" s="3"/>
      <c r="E3" s="3"/>
      <c r="F3" s="3"/>
      <c r="G3" s="3"/>
      <c r="H3" s="3"/>
      <c r="I3" s="3"/>
      <c r="J3" s="3"/>
      <c r="K3" s="3"/>
      <c r="L3" s="3"/>
      <c r="M3" s="3"/>
    </row>
    <row r="4" spans="1:13">
      <c r="A4" s="3"/>
      <c r="B4" s="280" t="s">
        <v>25</v>
      </c>
      <c r="C4" s="679" t="s">
        <v>176</v>
      </c>
      <c r="D4" s="680"/>
      <c r="E4" s="678" t="s">
        <v>11</v>
      </c>
      <c r="F4" s="678"/>
      <c r="G4" s="689" t="s">
        <v>435</v>
      </c>
      <c r="H4" s="690"/>
      <c r="I4" s="690"/>
      <c r="J4" s="691"/>
      <c r="K4" s="3"/>
      <c r="L4" s="3"/>
      <c r="M4" s="3"/>
    </row>
    <row r="5" spans="1:13" ht="3" customHeight="1">
      <c r="A5" s="3"/>
      <c r="B5" s="280"/>
      <c r="C5" s="3"/>
      <c r="D5" s="3"/>
      <c r="E5" s="283"/>
      <c r="F5" s="283"/>
      <c r="G5" s="3"/>
      <c r="H5" s="3"/>
      <c r="I5" s="3"/>
      <c r="J5" s="3"/>
      <c r="K5" s="3"/>
      <c r="L5" s="3"/>
      <c r="M5" s="3"/>
    </row>
    <row r="6" spans="1:13">
      <c r="A6" s="3"/>
      <c r="B6" s="280" t="s">
        <v>116</v>
      </c>
      <c r="C6" s="679" t="s">
        <v>412</v>
      </c>
      <c r="D6" s="680"/>
      <c r="E6" s="678" t="s">
        <v>26</v>
      </c>
      <c r="F6" s="678"/>
      <c r="G6" s="311" t="s">
        <v>27</v>
      </c>
      <c r="H6" s="280" t="s">
        <v>320</v>
      </c>
      <c r="I6" s="693">
        <v>9348442.7799999993</v>
      </c>
      <c r="J6" s="694"/>
      <c r="K6" s="3"/>
      <c r="L6" s="3"/>
      <c r="M6" s="3"/>
    </row>
    <row r="7" spans="1:13" ht="3" customHeight="1">
      <c r="A7" s="3"/>
      <c r="B7" s="280"/>
      <c r="C7" s="3"/>
      <c r="D7" s="3"/>
      <c r="E7" s="283"/>
      <c r="F7" s="283"/>
      <c r="G7" s="3"/>
      <c r="H7" s="280"/>
      <c r="I7" s="3"/>
      <c r="J7" s="3"/>
      <c r="K7" s="3"/>
      <c r="L7" s="3"/>
      <c r="M7" s="3"/>
    </row>
    <row r="8" spans="1:13">
      <c r="A8" s="3"/>
      <c r="B8" s="280" t="s">
        <v>268</v>
      </c>
      <c r="C8" s="679" t="s">
        <v>413</v>
      </c>
      <c r="D8" s="680"/>
      <c r="E8" s="284"/>
      <c r="F8" s="279" t="s">
        <v>322</v>
      </c>
      <c r="G8" s="507" t="s">
        <v>434</v>
      </c>
      <c r="H8" s="279" t="s">
        <v>321</v>
      </c>
      <c r="I8" s="697" t="s">
        <v>433</v>
      </c>
      <c r="J8" s="698"/>
      <c r="K8" s="3"/>
      <c r="L8" s="3"/>
      <c r="M8" s="3"/>
    </row>
    <row r="9" spans="1:13" ht="3" customHeight="1">
      <c r="A9" s="3"/>
      <c r="B9" s="283"/>
      <c r="C9" s="3"/>
      <c r="D9" s="3"/>
      <c r="E9" s="283"/>
      <c r="F9" s="283"/>
      <c r="G9" s="3"/>
      <c r="H9" s="3"/>
      <c r="I9" s="3"/>
      <c r="J9" s="3"/>
      <c r="K9" s="3"/>
      <c r="L9" s="3"/>
      <c r="M9" s="3"/>
    </row>
    <row r="10" spans="1:13">
      <c r="A10" s="3"/>
      <c r="B10" s="280" t="s">
        <v>401</v>
      </c>
      <c r="C10" s="699">
        <v>43647</v>
      </c>
      <c r="D10" s="700"/>
      <c r="E10" s="692" t="s">
        <v>30</v>
      </c>
      <c r="F10" s="684"/>
      <c r="G10" s="679" t="s">
        <v>262</v>
      </c>
      <c r="H10" s="696"/>
      <c r="I10" s="696"/>
      <c r="J10" s="680"/>
      <c r="K10" s="3"/>
      <c r="L10" s="3"/>
      <c r="M10" s="3"/>
    </row>
    <row r="11" spans="1:13" ht="5.25" customHeight="1">
      <c r="A11" s="3"/>
      <c r="B11" s="3"/>
      <c r="C11" s="3"/>
      <c r="D11" s="3"/>
      <c r="E11" s="3"/>
      <c r="F11" s="3"/>
      <c r="G11" s="3"/>
      <c r="H11" s="3"/>
      <c r="I11" s="3"/>
      <c r="J11" s="3"/>
      <c r="K11" s="3"/>
      <c r="L11" s="3"/>
      <c r="M11" s="3"/>
    </row>
    <row r="12" spans="1:13" ht="15" customHeight="1">
      <c r="A12" s="3"/>
      <c r="B12" s="280" t="s">
        <v>28</v>
      </c>
      <c r="C12" s="677" t="s">
        <v>44</v>
      </c>
      <c r="D12" s="677"/>
      <c r="E12" s="692" t="s">
        <v>288</v>
      </c>
      <c r="F12" s="678"/>
      <c r="G12" s="695" t="s">
        <v>439</v>
      </c>
      <c r="H12" s="695"/>
      <c r="I12" s="695"/>
      <c r="J12" s="695"/>
      <c r="K12" s="3"/>
      <c r="L12" s="3"/>
      <c r="M12" s="3"/>
    </row>
    <row r="13" spans="1:13" ht="5.25" customHeight="1">
      <c r="A13" s="3"/>
      <c r="B13" s="3"/>
      <c r="C13" s="3"/>
      <c r="D13" s="3"/>
      <c r="E13" s="3"/>
      <c r="F13" s="3"/>
      <c r="G13" s="3"/>
      <c r="H13" s="3"/>
      <c r="I13" s="3"/>
      <c r="J13" s="3"/>
      <c r="K13" s="3"/>
      <c r="L13" s="3"/>
      <c r="M13" s="3"/>
    </row>
    <row r="14" spans="1:13" ht="15.75" customHeight="1">
      <c r="A14" s="3"/>
      <c r="B14" s="688" t="s">
        <v>2</v>
      </c>
      <c r="C14" s="688"/>
      <c r="D14" s="688"/>
      <c r="E14" s="688"/>
      <c r="F14" s="688"/>
      <c r="G14" s="688"/>
      <c r="H14" s="688"/>
      <c r="I14" s="688"/>
      <c r="J14" s="688"/>
      <c r="K14" s="3"/>
      <c r="L14" s="3"/>
      <c r="M14" s="3"/>
    </row>
    <row r="15" spans="1:13" ht="3" customHeight="1">
      <c r="A15" s="3"/>
      <c r="B15" s="3"/>
      <c r="C15" s="3"/>
      <c r="D15" s="3"/>
      <c r="E15" s="3"/>
      <c r="F15" s="3"/>
      <c r="G15" s="3"/>
      <c r="H15" s="3"/>
      <c r="I15" s="3"/>
      <c r="J15" s="3"/>
      <c r="K15" s="3"/>
      <c r="L15" s="3"/>
      <c r="M15" s="3"/>
    </row>
    <row r="16" spans="1:13">
      <c r="A16" s="3"/>
      <c r="B16" s="280" t="s">
        <v>20</v>
      </c>
      <c r="C16" s="389" t="s">
        <v>108</v>
      </c>
      <c r="D16" s="279" t="s">
        <v>323</v>
      </c>
      <c r="E16" s="285">
        <v>43922</v>
      </c>
      <c r="F16" s="281" t="s">
        <v>8</v>
      </c>
      <c r="G16" s="285">
        <v>44012</v>
      </c>
      <c r="H16" s="692" t="s">
        <v>324</v>
      </c>
      <c r="I16" s="684"/>
      <c r="J16" s="517">
        <v>44180</v>
      </c>
      <c r="K16" s="3"/>
      <c r="L16" s="3"/>
      <c r="M16" s="3"/>
    </row>
    <row r="17" spans="1:35" ht="3" customHeight="1">
      <c r="A17" s="3"/>
      <c r="B17" s="3"/>
      <c r="C17" s="3"/>
      <c r="D17" s="3"/>
      <c r="E17" s="3"/>
      <c r="F17" s="3"/>
      <c r="G17" s="3"/>
      <c r="H17" s="3"/>
      <c r="I17" s="3"/>
      <c r="J17" s="3"/>
      <c r="K17" s="3"/>
      <c r="L17" s="3"/>
      <c r="M17" s="3"/>
    </row>
    <row r="18" spans="1:35">
      <c r="A18" s="3"/>
      <c r="B18" s="683" t="s">
        <v>31</v>
      </c>
      <c r="C18" s="684"/>
      <c r="D18" s="685" t="s">
        <v>438</v>
      </c>
      <c r="E18" s="685"/>
      <c r="F18" s="685"/>
      <c r="G18" s="286"/>
      <c r="H18" s="286"/>
      <c r="I18" s="286"/>
      <c r="J18" s="286"/>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88" t="s">
        <v>361</v>
      </c>
      <c r="C21" s="688"/>
      <c r="D21" s="688"/>
      <c r="E21" s="688"/>
      <c r="F21" s="688"/>
      <c r="G21" s="688"/>
      <c r="H21" s="688"/>
      <c r="I21" s="688"/>
      <c r="J21" s="688"/>
      <c r="K21" s="3"/>
      <c r="L21" s="3"/>
      <c r="M21" s="3"/>
    </row>
    <row r="22" spans="1:35">
      <c r="A22" s="3"/>
      <c r="B22" s="283" t="s">
        <v>3</v>
      </c>
      <c r="C22" s="3"/>
      <c r="D22" s="3"/>
      <c r="E22" s="287"/>
      <c r="F22" s="287"/>
      <c r="G22" s="3"/>
      <c r="H22" s="3"/>
      <c r="I22" s="287"/>
      <c r="J22" s="287"/>
      <c r="K22" s="3"/>
      <c r="L22" s="3"/>
      <c r="M22" s="3"/>
    </row>
    <row r="23" spans="1:35" ht="3" customHeight="1">
      <c r="A23" s="3"/>
      <c r="B23" s="3"/>
      <c r="C23" s="3"/>
      <c r="D23" s="3"/>
      <c r="E23" s="3"/>
      <c r="F23" s="3"/>
      <c r="G23" s="3"/>
      <c r="H23" s="3"/>
      <c r="I23" s="3"/>
      <c r="J23" s="3"/>
      <c r="K23" s="3"/>
      <c r="L23" s="3"/>
      <c r="M23" s="3"/>
    </row>
    <row r="24" spans="1:35" ht="16" thickBot="1">
      <c r="A24" s="3"/>
      <c r="B24" s="280" t="s">
        <v>397</v>
      </c>
      <c r="C24" s="382"/>
      <c r="D24" s="678" t="s">
        <v>398</v>
      </c>
      <c r="E24" s="678"/>
      <c r="F24" s="383"/>
      <c r="G24" s="678" t="s">
        <v>399</v>
      </c>
      <c r="H24" s="678"/>
      <c r="I24" s="746"/>
      <c r="J24" s="747"/>
      <c r="K24" s="3"/>
      <c r="L24" s="3"/>
      <c r="M24" s="3"/>
      <c r="N24" s="20"/>
    </row>
    <row r="25" spans="1:35" ht="20" thickBot="1">
      <c r="A25" s="3"/>
      <c r="B25" s="86" t="s">
        <v>397</v>
      </c>
      <c r="C25" s="87"/>
      <c r="D25" s="87"/>
      <c r="E25" s="87"/>
      <c r="F25" s="87"/>
      <c r="G25" s="87"/>
      <c r="H25" s="268"/>
      <c r="I25" s="88"/>
      <c r="J25" s="88"/>
      <c r="K25" s="268" t="s">
        <v>325</v>
      </c>
      <c r="L25" s="87"/>
      <c r="M25" s="87"/>
      <c r="N25" s="390"/>
      <c r="O25" s="40"/>
      <c r="AI25" s="43"/>
    </row>
    <row r="26" spans="1:35">
      <c r="A26" s="3"/>
      <c r="B26" s="736" t="s">
        <v>368</v>
      </c>
      <c r="C26" s="737"/>
      <c r="D26" s="400" t="s">
        <v>18</v>
      </c>
      <c r="E26" s="90"/>
      <c r="F26" s="90"/>
      <c r="G26" s="90"/>
      <c r="H26" s="90"/>
      <c r="I26" s="90"/>
      <c r="J26" s="91"/>
      <c r="K26" s="90"/>
      <c r="L26" s="90"/>
      <c r="M26" s="90"/>
      <c r="N26" s="40"/>
      <c r="O26" s="40"/>
      <c r="AI26" s="43"/>
    </row>
    <row r="27" spans="1:35" ht="19">
      <c r="A27" s="3"/>
      <c r="B27" s="89" t="s">
        <v>378</v>
      </c>
      <c r="C27" s="90"/>
      <c r="D27" s="90"/>
      <c r="E27" s="90"/>
      <c r="F27" s="90"/>
      <c r="G27" s="90"/>
      <c r="H27" s="90"/>
      <c r="I27" s="90"/>
      <c r="J27" s="91"/>
      <c r="K27" s="90"/>
      <c r="L27" s="90"/>
      <c r="M27" s="90"/>
      <c r="N27" s="40"/>
      <c r="O27" s="40"/>
      <c r="AI27" s="43"/>
    </row>
    <row r="28" spans="1:35" ht="16" thickBot="1">
      <c r="A28" s="3"/>
      <c r="B28" s="3"/>
      <c r="C28" s="3"/>
      <c r="D28" s="3"/>
      <c r="E28" s="3"/>
      <c r="F28" s="3"/>
      <c r="G28" s="3"/>
      <c r="H28" s="3"/>
      <c r="I28" s="3"/>
      <c r="J28" s="3"/>
      <c r="K28" s="3"/>
      <c r="L28" s="3"/>
      <c r="M28" s="3"/>
    </row>
    <row r="29" spans="1:35" ht="16" thickBot="1">
      <c r="A29" s="3"/>
      <c r="B29" s="658" t="s">
        <v>59</v>
      </c>
      <c r="C29" s="659"/>
      <c r="D29" s="659"/>
      <c r="E29" s="659"/>
      <c r="F29" s="659"/>
      <c r="G29" s="659"/>
      <c r="H29" s="659"/>
      <c r="I29" s="659"/>
      <c r="J29" s="659"/>
      <c r="K29" s="659"/>
      <c r="L29" s="659"/>
      <c r="M29" s="659"/>
      <c r="N29" s="660"/>
      <c r="P29" s="206"/>
      <c r="Q29" s="207"/>
      <c r="R29" s="208">
        <f>+C33</f>
        <v>717729.52771723305</v>
      </c>
      <c r="S29" s="206"/>
    </row>
    <row r="30" spans="1:35">
      <c r="A30" s="3"/>
      <c r="B30" s="92" t="s">
        <v>267</v>
      </c>
      <c r="C30" s="361" t="s">
        <v>105</v>
      </c>
      <c r="D30" s="361" t="s">
        <v>106</v>
      </c>
      <c r="E30" s="361" t="s">
        <v>107</v>
      </c>
      <c r="F30" s="361" t="s">
        <v>108</v>
      </c>
      <c r="G30" s="361" t="s">
        <v>120</v>
      </c>
      <c r="H30" s="361" t="s">
        <v>121</v>
      </c>
      <c r="I30" s="361" t="s">
        <v>122</v>
      </c>
      <c r="J30" s="361" t="s">
        <v>123</v>
      </c>
      <c r="K30" s="361" t="s">
        <v>124</v>
      </c>
      <c r="L30" s="361" t="s">
        <v>125</v>
      </c>
      <c r="M30" s="361" t="s">
        <v>126</v>
      </c>
      <c r="N30" s="362" t="s">
        <v>286</v>
      </c>
      <c r="O30" s="363" t="s">
        <v>4</v>
      </c>
      <c r="P30" s="206"/>
      <c r="Q30" s="207"/>
      <c r="R30" s="208">
        <f>+D33</f>
        <v>1702547.4540092666</v>
      </c>
      <c r="S30" s="206"/>
    </row>
    <row r="31" spans="1:35">
      <c r="A31" s="3"/>
      <c r="B31" s="276" t="str">
        <f>CONCATENATE("Budget (in ",'Data Entry'!$D$26,")")</f>
        <v>Budget (in $)</v>
      </c>
      <c r="C31" s="373">
        <v>717729.52771723305</v>
      </c>
      <c r="D31" s="372">
        <v>984817.92629203352</v>
      </c>
      <c r="E31" s="372">
        <v>654349.8271338084</v>
      </c>
      <c r="F31" s="372">
        <v>916510.75545810768</v>
      </c>
      <c r="G31" s="372">
        <v>1019872.9413691912</v>
      </c>
      <c r="H31" s="372">
        <v>636751.33313835249</v>
      </c>
      <c r="I31" s="372">
        <v>599126.1573245622</v>
      </c>
      <c r="J31" s="372">
        <v>1200671.6601985595</v>
      </c>
      <c r="K31" s="372">
        <v>638323.88654436544</v>
      </c>
      <c r="L31" s="372">
        <v>545030.934423069</v>
      </c>
      <c r="M31" s="372">
        <v>755142.67589887255</v>
      </c>
      <c r="N31" s="372">
        <v>680115.15525378985</v>
      </c>
      <c r="O31" s="753">
        <f>+SUM(C35:N35)</f>
        <v>0.96620184976509804</v>
      </c>
      <c r="P31" s="206"/>
      <c r="Q31" s="207"/>
      <c r="R31" s="208">
        <f>+E33</f>
        <v>2356897.2811430749</v>
      </c>
      <c r="S31" s="206"/>
    </row>
    <row r="32" spans="1:35">
      <c r="A32" s="3"/>
      <c r="B32" s="92" t="str">
        <f>CONCATENATE("Disbursements by GF (in ", $D$26,")")</f>
        <v>Disbursements by GF (in $)</v>
      </c>
      <c r="C32" s="373">
        <v>695428.56</v>
      </c>
      <c r="D32" s="373">
        <v>982380.1</v>
      </c>
      <c r="E32" s="373">
        <v>673893.21</v>
      </c>
      <c r="F32" s="372">
        <v>811071.03</v>
      </c>
      <c r="G32" s="373"/>
      <c r="H32" s="373"/>
      <c r="I32" s="372"/>
      <c r="J32" s="372"/>
      <c r="K32" s="372"/>
      <c r="L32" s="372"/>
      <c r="M32" s="372"/>
      <c r="N32" s="372"/>
      <c r="O32" s="754"/>
      <c r="P32" s="206"/>
      <c r="Q32" s="207"/>
      <c r="R32" s="208">
        <f>+F33</f>
        <v>3273408.0366011825</v>
      </c>
      <c r="S32" s="206"/>
    </row>
    <row r="33" spans="1:35">
      <c r="A33" s="3"/>
      <c r="B33" s="93" t="s">
        <v>384</v>
      </c>
      <c r="C33" s="374">
        <f>+C31</f>
        <v>717729.52771723305</v>
      </c>
      <c r="D33" s="374">
        <f>IF(AND(D31=0,D32=0),0,+C33+D31)</f>
        <v>1702547.4540092666</v>
      </c>
      <c r="E33" s="374">
        <f t="shared" ref="E33:N33" si="0">IF(AND(E31=0,E32=0),0,+D33+E31)</f>
        <v>2356897.2811430749</v>
      </c>
      <c r="F33" s="374">
        <f t="shared" si="0"/>
        <v>3273408.0366011825</v>
      </c>
      <c r="G33" s="374">
        <f t="shared" si="0"/>
        <v>4293280.9779703738</v>
      </c>
      <c r="H33" s="374">
        <f t="shared" si="0"/>
        <v>4930032.3111087261</v>
      </c>
      <c r="I33" s="374">
        <f t="shared" si="0"/>
        <v>5529158.4684332879</v>
      </c>
      <c r="J33" s="374">
        <f t="shared" si="0"/>
        <v>6729830.128631847</v>
      </c>
      <c r="K33" s="374">
        <f t="shared" si="0"/>
        <v>7368154.0151762124</v>
      </c>
      <c r="L33" s="374">
        <f t="shared" si="0"/>
        <v>7913184.949599281</v>
      </c>
      <c r="M33" s="374">
        <f t="shared" si="0"/>
        <v>8668327.6254981533</v>
      </c>
      <c r="N33" s="374">
        <f t="shared" si="0"/>
        <v>9348442.7807519436</v>
      </c>
      <c r="O33" s="754"/>
      <c r="P33" s="355"/>
      <c r="Q33" s="207"/>
      <c r="R33" s="208">
        <f>+G33</f>
        <v>4293280.9779703738</v>
      </c>
      <c r="S33" s="206"/>
    </row>
    <row r="34" spans="1:35" ht="16" thickBot="1">
      <c r="A34" s="3"/>
      <c r="B34" s="94" t="s">
        <v>385</v>
      </c>
      <c r="C34" s="375">
        <f>+C32</f>
        <v>695428.56</v>
      </c>
      <c r="D34" s="375">
        <f>IF(AND(D31=0,D32=0),0,+C34+D32)</f>
        <v>1677808.6600000001</v>
      </c>
      <c r="E34" s="375">
        <f t="shared" ref="E34:N34" si="1">IF(AND(E31=0,E32=0),0,+D34+E32)</f>
        <v>2351701.87</v>
      </c>
      <c r="F34" s="375">
        <f t="shared" si="1"/>
        <v>3162772.9000000004</v>
      </c>
      <c r="G34" s="375">
        <f>IF(AND(G31=0,G32=0),0,+F34+G32)</f>
        <v>3162772.9000000004</v>
      </c>
      <c r="H34" s="375">
        <f t="shared" si="1"/>
        <v>3162772.9000000004</v>
      </c>
      <c r="I34" s="375">
        <f t="shared" si="1"/>
        <v>3162772.9000000004</v>
      </c>
      <c r="J34" s="375">
        <f t="shared" si="1"/>
        <v>3162772.9000000004</v>
      </c>
      <c r="K34" s="375">
        <f t="shared" si="1"/>
        <v>3162772.9000000004</v>
      </c>
      <c r="L34" s="375">
        <f t="shared" si="1"/>
        <v>3162772.9000000004</v>
      </c>
      <c r="M34" s="375">
        <f t="shared" si="1"/>
        <v>3162772.9000000004</v>
      </c>
      <c r="N34" s="375">
        <f t="shared" si="1"/>
        <v>3162772.9000000004</v>
      </c>
      <c r="O34" s="755"/>
      <c r="P34" s="355"/>
      <c r="Q34" s="207"/>
      <c r="R34" s="208">
        <f>+H33</f>
        <v>4930032.3111087261</v>
      </c>
      <c r="S34" s="206"/>
    </row>
    <row r="35" spans="1:35">
      <c r="A35" s="3"/>
      <c r="B35" s="3"/>
      <c r="C35" s="336">
        <f>+IF(AND(C30=$C$16,C33&lt;&gt;0),C34/C33,0)</f>
        <v>0</v>
      </c>
      <c r="D35" s="336">
        <f t="shared" ref="D35:N35" si="2">+IF(AND(D30=$C$16,D33&lt;&gt;0),D34/D33,0)</f>
        <v>0</v>
      </c>
      <c r="E35" s="336">
        <f t="shared" si="2"/>
        <v>0</v>
      </c>
      <c r="F35" s="336">
        <f t="shared" si="2"/>
        <v>0.96620184976509804</v>
      </c>
      <c r="G35" s="336">
        <f t="shared" si="2"/>
        <v>0</v>
      </c>
      <c r="H35" s="336">
        <f t="shared" si="2"/>
        <v>0</v>
      </c>
      <c r="I35" s="336">
        <f t="shared" si="2"/>
        <v>0</v>
      </c>
      <c r="J35" s="336">
        <f t="shared" si="2"/>
        <v>0</v>
      </c>
      <c r="K35" s="336">
        <f t="shared" si="2"/>
        <v>0</v>
      </c>
      <c r="L35" s="336">
        <f t="shared" si="2"/>
        <v>0</v>
      </c>
      <c r="M35" s="336">
        <f t="shared" si="2"/>
        <v>0</v>
      </c>
      <c r="N35" s="336">
        <f t="shared" si="2"/>
        <v>0</v>
      </c>
      <c r="O35" s="288"/>
      <c r="P35" s="209"/>
      <c r="Q35" s="210"/>
      <c r="R35" s="208">
        <f>+I33</f>
        <v>5529158.4684332879</v>
      </c>
      <c r="S35" s="206"/>
    </row>
    <row r="36" spans="1:35" ht="19">
      <c r="A36" s="3"/>
      <c r="B36" s="89" t="s">
        <v>377</v>
      </c>
      <c r="C36" s="3"/>
      <c r="D36" s="3"/>
      <c r="E36" s="349"/>
      <c r="F36" s="3"/>
      <c r="G36" s="259"/>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84" t="s">
        <v>400</v>
      </c>
      <c r="C38" s="385" t="str">
        <f>CONCATENATE("Cumulative Budget (in ",'Data Entry'!$D$26,")")</f>
        <v>Cumulative Budget (in $)</v>
      </c>
      <c r="D38" s="386" t="str">
        <f>CONCATENATE("Cumulative Expenditures (in ",'Data Entry'!$D$26,")")</f>
        <v>Cumulative Expenditures (in $)</v>
      </c>
      <c r="G38" s="3"/>
      <c r="H38" s="3"/>
      <c r="I38" s="3"/>
      <c r="J38" s="100"/>
      <c r="K38" s="42"/>
      <c r="N38"/>
      <c r="O38"/>
      <c r="AE38" s="20"/>
      <c r="AF38" s="36"/>
    </row>
    <row r="39" spans="1:35" ht="30" customHeight="1">
      <c r="A39" s="3"/>
      <c r="B39" s="387" t="s">
        <v>417</v>
      </c>
      <c r="C39" s="460">
        <v>607114.90244851517</v>
      </c>
      <c r="D39" s="461">
        <v>472790.63926564902</v>
      </c>
      <c r="G39" s="356"/>
      <c r="H39" s="3"/>
      <c r="I39" s="200"/>
      <c r="J39" s="101"/>
      <c r="K39" s="541"/>
      <c r="L39" s="543"/>
      <c r="M39" s="543"/>
      <c r="N39" s="228"/>
      <c r="O39" s="228"/>
      <c r="P39" s="228"/>
      <c r="AE39" s="20"/>
      <c r="AF39" s="36"/>
    </row>
    <row r="40" spans="1:35" ht="27" customHeight="1">
      <c r="A40" s="3"/>
      <c r="B40" s="387" t="s">
        <v>418</v>
      </c>
      <c r="C40" s="460">
        <v>480723.89354105806</v>
      </c>
      <c r="D40" s="461">
        <v>358197.61891764659</v>
      </c>
      <c r="G40" s="356"/>
      <c r="H40" s="3"/>
      <c r="I40" s="200"/>
      <c r="J40" s="3"/>
      <c r="K40" s="541"/>
      <c r="L40" s="543"/>
      <c r="M40" s="543"/>
      <c r="N40" s="228"/>
      <c r="O40" s="228"/>
      <c r="P40" s="228"/>
      <c r="AE40" s="20"/>
      <c r="AF40" s="36"/>
    </row>
    <row r="41" spans="1:35" ht="29" customHeight="1">
      <c r="A41" s="3"/>
      <c r="B41" s="387" t="s">
        <v>440</v>
      </c>
      <c r="C41" s="460">
        <v>682022.20351421554</v>
      </c>
      <c r="D41" s="461">
        <v>471574.04580917273</v>
      </c>
      <c r="G41" s="3"/>
      <c r="H41" s="3"/>
      <c r="I41" s="200"/>
      <c r="J41" s="3"/>
      <c r="K41" s="541"/>
      <c r="L41" s="543"/>
      <c r="M41" s="543"/>
      <c r="N41" s="228"/>
      <c r="O41" s="228"/>
      <c r="P41" s="228"/>
      <c r="AE41" s="20"/>
      <c r="AF41" s="36"/>
    </row>
    <row r="42" spans="1:35" ht="30" customHeight="1">
      <c r="A42" s="3"/>
      <c r="B42" s="387" t="s">
        <v>441</v>
      </c>
      <c r="C42" s="460">
        <v>1052021.2417412505</v>
      </c>
      <c r="D42" s="461">
        <v>920689.39408544661</v>
      </c>
      <c r="G42" s="3"/>
      <c r="H42" s="3"/>
      <c r="I42" s="200"/>
      <c r="J42" s="3"/>
      <c r="K42" s="542"/>
      <c r="L42" s="543"/>
      <c r="M42" s="543"/>
      <c r="N42" s="228"/>
      <c r="O42" s="228"/>
      <c r="P42" s="228"/>
      <c r="AE42" s="20"/>
      <c r="AF42" s="36"/>
    </row>
    <row r="43" spans="1:35" ht="32">
      <c r="A43" s="3"/>
      <c r="B43" s="387" t="s">
        <v>442</v>
      </c>
      <c r="C43" s="460">
        <v>279822.04841020983</v>
      </c>
      <c r="D43" s="461">
        <v>199674.9573617976</v>
      </c>
      <c r="G43" s="3"/>
      <c r="H43" s="3"/>
      <c r="I43" s="200"/>
      <c r="J43" s="3"/>
      <c r="K43" s="542"/>
      <c r="L43" s="543"/>
      <c r="M43" s="543"/>
      <c r="N43" s="228"/>
      <c r="O43" s="228"/>
      <c r="P43" s="228"/>
      <c r="AE43" s="20"/>
      <c r="AF43" s="36"/>
    </row>
    <row r="44" spans="1:35" ht="16">
      <c r="A44" s="3"/>
      <c r="B44" s="387" t="s">
        <v>443</v>
      </c>
      <c r="C44" s="460">
        <v>150831.54819863682</v>
      </c>
      <c r="D44" s="461">
        <v>19254.769451983131</v>
      </c>
      <c r="G44" s="3"/>
      <c r="H44" s="3"/>
      <c r="I44" s="200"/>
      <c r="J44" s="3"/>
      <c r="K44" s="542"/>
      <c r="L44" s="543"/>
      <c r="M44" s="543"/>
      <c r="N44" s="228"/>
      <c r="O44" s="228"/>
      <c r="P44" s="228"/>
      <c r="AE44" s="20"/>
      <c r="AF44" s="36"/>
    </row>
    <row r="45" spans="1:35" ht="33" thickBot="1">
      <c r="A45" s="3"/>
      <c r="B45" s="387" t="s">
        <v>444</v>
      </c>
      <c r="C45" s="460">
        <v>20871.887606064822</v>
      </c>
      <c r="D45" s="461">
        <v>0</v>
      </c>
      <c r="G45" s="15"/>
      <c r="H45" s="15"/>
      <c r="I45" s="200"/>
      <c r="J45" s="15"/>
      <c r="K45" s="542"/>
      <c r="L45" s="543"/>
      <c r="M45" s="543"/>
      <c r="N45" s="228"/>
      <c r="O45" s="228"/>
      <c r="P45" s="228"/>
      <c r="AE45" s="36"/>
      <c r="AF45" s="36"/>
    </row>
    <row r="46" spans="1:35" ht="16" thickBot="1">
      <c r="A46" s="3"/>
      <c r="B46" s="388" t="s">
        <v>58</v>
      </c>
      <c r="C46" s="462">
        <f>SUM(C39:C45)</f>
        <v>3273407.7254599505</v>
      </c>
      <c r="D46" s="462">
        <f>SUM(D39:D45)</f>
        <v>2442181.4248916963</v>
      </c>
      <c r="E46" s="288"/>
      <c r="F46" s="759" t="str">
        <f ca="1">+IF((ROUND(C46,0)=ROUND(OFFSET(B33,0,RIGHT('Data Entry'!$C$16,LEN('Data Entry'!$C$16)-1),1,1),0)),"OK: Data match","Warning: Data does not match")</f>
        <v>OK: Data match</v>
      </c>
      <c r="G46" s="760"/>
      <c r="H46" s="760"/>
      <c r="I46" s="761"/>
      <c r="J46" s="200"/>
      <c r="K46" s="544"/>
      <c r="L46" s="543"/>
      <c r="M46" s="545"/>
      <c r="N46" s="228"/>
      <c r="O46" s="228"/>
      <c r="P46" s="228"/>
      <c r="AE46" s="36"/>
      <c r="AF46" s="36"/>
    </row>
    <row r="47" spans="1:35">
      <c r="A47" s="3"/>
      <c r="B47" s="3"/>
      <c r="C47" s="200"/>
      <c r="D47" s="200"/>
      <c r="E47" s="271"/>
      <c r="F47" s="200"/>
      <c r="G47" s="200"/>
      <c r="H47" s="200"/>
      <c r="I47" s="200"/>
      <c r="J47" s="200"/>
      <c r="K47" s="200"/>
      <c r="L47" s="200"/>
      <c r="M47" s="200"/>
      <c r="N47" s="200"/>
      <c r="O47" s="200"/>
      <c r="P47" s="209"/>
      <c r="Q47" s="210"/>
      <c r="R47" s="208"/>
      <c r="S47" s="206"/>
    </row>
    <row r="48" spans="1:35" ht="19">
      <c r="A48" s="3"/>
      <c r="B48" s="89" t="s">
        <v>376</v>
      </c>
      <c r="C48" s="3"/>
      <c r="D48" s="3"/>
      <c r="E48" s="3"/>
      <c r="F48" s="3"/>
      <c r="G48" s="3"/>
      <c r="H48" s="3"/>
      <c r="I48" s="3"/>
      <c r="J48" s="3"/>
      <c r="K48" s="3"/>
      <c r="L48" s="3"/>
      <c r="M48" s="3"/>
      <c r="P48" s="206"/>
      <c r="Q48" s="207"/>
      <c r="R48" s="208"/>
      <c r="S48" s="206"/>
    </row>
    <row r="49" spans="1:35" ht="16" thickBot="1">
      <c r="A49" s="3"/>
      <c r="B49" s="3"/>
      <c r="C49" s="3"/>
      <c r="D49" s="3"/>
      <c r="E49" s="3"/>
      <c r="F49" s="200"/>
      <c r="G49" s="3"/>
      <c r="H49" s="3"/>
      <c r="I49" s="3"/>
      <c r="J49" s="3"/>
      <c r="K49" s="3"/>
      <c r="L49" s="3"/>
      <c r="M49" s="3"/>
      <c r="P49" s="206"/>
      <c r="Q49" s="207"/>
      <c r="R49" s="208">
        <f>+K33</f>
        <v>7368154.0151762124</v>
      </c>
      <c r="S49" s="206"/>
    </row>
    <row r="50" spans="1:35" ht="35.25" customHeight="1">
      <c r="A50" s="3"/>
      <c r="B50" s="293"/>
      <c r="C50" s="294" t="s">
        <v>374</v>
      </c>
      <c r="D50" s="294" t="s">
        <v>375</v>
      </c>
      <c r="E50" s="396" t="str">
        <f>CONCATENATE("Total Spent and Disbursement (in ",D26,")")</f>
        <v>Total Spent and Disbursement (in $)</v>
      </c>
      <c r="F50" s="3"/>
      <c r="G50" s="297"/>
      <c r="H50" s="290"/>
      <c r="I50" s="277"/>
      <c r="J50" s="277"/>
      <c r="K50" s="277"/>
      <c r="L50" s="277"/>
      <c r="M50" s="22"/>
      <c r="N50" s="22"/>
      <c r="O50" s="206"/>
      <c r="P50" s="207"/>
      <c r="Q50" s="208">
        <f>+M33</f>
        <v>8668327.6254981533</v>
      </c>
      <c r="R50" s="206"/>
      <c r="AH50" s="20"/>
    </row>
    <row r="51" spans="1:35">
      <c r="A51" s="3"/>
      <c r="B51" s="291" t="s">
        <v>310</v>
      </c>
      <c r="C51" s="376">
        <f>C32+D32</f>
        <v>1677808.6600000001</v>
      </c>
      <c r="D51" s="377">
        <f>E32</f>
        <v>673893.21</v>
      </c>
      <c r="E51" s="378">
        <f>+D51+C51</f>
        <v>2351701.87</v>
      </c>
      <c r="F51" s="3"/>
      <c r="G51" s="546"/>
      <c r="H51" s="295"/>
      <c r="I51" s="95"/>
      <c r="J51" s="203"/>
      <c r="K51" s="204"/>
      <c r="L51" s="97"/>
      <c r="M51" s="537"/>
      <c r="N51" s="537"/>
      <c r="O51" s="539"/>
      <c r="P51" s="540"/>
      <c r="Q51" s="206"/>
      <c r="R51" s="206"/>
      <c r="AH51" s="20"/>
    </row>
    <row r="52" spans="1:35">
      <c r="A52" s="3"/>
      <c r="B52" s="291" t="s">
        <v>289</v>
      </c>
      <c r="C52" s="377">
        <v>1576456.0887446301</v>
      </c>
      <c r="D52" s="377">
        <v>570869.52796904556</v>
      </c>
      <c r="E52" s="378">
        <f>+D52+C52</f>
        <v>2147325.6167136757</v>
      </c>
      <c r="F52" s="3"/>
      <c r="G52" s="253"/>
      <c r="H52" s="295"/>
      <c r="I52" s="95">
        <v>516678.75918893993</v>
      </c>
      <c r="J52" s="203"/>
      <c r="K52" s="203"/>
      <c r="L52" s="97"/>
      <c r="M52" s="538"/>
      <c r="N52" s="538"/>
      <c r="O52" s="539"/>
      <c r="P52" s="540"/>
      <c r="Q52" s="206"/>
      <c r="R52" s="206"/>
      <c r="AH52" s="20"/>
    </row>
    <row r="53" spans="1:35">
      <c r="A53" s="3"/>
      <c r="B53" s="291" t="s">
        <v>445</v>
      </c>
      <c r="C53" s="376">
        <v>242438.62497264211</v>
      </c>
      <c r="D53" s="377">
        <v>52417.178048492278</v>
      </c>
      <c r="E53" s="378">
        <f>+D53+C53</f>
        <v>294855.8030211344</v>
      </c>
      <c r="F53" s="200"/>
      <c r="G53" s="96"/>
      <c r="H53" s="295"/>
      <c r="I53" s="95">
        <v>72747.180116630116</v>
      </c>
      <c r="J53" s="203"/>
      <c r="K53" s="204"/>
      <c r="L53" s="97"/>
      <c r="M53" s="37"/>
      <c r="N53" s="37"/>
      <c r="O53" s="228"/>
      <c r="AH53" s="20"/>
    </row>
    <row r="54" spans="1:35" ht="16" thickBot="1">
      <c r="A54" s="3"/>
      <c r="B54" s="292" t="s">
        <v>269</v>
      </c>
      <c r="C54" s="376">
        <v>260286.92098622952</v>
      </c>
      <c r="D54" s="377">
        <v>53224.54</v>
      </c>
      <c r="E54" s="379">
        <f>+D54+C54</f>
        <v>313511.46098622953</v>
      </c>
      <c r="F54" s="3"/>
      <c r="G54" s="254"/>
      <c r="H54" s="296"/>
      <c r="I54" s="98"/>
      <c r="J54" s="98"/>
      <c r="K54" s="98"/>
      <c r="L54" s="97"/>
      <c r="M54" s="38"/>
      <c r="N54" s="38"/>
      <c r="O54" s="228"/>
      <c r="AH54" s="20"/>
    </row>
    <row r="55" spans="1:35" ht="15.75" customHeight="1">
      <c r="A55" s="3"/>
      <c r="B55" s="3"/>
      <c r="C55" s="3"/>
      <c r="D55" s="3"/>
      <c r="E55" s="3"/>
      <c r="F55" s="3"/>
      <c r="G55" s="3"/>
      <c r="H55" s="3"/>
      <c r="I55" s="3"/>
      <c r="J55" s="3"/>
      <c r="K55" s="3"/>
      <c r="L55" s="3"/>
      <c r="M55" s="3"/>
      <c r="AI55" s="20"/>
    </row>
    <row r="56" spans="1:35">
      <c r="A56" s="3"/>
      <c r="B56" s="3"/>
      <c r="C56" s="3"/>
      <c r="D56" s="275"/>
      <c r="E56" s="3"/>
      <c r="F56" s="3"/>
      <c r="G56" s="3"/>
      <c r="H56" s="3"/>
      <c r="I56" s="3"/>
      <c r="J56" s="3"/>
      <c r="K56" s="3"/>
      <c r="L56" s="3"/>
      <c r="M56" s="3"/>
    </row>
    <row r="57" spans="1:35" ht="19">
      <c r="A57" s="3"/>
      <c r="B57" s="89" t="s">
        <v>379</v>
      </c>
      <c r="C57" s="3"/>
      <c r="D57" s="3"/>
      <c r="E57" s="200"/>
      <c r="F57" s="3"/>
      <c r="G57" s="3"/>
      <c r="H57" s="3"/>
      <c r="I57" s="3"/>
      <c r="J57" s="3"/>
      <c r="K57" s="3"/>
      <c r="L57" s="3"/>
      <c r="M57" s="3"/>
    </row>
    <row r="58" spans="1:35" ht="16" thickBot="1">
      <c r="A58" s="3"/>
      <c r="B58" s="3"/>
      <c r="C58" s="3"/>
      <c r="D58" s="3"/>
      <c r="E58" s="3"/>
      <c r="F58" s="3"/>
      <c r="G58" s="3"/>
      <c r="H58" s="3"/>
      <c r="I58" s="3"/>
      <c r="J58" s="3"/>
      <c r="K58" s="3"/>
      <c r="L58" s="3"/>
      <c r="M58" s="3"/>
    </row>
    <row r="59" spans="1:35">
      <c r="A59" s="3"/>
      <c r="B59" s="667" t="s">
        <v>345</v>
      </c>
      <c r="C59" s="668"/>
      <c r="D59" s="669"/>
      <c r="E59" s="3"/>
      <c r="F59" s="3"/>
      <c r="G59" s="3"/>
      <c r="H59" s="3"/>
      <c r="I59" s="3"/>
      <c r="J59" s="3"/>
      <c r="K59" s="3"/>
      <c r="L59" s="3"/>
      <c r="M59" s="36"/>
      <c r="O59"/>
    </row>
    <row r="60" spans="1:35">
      <c r="A60" s="3"/>
      <c r="B60" s="102"/>
      <c r="C60" s="299" t="s">
        <v>60</v>
      </c>
      <c r="D60" s="300" t="s">
        <v>61</v>
      </c>
      <c r="E60" s="3"/>
      <c r="F60" s="3"/>
      <c r="G60" s="3"/>
      <c r="H60" s="3"/>
      <c r="I60" s="3"/>
      <c r="J60" s="3"/>
      <c r="K60" s="3"/>
      <c r="L60" s="3"/>
      <c r="M60" s="36"/>
      <c r="O60"/>
    </row>
    <row r="61" spans="1:35">
      <c r="A61" s="3"/>
      <c r="B61" s="103" t="s">
        <v>1</v>
      </c>
      <c r="C61" s="357">
        <v>60</v>
      </c>
      <c r="D61" s="357" t="s">
        <v>433</v>
      </c>
      <c r="E61" s="3"/>
      <c r="F61" s="3"/>
      <c r="G61" s="3"/>
      <c r="H61" s="3"/>
      <c r="I61" s="3"/>
      <c r="J61" s="3"/>
      <c r="K61" s="3"/>
      <c r="L61" s="3"/>
      <c r="M61" s="36"/>
      <c r="O61"/>
    </row>
    <row r="62" spans="1:35">
      <c r="A62" s="3"/>
      <c r="B62" s="298" t="s">
        <v>362</v>
      </c>
      <c r="C62" s="357">
        <v>45</v>
      </c>
      <c r="D62" s="358" t="s">
        <v>433</v>
      </c>
      <c r="E62" s="3"/>
      <c r="F62" s="3"/>
      <c r="G62" s="3"/>
      <c r="H62" s="295"/>
      <c r="I62" s="295"/>
      <c r="J62" s="3"/>
      <c r="K62" s="3"/>
      <c r="L62" s="3"/>
      <c r="M62" s="36"/>
      <c r="O62"/>
    </row>
    <row r="63" spans="1:35" ht="16" thickBot="1">
      <c r="A63" s="3"/>
      <c r="B63" s="104" t="s">
        <v>363</v>
      </c>
      <c r="C63" s="359">
        <v>5</v>
      </c>
      <c r="D63" s="360">
        <v>5</v>
      </c>
      <c r="E63" s="3"/>
      <c r="F63" s="3"/>
      <c r="G63" s="3"/>
      <c r="H63" s="295"/>
      <c r="I63" s="295"/>
      <c r="J63" s="3"/>
      <c r="K63" s="3"/>
      <c r="L63" s="3"/>
      <c r="M63" s="36"/>
      <c r="O63"/>
    </row>
    <row r="64" spans="1:35">
      <c r="A64" s="3"/>
      <c r="B64" s="3"/>
      <c r="C64" s="3"/>
      <c r="D64" s="3"/>
      <c r="E64" s="3"/>
      <c r="F64" s="3"/>
      <c r="G64" s="3"/>
      <c r="H64" s="3"/>
      <c r="I64" s="3"/>
      <c r="J64" s="3"/>
      <c r="K64" s="3"/>
      <c r="L64" s="3"/>
      <c r="M64" s="3"/>
    </row>
    <row r="65" spans="1:30" ht="16" thickBot="1">
      <c r="A65" s="3"/>
      <c r="B65" s="3"/>
      <c r="C65" s="3"/>
      <c r="D65" s="3"/>
      <c r="E65" s="3"/>
      <c r="F65" s="3"/>
      <c r="G65" s="3"/>
      <c r="H65" s="3"/>
      <c r="I65" s="3"/>
      <c r="J65" s="3"/>
      <c r="K65" s="3"/>
      <c r="L65" s="392"/>
      <c r="M65" s="3"/>
      <c r="AC65" s="19"/>
      <c r="AD65" s="19"/>
    </row>
    <row r="66" spans="1:30" ht="20" thickBot="1">
      <c r="A66" s="3"/>
      <c r="B66" s="105" t="s">
        <v>263</v>
      </c>
      <c r="C66" s="106"/>
      <c r="D66" s="106"/>
      <c r="E66" s="106"/>
      <c r="F66" s="106"/>
      <c r="G66" s="106"/>
      <c r="H66" s="322" t="s">
        <v>303</v>
      </c>
      <c r="I66" s="106"/>
      <c r="J66" s="107"/>
      <c r="K66" s="107"/>
      <c r="L66" s="393"/>
      <c r="M66" s="394"/>
      <c r="N66" s="83"/>
      <c r="O66" s="83"/>
      <c r="P66" s="83"/>
      <c r="S66" s="43"/>
      <c r="AC66" s="19"/>
      <c r="AD66" s="19"/>
    </row>
    <row r="67" spans="1:30" ht="19">
      <c r="A67" s="3"/>
      <c r="B67" s="109"/>
      <c r="C67" s="108"/>
      <c r="D67" s="108"/>
      <c r="E67" s="108"/>
      <c r="F67" s="108"/>
      <c r="G67" s="108"/>
      <c r="H67" s="108"/>
      <c r="I67" s="108"/>
      <c r="J67" s="108"/>
      <c r="K67" s="110"/>
      <c r="L67" s="110"/>
      <c r="M67" s="108"/>
      <c r="N67" s="83"/>
      <c r="O67" s="83"/>
      <c r="P67" s="83"/>
      <c r="S67" s="43"/>
      <c r="AC67" s="19"/>
      <c r="AD67" s="19"/>
    </row>
    <row r="68" spans="1:30" ht="19" hidden="1">
      <c r="A68" s="3"/>
      <c r="B68" s="109" t="s">
        <v>380</v>
      </c>
      <c r="C68" s="108"/>
      <c r="D68" s="108"/>
      <c r="E68" s="108"/>
      <c r="F68" s="108"/>
      <c r="G68" s="108"/>
      <c r="H68" s="108"/>
      <c r="I68" s="108"/>
      <c r="J68" s="108"/>
      <c r="K68" s="110"/>
      <c r="L68" s="110"/>
      <c r="M68" s="108"/>
      <c r="N68" s="83"/>
      <c r="O68" s="83"/>
      <c r="P68" s="83"/>
      <c r="S68" s="43"/>
      <c r="AC68" s="19"/>
      <c r="AD68" s="19"/>
    </row>
    <row r="69" spans="1:30" ht="16" hidden="1" thickBot="1">
      <c r="A69" s="3"/>
      <c r="B69" s="2"/>
      <c r="C69" s="111"/>
      <c r="D69" s="111"/>
      <c r="E69" s="111"/>
      <c r="F69" s="111"/>
      <c r="G69" s="111"/>
      <c r="H69" s="2"/>
      <c r="I69" s="111"/>
      <c r="J69" s="2"/>
      <c r="K69" s="2"/>
      <c r="L69" s="2"/>
      <c r="M69" s="2"/>
      <c r="N69" s="20"/>
      <c r="O69" s="19"/>
      <c r="P69" s="19"/>
      <c r="Q69" s="19"/>
      <c r="R69" s="19"/>
      <c r="S69" s="19"/>
      <c r="AD69" s="19"/>
    </row>
    <row r="70" spans="1:30" ht="32" hidden="1">
      <c r="A70" s="3"/>
      <c r="B70" s="734"/>
      <c r="C70" s="735"/>
      <c r="D70" s="113" t="s">
        <v>117</v>
      </c>
      <c r="E70" s="114" t="s">
        <v>295</v>
      </c>
      <c r="F70" s="114" t="s">
        <v>118</v>
      </c>
      <c r="G70" s="115" t="s">
        <v>58</v>
      </c>
      <c r="H70" s="308"/>
      <c r="I70" s="309"/>
      <c r="J70" s="15"/>
      <c r="K70" s="2"/>
      <c r="L70" s="2"/>
      <c r="M70" s="2"/>
      <c r="N70" s="20"/>
      <c r="O70" s="19"/>
      <c r="P70" s="19"/>
      <c r="Q70" s="19"/>
      <c r="R70" s="19"/>
      <c r="S70" s="19"/>
    </row>
    <row r="71" spans="1:30" hidden="1">
      <c r="A71" s="3"/>
      <c r="B71" s="681" t="s">
        <v>436</v>
      </c>
      <c r="C71" s="682"/>
      <c r="D71" s="256"/>
      <c r="E71" s="256"/>
      <c r="F71" s="256"/>
      <c r="G71" s="116">
        <f>SUM(D71:F71)</f>
        <v>0</v>
      </c>
      <c r="H71" s="289"/>
      <c r="I71" s="307"/>
      <c r="J71" s="307"/>
      <c r="K71" s="2"/>
      <c r="L71" s="2"/>
      <c r="M71" s="2"/>
      <c r="N71" s="20"/>
      <c r="O71" s="19"/>
      <c r="P71" s="19"/>
      <c r="Q71" s="19"/>
      <c r="R71" s="19"/>
      <c r="S71" s="19"/>
    </row>
    <row r="72" spans="1:30" ht="16" hidden="1" thickBot="1">
      <c r="A72" s="3"/>
      <c r="B72" s="748"/>
      <c r="C72" s="749"/>
      <c r="D72" s="257"/>
      <c r="E72" s="257"/>
      <c r="F72" s="257"/>
      <c r="G72" s="117"/>
      <c r="H72" s="289"/>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9">
      <c r="A75" s="3"/>
      <c r="B75" s="109" t="s">
        <v>381</v>
      </c>
      <c r="C75" s="2"/>
      <c r="D75" s="2"/>
      <c r="E75" s="2"/>
      <c r="F75" s="2"/>
      <c r="G75" s="2"/>
      <c r="H75" s="2"/>
      <c r="I75" s="2"/>
      <c r="J75" s="2"/>
      <c r="K75" s="2"/>
      <c r="L75" s="2"/>
      <c r="M75" s="2"/>
      <c r="N75" s="19"/>
      <c r="O75" s="19"/>
      <c r="P75" s="19"/>
      <c r="S75" s="19"/>
    </row>
    <row r="76" spans="1:30" ht="16" thickBot="1">
      <c r="A76" s="3"/>
      <c r="B76" s="2"/>
      <c r="C76" s="2"/>
      <c r="D76" s="2"/>
      <c r="E76" s="2"/>
      <c r="F76" s="2"/>
      <c r="G76" s="2"/>
      <c r="H76" s="2"/>
      <c r="I76" s="2"/>
      <c r="J76" s="2"/>
      <c r="K76" s="2"/>
      <c r="L76" s="2"/>
      <c r="M76" s="2"/>
      <c r="N76" s="19"/>
      <c r="O76" s="19"/>
      <c r="P76" s="19"/>
      <c r="S76" s="19"/>
    </row>
    <row r="77" spans="1:30">
      <c r="A77" s="3"/>
      <c r="B77" s="118"/>
      <c r="C77" s="112" t="s">
        <v>63</v>
      </c>
      <c r="D77" s="112" t="s">
        <v>81</v>
      </c>
      <c r="E77" s="119" t="s">
        <v>64</v>
      </c>
      <c r="F77" s="15"/>
      <c r="G77" s="15"/>
      <c r="H77" s="15"/>
      <c r="I77" s="309"/>
      <c r="J77" s="2"/>
      <c r="K77" s="2"/>
      <c r="L77" s="2"/>
      <c r="M77" s="2"/>
      <c r="N77" s="19"/>
      <c r="O77" s="19"/>
      <c r="P77" s="19"/>
      <c r="S77" s="19"/>
    </row>
    <row r="78" spans="1:30" ht="16" thickBot="1">
      <c r="A78" s="3"/>
      <c r="B78" s="463" t="s">
        <v>311</v>
      </c>
      <c r="C78" s="350">
        <v>17</v>
      </c>
      <c r="D78" s="350">
        <v>17</v>
      </c>
      <c r="E78" s="351">
        <f>+C78-D78</f>
        <v>0</v>
      </c>
      <c r="F78" s="264"/>
      <c r="G78" s="272"/>
      <c r="H78" s="15"/>
      <c r="I78" s="307"/>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9">
      <c r="A80" s="3"/>
      <c r="B80" s="109" t="s">
        <v>386</v>
      </c>
      <c r="C80" s="2"/>
      <c r="D80" s="2"/>
      <c r="E80" s="2"/>
      <c r="F80" s="2"/>
      <c r="G80" s="2"/>
      <c r="H80" s="2"/>
      <c r="I80" s="2"/>
      <c r="J80" s="15"/>
      <c r="K80" s="15"/>
      <c r="L80" s="2"/>
      <c r="M80" s="2"/>
      <c r="N80" s="19"/>
      <c r="O80" s="19"/>
      <c r="P80" s="19"/>
      <c r="S80" s="19"/>
    </row>
    <row r="81" spans="1:36" ht="16" thickBot="1">
      <c r="A81" s="3"/>
      <c r="B81" s="2"/>
      <c r="C81" s="2"/>
      <c r="D81" s="2"/>
      <c r="E81" s="2"/>
      <c r="F81" s="2"/>
      <c r="G81" s="2"/>
      <c r="H81" s="497"/>
      <c r="I81" s="497"/>
      <c r="J81" s="498"/>
      <c r="K81" s="498"/>
      <c r="L81" s="497"/>
      <c r="M81" s="497"/>
      <c r="N81" s="499"/>
      <c r="O81" s="19"/>
      <c r="P81" s="19"/>
      <c r="S81" s="19"/>
    </row>
    <row r="82" spans="1:36" ht="16">
      <c r="A82" s="3"/>
      <c r="B82" s="118"/>
      <c r="C82" s="112" t="s">
        <v>290</v>
      </c>
      <c r="D82" s="112" t="s">
        <v>67</v>
      </c>
      <c r="E82" s="112" t="s">
        <v>82</v>
      </c>
      <c r="F82" s="112" t="s">
        <v>68</v>
      </c>
      <c r="G82" s="148" t="s">
        <v>119</v>
      </c>
      <c r="H82" s="500"/>
      <c r="I82" s="501"/>
      <c r="J82" s="502"/>
      <c r="K82" s="502"/>
      <c r="L82" s="503"/>
      <c r="M82" s="503"/>
      <c r="N82" s="504"/>
      <c r="O82" s="19"/>
      <c r="P82" s="19"/>
      <c r="S82" s="19"/>
    </row>
    <row r="83" spans="1:36" ht="16" thickBot="1">
      <c r="A83" s="3"/>
      <c r="B83" s="463" t="s">
        <v>127</v>
      </c>
      <c r="C83" s="350">
        <v>6</v>
      </c>
      <c r="D83" s="350">
        <v>6</v>
      </c>
      <c r="E83" s="350">
        <v>6</v>
      </c>
      <c r="F83" s="350">
        <v>6</v>
      </c>
      <c r="G83" s="352">
        <v>6</v>
      </c>
      <c r="H83" s="505"/>
      <c r="I83" s="506"/>
      <c r="J83" s="502"/>
      <c r="K83" s="503"/>
      <c r="L83" s="503"/>
      <c r="M83" s="502"/>
      <c r="N83" s="502"/>
      <c r="O83" s="19"/>
      <c r="P83" s="19"/>
      <c r="S83" s="19"/>
    </row>
    <row r="84" spans="1:36">
      <c r="A84" s="3"/>
      <c r="B84" s="2"/>
      <c r="C84" s="2"/>
      <c r="D84" s="2"/>
      <c r="E84" s="2"/>
      <c r="F84" s="2"/>
      <c r="G84" s="2"/>
      <c r="H84" s="2"/>
      <c r="I84" s="15"/>
      <c r="J84" s="15"/>
      <c r="K84" s="2"/>
      <c r="L84" s="2"/>
      <c r="M84" s="2"/>
      <c r="N84" s="19"/>
      <c r="O84" s="19"/>
      <c r="P84" s="19"/>
      <c r="S84" s="19"/>
    </row>
    <row r="85" spans="1:36" ht="19">
      <c r="A85" s="3"/>
      <c r="B85" s="109" t="s">
        <v>382</v>
      </c>
      <c r="C85" s="2"/>
      <c r="D85" s="2"/>
      <c r="E85" s="2"/>
      <c r="F85" s="2"/>
      <c r="G85" s="2"/>
      <c r="H85" s="2"/>
      <c r="I85" s="15"/>
      <c r="J85" s="2"/>
      <c r="K85" s="2"/>
      <c r="L85" s="2"/>
      <c r="M85" s="2"/>
      <c r="N85" s="19"/>
      <c r="O85" s="19"/>
      <c r="P85" s="19"/>
      <c r="S85" s="19"/>
    </row>
    <row r="86" spans="1:36" ht="16" thickBot="1">
      <c r="A86" s="3"/>
      <c r="B86" s="2"/>
      <c r="C86" s="2"/>
      <c r="D86" s="2"/>
      <c r="E86" s="2"/>
      <c r="F86" s="2"/>
      <c r="G86" s="2"/>
      <c r="H86" s="2"/>
      <c r="I86" s="2"/>
      <c r="J86" s="2"/>
      <c r="K86" s="2"/>
      <c r="L86" s="2"/>
      <c r="M86" s="2"/>
      <c r="N86" s="19"/>
      <c r="O86" s="19"/>
      <c r="P86" s="19"/>
      <c r="S86" s="19"/>
    </row>
    <row r="87" spans="1:36">
      <c r="A87" s="3"/>
      <c r="B87" s="118"/>
      <c r="C87" s="120" t="s">
        <v>65</v>
      </c>
      <c r="D87" s="120" t="s">
        <v>66</v>
      </c>
      <c r="E87" s="121" t="s">
        <v>287</v>
      </c>
      <c r="F87" s="2"/>
      <c r="G87" s="2"/>
      <c r="H87" s="2"/>
      <c r="I87" s="2"/>
      <c r="J87" s="19"/>
      <c r="K87" s="19"/>
      <c r="L87" s="19"/>
      <c r="N87"/>
      <c r="O87" s="19"/>
      <c r="AG87" s="36"/>
      <c r="AJ87"/>
    </row>
    <row r="88" spans="1:36">
      <c r="A88" s="3"/>
      <c r="B88" s="464" t="s">
        <v>387</v>
      </c>
      <c r="C88" s="256">
        <v>165</v>
      </c>
      <c r="D88" s="258">
        <v>165</v>
      </c>
      <c r="E88" s="310">
        <f>C88-D88</f>
        <v>0</v>
      </c>
      <c r="F88" s="2"/>
      <c r="G88" s="2"/>
      <c r="H88" s="2"/>
      <c r="I88" s="2"/>
      <c r="J88" s="19"/>
      <c r="K88" s="19"/>
      <c r="L88" s="19"/>
      <c r="N88"/>
      <c r="O88" s="19"/>
      <c r="AG88" s="36"/>
      <c r="AJ88"/>
    </row>
    <row r="89" spans="1:36" ht="16" thickBot="1">
      <c r="A89" s="3"/>
      <c r="B89" s="465" t="s">
        <v>388</v>
      </c>
      <c r="C89" s="473">
        <v>21</v>
      </c>
      <c r="D89" s="474">
        <v>21</v>
      </c>
      <c r="E89" s="475">
        <f>C89-D89</f>
        <v>0</v>
      </c>
      <c r="F89" s="2"/>
      <c r="G89" s="2"/>
      <c r="H89" s="2"/>
      <c r="I89" s="2"/>
      <c r="J89" s="19"/>
      <c r="K89" s="19"/>
      <c r="L89" s="19"/>
      <c r="N89"/>
      <c r="O89" s="19"/>
      <c r="AG89" s="36"/>
      <c r="AJ89"/>
    </row>
    <row r="90" spans="1:36">
      <c r="A90" s="3"/>
      <c r="B90" s="2"/>
      <c r="C90" s="2"/>
      <c r="D90" s="2"/>
      <c r="E90" s="2"/>
      <c r="F90" s="2"/>
      <c r="G90" s="2"/>
      <c r="H90" s="2"/>
      <c r="I90" s="2"/>
      <c r="J90" s="2"/>
      <c r="K90" s="2"/>
      <c r="L90" s="2"/>
      <c r="M90" s="2"/>
      <c r="N90" s="19"/>
      <c r="O90" s="19"/>
      <c r="P90" s="19"/>
      <c r="S90" s="19"/>
    </row>
    <row r="91" spans="1:36" ht="19">
      <c r="A91" s="3"/>
      <c r="B91" s="109" t="s">
        <v>389</v>
      </c>
      <c r="C91" s="2"/>
      <c r="D91" s="2"/>
      <c r="E91" s="2"/>
      <c r="F91" s="2"/>
      <c r="G91" s="2"/>
      <c r="H91" s="2"/>
      <c r="I91" s="2"/>
      <c r="J91" s="2"/>
      <c r="K91" s="2"/>
      <c r="L91" s="2"/>
      <c r="M91" s="2"/>
      <c r="N91" s="19"/>
      <c r="O91" s="19"/>
      <c r="P91" s="19"/>
      <c r="S91" s="19"/>
    </row>
    <row r="92" spans="1:36" ht="16" thickBot="1">
      <c r="A92" s="3"/>
      <c r="B92" s="2"/>
      <c r="C92" s="2"/>
      <c r="D92" s="2"/>
      <c r="E92" s="2"/>
      <c r="F92" s="2"/>
      <c r="G92" s="2"/>
      <c r="H92" s="2"/>
      <c r="I92" s="15"/>
      <c r="J92" s="15"/>
      <c r="K92" s="15"/>
      <c r="L92" s="15"/>
      <c r="M92" s="15"/>
      <c r="N92" s="20"/>
      <c r="O92" s="20"/>
      <c r="P92" s="20"/>
      <c r="S92" s="19"/>
    </row>
    <row r="93" spans="1:36">
      <c r="A93" s="3"/>
      <c r="B93" s="216"/>
      <c r="C93" s="364" t="s">
        <v>105</v>
      </c>
      <c r="D93" s="364" t="s">
        <v>106</v>
      </c>
      <c r="E93" s="364" t="s">
        <v>107</v>
      </c>
      <c r="F93" s="364" t="s">
        <v>108</v>
      </c>
      <c r="G93" s="364" t="s">
        <v>120</v>
      </c>
      <c r="H93" s="364" t="s">
        <v>121</v>
      </c>
      <c r="I93" s="364" t="s">
        <v>122</v>
      </c>
      <c r="J93" s="364" t="s">
        <v>123</v>
      </c>
      <c r="K93" s="364" t="s">
        <v>124</v>
      </c>
      <c r="L93" s="364" t="s">
        <v>125</v>
      </c>
      <c r="M93" s="364" t="s">
        <v>126</v>
      </c>
      <c r="N93" s="365" t="s">
        <v>286</v>
      </c>
      <c r="O93" s="20"/>
      <c r="P93" s="20"/>
      <c r="S93" s="19"/>
    </row>
    <row r="94" spans="1:36" ht="15" customHeight="1">
      <c r="A94" s="3"/>
      <c r="B94" s="366" t="s">
        <v>366</v>
      </c>
      <c r="C94" s="353">
        <v>2103.213242453749</v>
      </c>
      <c r="D94" s="353">
        <v>192318.92243069134</v>
      </c>
      <c r="E94" s="353">
        <v>934.76144109055519</v>
      </c>
      <c r="F94" s="353">
        <v>233731.88520054528</v>
      </c>
      <c r="G94" s="353">
        <v>352347.92621665046</v>
      </c>
      <c r="H94" s="353">
        <v>467.3807205452776</v>
      </c>
      <c r="I94" s="353">
        <v>56884.099499999997</v>
      </c>
      <c r="J94" s="353">
        <v>596874.53764362214</v>
      </c>
      <c r="K94" s="353">
        <v>0</v>
      </c>
      <c r="L94" s="353">
        <v>944.8</v>
      </c>
      <c r="M94" s="353">
        <v>271139.69750000001</v>
      </c>
      <c r="N94" s="428">
        <v>169971.12</v>
      </c>
      <c r="O94" s="20"/>
      <c r="P94" s="20"/>
      <c r="S94" s="19"/>
    </row>
    <row r="95" spans="1:36" ht="15" customHeight="1">
      <c r="A95" s="3"/>
      <c r="B95" s="366" t="s">
        <v>364</v>
      </c>
      <c r="C95" s="353">
        <f>221242/2.9552</f>
        <v>74865.322144017322</v>
      </c>
      <c r="D95" s="353">
        <v>176515</v>
      </c>
      <c r="E95" s="353">
        <f>323175.18/3.2845</f>
        <v>98394.026488049931</v>
      </c>
      <c r="F95" s="353">
        <f>890361.532/3.0552+21000+53434.4</f>
        <v>365859.35810421576</v>
      </c>
      <c r="G95" s="353"/>
      <c r="H95" s="353"/>
      <c r="I95" s="353"/>
      <c r="J95" s="353"/>
      <c r="K95" s="353"/>
      <c r="L95" s="353"/>
      <c r="M95" s="353"/>
      <c r="N95" s="428"/>
      <c r="O95" s="20"/>
      <c r="P95" s="20"/>
      <c r="S95" s="19"/>
    </row>
    <row r="96" spans="1:36" ht="15" customHeight="1">
      <c r="A96" s="3"/>
      <c r="B96" s="366" t="s">
        <v>312</v>
      </c>
      <c r="C96" s="353">
        <v>11777</v>
      </c>
      <c r="D96" s="353">
        <v>138236.94007897607</v>
      </c>
      <c r="E96" s="536">
        <v>38007.949999999997</v>
      </c>
      <c r="F96" s="353">
        <v>137737</v>
      </c>
      <c r="G96" s="353"/>
      <c r="H96" s="353"/>
      <c r="I96" s="353"/>
      <c r="J96" s="353"/>
      <c r="K96" s="353"/>
      <c r="L96" s="353"/>
      <c r="M96" s="353"/>
      <c r="N96" s="428"/>
      <c r="O96" s="20"/>
      <c r="P96" s="20"/>
      <c r="S96" s="19"/>
    </row>
    <row r="97" spans="1:19" ht="15" customHeight="1">
      <c r="A97" s="3"/>
      <c r="B97" s="312" t="s">
        <v>408</v>
      </c>
      <c r="C97" s="354">
        <f>+C94</f>
        <v>2103.213242453749</v>
      </c>
      <c r="D97" s="354">
        <f>+C97+D94</f>
        <v>194422.13567314509</v>
      </c>
      <c r="E97" s="354">
        <f t="shared" ref="E97:N97" si="3">+D97+E94</f>
        <v>195356.89711423565</v>
      </c>
      <c r="F97" s="354">
        <f t="shared" si="3"/>
        <v>429088.78231478092</v>
      </c>
      <c r="G97" s="354">
        <f t="shared" si="3"/>
        <v>781436.70853143139</v>
      </c>
      <c r="H97" s="354">
        <f t="shared" si="3"/>
        <v>781904.08925197669</v>
      </c>
      <c r="I97" s="354">
        <f t="shared" si="3"/>
        <v>838788.1887519767</v>
      </c>
      <c r="J97" s="354">
        <f t="shared" si="3"/>
        <v>1435662.7263955988</v>
      </c>
      <c r="K97" s="354">
        <f t="shared" si="3"/>
        <v>1435662.7263955988</v>
      </c>
      <c r="L97" s="354">
        <f t="shared" si="3"/>
        <v>1436607.5263955989</v>
      </c>
      <c r="M97" s="354">
        <f t="shared" si="3"/>
        <v>1707747.2238955989</v>
      </c>
      <c r="N97" s="354">
        <f t="shared" si="3"/>
        <v>1877718.3438955988</v>
      </c>
      <c r="O97" s="20"/>
      <c r="P97" s="20"/>
      <c r="S97" s="19"/>
    </row>
    <row r="98" spans="1:19" ht="15" customHeight="1">
      <c r="A98" s="3"/>
      <c r="B98" s="312" t="s">
        <v>5</v>
      </c>
      <c r="C98" s="354">
        <f>+C95</f>
        <v>74865.322144017322</v>
      </c>
      <c r="D98" s="354">
        <f>+C98+D95</f>
        <v>251380.32214401732</v>
      </c>
      <c r="E98" s="354">
        <f t="shared" ref="E98:N98" si="4">+D98+E95</f>
        <v>349774.34863206727</v>
      </c>
      <c r="F98" s="354">
        <f t="shared" si="4"/>
        <v>715633.70673628303</v>
      </c>
      <c r="G98" s="354">
        <f t="shared" si="4"/>
        <v>715633.70673628303</v>
      </c>
      <c r="H98" s="354">
        <f t="shared" si="4"/>
        <v>715633.70673628303</v>
      </c>
      <c r="I98" s="354">
        <f t="shared" si="4"/>
        <v>715633.70673628303</v>
      </c>
      <c r="J98" s="354">
        <f t="shared" si="4"/>
        <v>715633.70673628303</v>
      </c>
      <c r="K98" s="354">
        <f t="shared" si="4"/>
        <v>715633.70673628303</v>
      </c>
      <c r="L98" s="354">
        <f t="shared" si="4"/>
        <v>715633.70673628303</v>
      </c>
      <c r="M98" s="354">
        <f t="shared" si="4"/>
        <v>715633.70673628303</v>
      </c>
      <c r="N98" s="354">
        <f t="shared" si="4"/>
        <v>715633.70673628303</v>
      </c>
      <c r="O98" s="20"/>
      <c r="P98" s="20"/>
      <c r="S98" s="19"/>
    </row>
    <row r="99" spans="1:19" ht="17" thickBot="1">
      <c r="A99" s="3"/>
      <c r="B99" s="425" t="s">
        <v>6</v>
      </c>
      <c r="C99" s="426">
        <f>+C96</f>
        <v>11777</v>
      </c>
      <c r="D99" s="427">
        <f>+C99+D96</f>
        <v>150013.94007897607</v>
      </c>
      <c r="E99" s="427">
        <f>+D99+E96</f>
        <v>188021.89007897605</v>
      </c>
      <c r="F99" s="427">
        <f t="shared" ref="F99:N99" si="5">+E99+F96</f>
        <v>325758.89007897605</v>
      </c>
      <c r="G99" s="427">
        <f t="shared" si="5"/>
        <v>325758.89007897605</v>
      </c>
      <c r="H99" s="427">
        <f t="shared" si="5"/>
        <v>325758.89007897605</v>
      </c>
      <c r="I99" s="427">
        <f t="shared" si="5"/>
        <v>325758.89007897605</v>
      </c>
      <c r="J99" s="427">
        <f t="shared" si="5"/>
        <v>325758.89007897605</v>
      </c>
      <c r="K99" s="427">
        <f t="shared" si="5"/>
        <v>325758.89007897605</v>
      </c>
      <c r="L99" s="427">
        <f t="shared" si="5"/>
        <v>325758.89007897605</v>
      </c>
      <c r="M99" s="427">
        <f t="shared" si="5"/>
        <v>325758.89007897605</v>
      </c>
      <c r="N99" s="427">
        <f t="shared" si="5"/>
        <v>325758.89007897605</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402</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20"/>
      <c r="O102" s="20"/>
      <c r="P102" s="20"/>
      <c r="S102" s="19"/>
    </row>
    <row r="103" spans="1:19">
      <c r="A103" s="3"/>
      <c r="B103" s="3"/>
      <c r="C103" s="3"/>
      <c r="D103" s="3"/>
      <c r="E103" s="3"/>
      <c r="F103" s="3"/>
      <c r="G103" s="3"/>
      <c r="H103" s="3"/>
      <c r="I103" s="15"/>
      <c r="J103" s="15"/>
      <c r="K103" s="15"/>
      <c r="L103" s="15"/>
      <c r="M103" s="15"/>
      <c r="N103" s="20"/>
      <c r="O103" s="20"/>
      <c r="P103" s="20"/>
    </row>
    <row r="104" spans="1:19" ht="19">
      <c r="A104" s="3"/>
      <c r="B104" s="109" t="s">
        <v>383</v>
      </c>
      <c r="C104" s="3"/>
      <c r="D104" s="3"/>
      <c r="E104" s="3"/>
      <c r="F104" s="3"/>
      <c r="G104" s="3"/>
      <c r="H104" s="3"/>
      <c r="I104" s="15"/>
      <c r="J104" s="15"/>
      <c r="K104" s="15"/>
      <c r="L104" s="15"/>
      <c r="M104" s="15"/>
      <c r="N104" s="20"/>
      <c r="O104" s="20"/>
      <c r="P104" s="20"/>
    </row>
    <row r="105" spans="1:19" ht="16"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313" t="s">
        <v>32</v>
      </c>
      <c r="C106" s="314" t="s">
        <v>79</v>
      </c>
      <c r="D106" s="316" t="s">
        <v>416</v>
      </c>
      <c r="E106" s="316" t="s">
        <v>335</v>
      </c>
      <c r="F106" s="315" t="s">
        <v>336</v>
      </c>
      <c r="G106" s="315" t="s">
        <v>337</v>
      </c>
      <c r="H106" s="316" t="s">
        <v>338</v>
      </c>
      <c r="I106" s="316" t="s">
        <v>339</v>
      </c>
      <c r="J106" s="316" t="s">
        <v>340</v>
      </c>
      <c r="K106" s="317" t="s">
        <v>341</v>
      </c>
      <c r="L106" s="2"/>
      <c r="M106" s="20"/>
      <c r="N106" s="20"/>
      <c r="O106" s="20"/>
      <c r="P106" s="19"/>
      <c r="R106" s="20"/>
    </row>
    <row r="107" spans="1:19">
      <c r="A107" s="3"/>
      <c r="B107" s="738" t="s">
        <v>371</v>
      </c>
      <c r="C107" s="512" t="s">
        <v>414</v>
      </c>
      <c r="D107" s="512">
        <v>2</v>
      </c>
      <c r="E107" s="438">
        <f>IF(ISBLANK(D107),"",D107*30)</f>
        <v>60</v>
      </c>
      <c r="F107" s="513">
        <v>680</v>
      </c>
      <c r="G107" s="438">
        <f>IF(AND(E107&gt;0,F107&gt;0),(F107*E107),"")</f>
        <v>40800</v>
      </c>
      <c r="H107" s="514">
        <f>104460+163860</f>
        <v>268320</v>
      </c>
      <c r="I107" s="518">
        <f>IF(AND(G107&gt;0,H107&gt;0),H107/G107,"")</f>
        <v>6.5764705882352938</v>
      </c>
      <c r="J107" s="514">
        <v>6</v>
      </c>
      <c r="K107" s="439">
        <f>IF(AND(I107&gt;0,J107&gt;0),I107-J107,"")</f>
        <v>0.57647058823529385</v>
      </c>
      <c r="L107" s="486"/>
      <c r="M107" s="20"/>
      <c r="N107" s="20"/>
      <c r="O107" s="20"/>
      <c r="P107" s="19"/>
      <c r="R107" s="20"/>
    </row>
    <row r="108" spans="1:19">
      <c r="A108" s="3"/>
      <c r="B108" s="739"/>
      <c r="C108" s="512" t="s">
        <v>415</v>
      </c>
      <c r="D108" s="512">
        <v>0.38</v>
      </c>
      <c r="E108" s="438">
        <f>IF(ISBLANK(D108),"",D108*30)</f>
        <v>11.4</v>
      </c>
      <c r="F108" s="513">
        <v>8300</v>
      </c>
      <c r="G108" s="438">
        <f>IF(AND(E108&gt;0,F108&gt;0),(F108*E108),"")</f>
        <v>94620</v>
      </c>
      <c r="H108" s="514">
        <v>750073</v>
      </c>
      <c r="I108" s="518">
        <f>IF(AND(G108&gt;0,H108&gt;0),H108/G108,"")</f>
        <v>7.9272141196364405</v>
      </c>
      <c r="J108" s="514">
        <v>3</v>
      </c>
      <c r="K108" s="439">
        <f>IF(AND(I108&gt;0,J108&gt;0),I108-J108,"")</f>
        <v>4.9272141196364405</v>
      </c>
      <c r="L108" s="2"/>
      <c r="M108" s="20"/>
      <c r="N108" s="20"/>
      <c r="O108" s="20"/>
      <c r="P108" s="19"/>
    </row>
    <row r="109" spans="1:19">
      <c r="A109" s="3"/>
      <c r="B109" s="739"/>
      <c r="C109" s="512" t="s">
        <v>451</v>
      </c>
      <c r="D109" s="512">
        <v>0.94</v>
      </c>
      <c r="E109" s="438">
        <f>IF(ISBLANK(D109),"",D109*30)</f>
        <v>28.2</v>
      </c>
      <c r="F109" s="514">
        <f>1777+200</f>
        <v>1977</v>
      </c>
      <c r="G109" s="438">
        <f>IF(AND(E109&gt;0,F109&gt;0),(F109*E109),"")</f>
        <v>55751.4</v>
      </c>
      <c r="H109" s="514">
        <f>115608+43200</f>
        <v>158808</v>
      </c>
      <c r="I109" s="495">
        <f>IF(AND(G109&gt;0,H109&gt;0),H109/G109,"")</f>
        <v>2.8485024591310713</v>
      </c>
      <c r="J109" s="514">
        <v>3</v>
      </c>
      <c r="K109" s="439">
        <f>IF(AND(I109&gt;0,J109&gt;0),I109-J109,"")</f>
        <v>-0.15149754086892875</v>
      </c>
      <c r="L109" s="486"/>
      <c r="M109" s="20"/>
      <c r="N109" s="20"/>
      <c r="O109" s="20"/>
      <c r="P109" s="19"/>
      <c r="R109" s="20"/>
    </row>
    <row r="110" spans="1:19" ht="16" thickBot="1">
      <c r="A110" s="3"/>
      <c r="B110" s="740"/>
      <c r="C110" s="512" t="s">
        <v>452</v>
      </c>
      <c r="D110" s="515">
        <v>0.94</v>
      </c>
      <c r="E110" s="436">
        <f>IF(ISBLANK(D110),"",D110*30)</f>
        <v>28.2</v>
      </c>
      <c r="F110" s="519">
        <f>1777+200</f>
        <v>1977</v>
      </c>
      <c r="G110" s="436">
        <f>IF(AND(E110&gt;0,F110&gt;0),(F110*E110),"")</f>
        <v>55751.4</v>
      </c>
      <c r="H110" s="516">
        <f>161489+13928</f>
        <v>175417</v>
      </c>
      <c r="I110" s="496">
        <f>IF(AND(G110&gt;0,H110&gt;0),H110/G110,"")</f>
        <v>3.146414260449065</v>
      </c>
      <c r="J110" s="514">
        <v>3</v>
      </c>
      <c r="K110" s="437">
        <f>IF(AND(I110&gt;0,J110&gt;0),I110-J110,"")</f>
        <v>0.14641426044906503</v>
      </c>
      <c r="L110" s="2"/>
      <c r="M110" s="20"/>
      <c r="N110" s="20"/>
      <c r="O110" s="20"/>
      <c r="P110" s="19"/>
      <c r="R110" s="20"/>
    </row>
    <row r="111" spans="1:19">
      <c r="A111" s="3"/>
      <c r="B111" s="3"/>
      <c r="C111" s="3"/>
      <c r="D111" s="3"/>
      <c r="E111" s="434"/>
      <c r="F111" s="435"/>
      <c r="G111" s="433"/>
      <c r="H111" s="2"/>
      <c r="I111" s="2"/>
      <c r="J111" s="3"/>
      <c r="K111" s="3"/>
      <c r="L111" s="2"/>
      <c r="M111" s="2"/>
      <c r="N111" s="20"/>
      <c r="O111" s="20"/>
      <c r="P111" s="20"/>
      <c r="Q111" s="19"/>
      <c r="S111" s="20"/>
    </row>
    <row r="112" spans="1:19" ht="16" thickBot="1">
      <c r="A112" s="3"/>
      <c r="B112" s="3"/>
      <c r="C112" s="3"/>
      <c r="D112" s="3"/>
      <c r="E112" s="3"/>
      <c r="F112" s="3"/>
      <c r="G112" s="200"/>
      <c r="H112" s="3"/>
      <c r="I112" s="2"/>
      <c r="J112" s="108"/>
      <c r="K112" s="108"/>
      <c r="L112" s="3"/>
      <c r="M112" s="3"/>
    </row>
    <row r="113" spans="1:20" ht="20" thickBot="1">
      <c r="A113" s="3"/>
      <c r="B113" s="236" t="s">
        <v>390</v>
      </c>
      <c r="C113" s="125"/>
      <c r="D113" s="125"/>
      <c r="E113" s="126"/>
      <c r="F113" s="126"/>
      <c r="G113" s="126"/>
      <c r="H113" s="251"/>
      <c r="I113" s="237"/>
      <c r="J113" s="332"/>
      <c r="K113" s="333" t="s">
        <v>369</v>
      </c>
      <c r="L113" s="126"/>
      <c r="M113" s="334"/>
      <c r="N113" s="335"/>
      <c r="O113" s="335"/>
      <c r="P113" s="391"/>
      <c r="Q113" s="36"/>
    </row>
    <row r="114" spans="1:20" ht="16" thickBot="1">
      <c r="A114" s="3"/>
      <c r="B114" s="3"/>
      <c r="C114" s="3"/>
      <c r="D114" s="3"/>
      <c r="E114" s="3"/>
      <c r="F114" s="3"/>
      <c r="G114" s="3"/>
      <c r="H114" s="3"/>
      <c r="I114" s="3"/>
      <c r="J114" s="3" t="s">
        <v>448</v>
      </c>
      <c r="K114" s="3" t="s">
        <v>449</v>
      </c>
      <c r="L114" s="3" t="s">
        <v>450</v>
      </c>
      <c r="M114" s="3"/>
      <c r="N114" s="3"/>
      <c r="O114" s="3"/>
      <c r="P114" s="494"/>
      <c r="Q114" s="36"/>
    </row>
    <row r="115" spans="1:20" ht="21.75" customHeight="1">
      <c r="A115" s="3"/>
      <c r="B115" s="750" t="s">
        <v>396</v>
      </c>
      <c r="C115" s="751"/>
      <c r="D115" s="752"/>
      <c r="E115" s="321" t="s">
        <v>326</v>
      </c>
      <c r="F115" s="278" t="s">
        <v>343</v>
      </c>
      <c r="G115" s="241"/>
      <c r="H115" s="380" t="s">
        <v>105</v>
      </c>
      <c r="I115" s="380" t="s">
        <v>106</v>
      </c>
      <c r="J115" s="380" t="s">
        <v>107</v>
      </c>
      <c r="K115" s="380" t="s">
        <v>108</v>
      </c>
      <c r="L115" s="380" t="s">
        <v>120</v>
      </c>
      <c r="M115" s="380" t="s">
        <v>121</v>
      </c>
      <c r="N115" s="380" t="s">
        <v>122</v>
      </c>
      <c r="O115" s="380" t="s">
        <v>123</v>
      </c>
      <c r="P115" s="380" t="s">
        <v>124</v>
      </c>
      <c r="Q115" s="380" t="s">
        <v>125</v>
      </c>
      <c r="R115" s="380" t="s">
        <v>126</v>
      </c>
      <c r="S115" s="381" t="s">
        <v>286</v>
      </c>
      <c r="T115" s="63"/>
    </row>
    <row r="116" spans="1:20" ht="21.75" customHeight="1">
      <c r="A116" s="3"/>
      <c r="B116" s="453"/>
      <c r="C116" s="454"/>
      <c r="D116" s="454"/>
      <c r="E116" s="455"/>
      <c r="F116" s="456"/>
      <c r="G116" s="457"/>
      <c r="H116" s="458"/>
      <c r="I116" s="458"/>
      <c r="J116" s="458"/>
      <c r="K116" s="458"/>
      <c r="L116" s="458"/>
      <c r="M116" s="458"/>
      <c r="N116" s="458"/>
      <c r="O116" s="458"/>
      <c r="P116" s="458"/>
      <c r="Q116" s="458"/>
      <c r="R116" s="458"/>
      <c r="S116" s="459"/>
      <c r="T116" s="63"/>
    </row>
    <row r="117" spans="1:20" ht="15" customHeight="1">
      <c r="A117" s="657" t="s">
        <v>373</v>
      </c>
      <c r="B117" s="661" t="s">
        <v>421</v>
      </c>
      <c r="C117" s="662"/>
      <c r="D117" s="663"/>
      <c r="E117" s="743" t="s">
        <v>422</v>
      </c>
      <c r="F117" s="745" t="s">
        <v>114</v>
      </c>
      <c r="G117" s="242" t="s">
        <v>85</v>
      </c>
      <c r="H117" s="442">
        <f>34125*3/4</f>
        <v>25593.75</v>
      </c>
      <c r="I117" s="508">
        <f>34125</f>
        <v>34125</v>
      </c>
      <c r="J117" s="469">
        <f>35440/4</f>
        <v>8860</v>
      </c>
      <c r="K117" s="534">
        <f>35440*2/4</f>
        <v>17720</v>
      </c>
      <c r="L117" s="479"/>
      <c r="M117" s="479"/>
      <c r="N117" s="481"/>
      <c r="O117" s="481"/>
      <c r="P117" s="479"/>
      <c r="Q117" s="129"/>
      <c r="R117" s="129"/>
      <c r="S117" s="130"/>
      <c r="T117" s="63"/>
    </row>
    <row r="118" spans="1:20" ht="15" customHeight="1">
      <c r="A118" s="657"/>
      <c r="B118" s="664"/>
      <c r="C118" s="665"/>
      <c r="D118" s="666"/>
      <c r="E118" s="744"/>
      <c r="F118" s="745"/>
      <c r="G118" s="242" t="s">
        <v>86</v>
      </c>
      <c r="H118" s="448">
        <v>23876</v>
      </c>
      <c r="I118" s="508">
        <v>29403</v>
      </c>
      <c r="J118" s="129">
        <v>5241</v>
      </c>
      <c r="K118" s="273">
        <v>8847</v>
      </c>
      <c r="L118" s="129"/>
      <c r="M118" s="129"/>
      <c r="N118" s="129"/>
      <c r="O118" s="273"/>
      <c r="P118" s="490"/>
      <c r="Q118" s="129"/>
      <c r="R118" s="129"/>
      <c r="S118" s="130"/>
      <c r="T118" s="63"/>
    </row>
    <row r="119" spans="1:20" ht="15" customHeight="1">
      <c r="A119" s="657"/>
      <c r="B119" s="672" t="s">
        <v>423</v>
      </c>
      <c r="C119" s="673"/>
      <c r="D119" s="674"/>
      <c r="E119" s="757" t="s">
        <v>424</v>
      </c>
      <c r="F119" s="756" t="s">
        <v>114</v>
      </c>
      <c r="G119" s="413" t="s">
        <v>85</v>
      </c>
      <c r="H119" s="443">
        <f>8325*3/4</f>
        <v>6243.75</v>
      </c>
      <c r="I119" s="509">
        <f>8325</f>
        <v>8325</v>
      </c>
      <c r="J119" s="470">
        <f>9250/4</f>
        <v>2312.5</v>
      </c>
      <c r="K119" s="535">
        <f>9250*2/4</f>
        <v>4625</v>
      </c>
      <c r="L119" s="480"/>
      <c r="M119" s="480"/>
      <c r="N119" s="487"/>
      <c r="O119" s="487"/>
      <c r="P119" s="480"/>
      <c r="Q119" s="238"/>
      <c r="R119" s="238"/>
      <c r="S119" s="318"/>
      <c r="T119" s="63"/>
    </row>
    <row r="120" spans="1:20" ht="15" customHeight="1">
      <c r="A120" s="657"/>
      <c r="B120" s="675"/>
      <c r="C120" s="673"/>
      <c r="D120" s="674"/>
      <c r="E120" s="758"/>
      <c r="F120" s="742"/>
      <c r="G120" s="413" t="s">
        <v>86</v>
      </c>
      <c r="H120" s="449">
        <f>4910+1762</f>
        <v>6672</v>
      </c>
      <c r="I120" s="509">
        <v>8798</v>
      </c>
      <c r="J120" s="319">
        <v>1831</v>
      </c>
      <c r="K120" s="320">
        <v>2486</v>
      </c>
      <c r="L120" s="319"/>
      <c r="M120" s="319"/>
      <c r="N120" s="319"/>
      <c r="O120" s="320"/>
      <c r="P120" s="491"/>
      <c r="Q120" s="238"/>
      <c r="R120" s="238"/>
      <c r="S120" s="318"/>
      <c r="T120" s="63"/>
    </row>
    <row r="121" spans="1:20" ht="15" customHeight="1">
      <c r="A121" s="657"/>
      <c r="B121" s="676" t="s">
        <v>431</v>
      </c>
      <c r="C121" s="665"/>
      <c r="D121" s="666"/>
      <c r="E121" s="743" t="s">
        <v>432</v>
      </c>
      <c r="F121" s="670" t="s">
        <v>114</v>
      </c>
      <c r="G121" s="242" t="s">
        <v>85</v>
      </c>
      <c r="H121" s="442">
        <v>5500</v>
      </c>
      <c r="I121" s="508">
        <v>5500</v>
      </c>
      <c r="J121" s="129">
        <v>6110</v>
      </c>
      <c r="K121" s="273">
        <v>6110</v>
      </c>
      <c r="L121" s="481"/>
      <c r="M121" s="481"/>
      <c r="N121" s="481"/>
      <c r="O121" s="481"/>
      <c r="P121" s="479"/>
      <c r="Q121" s="129"/>
      <c r="R121" s="129"/>
      <c r="S121" s="130"/>
      <c r="T121" s="63"/>
    </row>
    <row r="122" spans="1:20" ht="15" customHeight="1">
      <c r="A122" s="657"/>
      <c r="B122" s="664"/>
      <c r="C122" s="665"/>
      <c r="D122" s="666"/>
      <c r="E122" s="744"/>
      <c r="F122" s="671"/>
      <c r="G122" s="242" t="s">
        <v>86</v>
      </c>
      <c r="H122" s="448">
        <v>4381</v>
      </c>
      <c r="I122" s="508">
        <v>5098</v>
      </c>
      <c r="J122" s="129">
        <v>5210</v>
      </c>
      <c r="K122" s="273">
        <v>5245</v>
      </c>
      <c r="L122" s="129"/>
      <c r="M122" s="129"/>
      <c r="N122" s="129"/>
      <c r="O122" s="273"/>
      <c r="P122" s="490"/>
      <c r="Q122" s="129"/>
      <c r="R122" s="129"/>
      <c r="S122" s="130"/>
      <c r="T122" s="63"/>
    </row>
    <row r="123" spans="1:20" ht="15" customHeight="1">
      <c r="A123" s="3"/>
      <c r="B123" s="710" t="s">
        <v>419</v>
      </c>
      <c r="C123" s="711"/>
      <c r="D123" s="712"/>
      <c r="E123" s="757" t="s">
        <v>420</v>
      </c>
      <c r="F123" s="741" t="s">
        <v>114</v>
      </c>
      <c r="G123" s="413" t="s">
        <v>85</v>
      </c>
      <c r="H123" s="441">
        <f>36750*3/4</f>
        <v>27562.5</v>
      </c>
      <c r="I123" s="510">
        <f>36750</f>
        <v>36750</v>
      </c>
      <c r="J123" s="470">
        <f>38050/4</f>
        <v>9512.5</v>
      </c>
      <c r="K123" s="535">
        <f>38050*2/4</f>
        <v>19025</v>
      </c>
      <c r="L123" s="480"/>
      <c r="M123" s="480"/>
      <c r="N123" s="487"/>
      <c r="O123" s="487"/>
      <c r="P123" s="480"/>
      <c r="Q123" s="238"/>
      <c r="R123" s="238"/>
      <c r="S123" s="318"/>
      <c r="T123" s="63"/>
    </row>
    <row r="124" spans="1:20" ht="15" customHeight="1">
      <c r="A124" s="3"/>
      <c r="B124" s="713"/>
      <c r="C124" s="714"/>
      <c r="D124" s="715"/>
      <c r="E124" s="758"/>
      <c r="F124" s="742"/>
      <c r="G124" s="413" t="s">
        <v>86</v>
      </c>
      <c r="H124" s="451">
        <v>30440</v>
      </c>
      <c r="I124" s="510">
        <v>35811</v>
      </c>
      <c r="J124" s="238">
        <v>12713</v>
      </c>
      <c r="K124" s="274">
        <v>17517</v>
      </c>
      <c r="L124" s="238"/>
      <c r="M124" s="238"/>
      <c r="N124" s="238"/>
      <c r="O124" s="274"/>
      <c r="P124" s="491"/>
      <c r="Q124" s="238"/>
      <c r="R124" s="238"/>
      <c r="S124" s="318"/>
      <c r="T124" s="63"/>
    </row>
    <row r="125" spans="1:20" ht="15" customHeight="1">
      <c r="A125" s="3"/>
      <c r="B125" s="716" t="s">
        <v>425</v>
      </c>
      <c r="C125" s="717"/>
      <c r="D125" s="718"/>
      <c r="E125" s="743" t="s">
        <v>426</v>
      </c>
      <c r="F125" s="670" t="s">
        <v>114</v>
      </c>
      <c r="G125" s="414" t="s">
        <v>85</v>
      </c>
      <c r="H125" s="444">
        <f>5550*3/4</f>
        <v>4162.5</v>
      </c>
      <c r="I125" s="511">
        <f>5550</f>
        <v>5550</v>
      </c>
      <c r="J125" s="471">
        <f>7400/4</f>
        <v>1850</v>
      </c>
      <c r="K125" s="532">
        <f>7400*2/4</f>
        <v>3700</v>
      </c>
      <c r="L125" s="482"/>
      <c r="M125" s="482"/>
      <c r="N125" s="488"/>
      <c r="O125" s="488"/>
      <c r="P125" s="482"/>
      <c r="Q125" s="415"/>
      <c r="R125" s="415"/>
      <c r="S125" s="417"/>
      <c r="T125" s="63"/>
    </row>
    <row r="126" spans="1:20" ht="15" customHeight="1">
      <c r="A126" s="3"/>
      <c r="B126" s="719"/>
      <c r="C126" s="720"/>
      <c r="D126" s="721"/>
      <c r="E126" s="744"/>
      <c r="F126" s="671"/>
      <c r="G126" s="414" t="s">
        <v>86</v>
      </c>
      <c r="H126" s="452">
        <f>2313+1857</f>
        <v>4170</v>
      </c>
      <c r="I126" s="511">
        <v>4955</v>
      </c>
      <c r="J126" s="471">
        <f>769+769</f>
        <v>1538</v>
      </c>
      <c r="K126" s="532">
        <f>1109+1172</f>
        <v>2281</v>
      </c>
      <c r="L126" s="415"/>
      <c r="M126" s="415"/>
      <c r="N126" s="415"/>
      <c r="O126" s="416"/>
      <c r="P126" s="492"/>
      <c r="Q126" s="415"/>
      <c r="R126" s="415"/>
      <c r="S126" s="417"/>
      <c r="T126" s="63"/>
    </row>
    <row r="127" spans="1:20" ht="15" customHeight="1">
      <c r="A127" s="3"/>
      <c r="B127" s="710" t="s">
        <v>427</v>
      </c>
      <c r="C127" s="711"/>
      <c r="D127" s="712"/>
      <c r="E127" s="757" t="s">
        <v>428</v>
      </c>
      <c r="F127" s="741" t="s">
        <v>114</v>
      </c>
      <c r="G127" s="413" t="s">
        <v>85</v>
      </c>
      <c r="H127" s="441">
        <f>3900*3/4</f>
        <v>2925</v>
      </c>
      <c r="I127" s="510">
        <f>3900</f>
        <v>3900</v>
      </c>
      <c r="J127" s="472">
        <f>4200/4</f>
        <v>1050</v>
      </c>
      <c r="K127" s="533">
        <f>4200*2/4</f>
        <v>2100</v>
      </c>
      <c r="L127" s="483"/>
      <c r="M127" s="483"/>
      <c r="N127" s="489"/>
      <c r="O127" s="489"/>
      <c r="P127" s="483"/>
      <c r="Q127" s="319"/>
      <c r="R127" s="319"/>
      <c r="S127" s="418"/>
      <c r="T127" s="63"/>
    </row>
    <row r="128" spans="1:20" ht="15" customHeight="1">
      <c r="A128" s="3"/>
      <c r="B128" s="713"/>
      <c r="C128" s="714"/>
      <c r="D128" s="715"/>
      <c r="E128" s="758"/>
      <c r="F128" s="742"/>
      <c r="G128" s="413" t="s">
        <v>86</v>
      </c>
      <c r="H128" s="451">
        <v>3824</v>
      </c>
      <c r="I128" s="510">
        <v>4589</v>
      </c>
      <c r="J128" s="238">
        <v>1182</v>
      </c>
      <c r="K128" s="274">
        <v>1675</v>
      </c>
      <c r="L128" s="238"/>
      <c r="M128" s="238"/>
      <c r="N128" s="238"/>
      <c r="O128" s="274"/>
      <c r="P128" s="493"/>
      <c r="Q128" s="319"/>
      <c r="R128" s="319"/>
      <c r="S128" s="418"/>
      <c r="T128" s="63"/>
    </row>
    <row r="129" spans="1:21" ht="15" customHeight="1">
      <c r="A129" s="3"/>
      <c r="B129" s="716" t="s">
        <v>429</v>
      </c>
      <c r="C129" s="717"/>
      <c r="D129" s="718"/>
      <c r="E129" s="743" t="s">
        <v>430</v>
      </c>
      <c r="F129" s="745" t="s">
        <v>114</v>
      </c>
      <c r="G129" s="414" t="s">
        <v>85</v>
      </c>
      <c r="H129" s="444">
        <f>2925*3/4</f>
        <v>2193.75</v>
      </c>
      <c r="I129" s="511">
        <f>2925</f>
        <v>2925</v>
      </c>
      <c r="J129" s="471">
        <f>3250/4</f>
        <v>812.5</v>
      </c>
      <c r="K129" s="532">
        <f>3250*2/4</f>
        <v>1625</v>
      </c>
      <c r="L129" s="482"/>
      <c r="M129" s="482"/>
      <c r="N129" s="488"/>
      <c r="O129" s="488"/>
      <c r="P129" s="482"/>
      <c r="Q129" s="415"/>
      <c r="R129" s="415"/>
      <c r="S129" s="417"/>
      <c r="T129" s="63"/>
    </row>
    <row r="130" spans="1:21" ht="15" customHeight="1">
      <c r="A130" s="3"/>
      <c r="B130" s="719"/>
      <c r="C130" s="720"/>
      <c r="D130" s="721"/>
      <c r="E130" s="744"/>
      <c r="F130" s="745"/>
      <c r="G130" s="414" t="s">
        <v>86</v>
      </c>
      <c r="H130" s="452">
        <v>1997</v>
      </c>
      <c r="I130" s="511">
        <v>2632</v>
      </c>
      <c r="J130" s="471">
        <v>486</v>
      </c>
      <c r="K130" s="416">
        <v>712</v>
      </c>
      <c r="L130" s="415"/>
      <c r="M130" s="415"/>
      <c r="N130" s="415"/>
      <c r="O130" s="416"/>
      <c r="P130" s="492"/>
      <c r="Q130" s="415"/>
      <c r="R130" s="415"/>
      <c r="S130" s="417"/>
      <c r="T130" s="63"/>
    </row>
    <row r="131" spans="1:21" ht="15" customHeight="1">
      <c r="A131" s="3"/>
      <c r="B131" s="710" t="s">
        <v>446</v>
      </c>
      <c r="C131" s="722"/>
      <c r="D131" s="723"/>
      <c r="E131" s="780" t="s">
        <v>447</v>
      </c>
      <c r="F131" s="733" t="s">
        <v>114</v>
      </c>
      <c r="G131" s="413" t="s">
        <v>85</v>
      </c>
      <c r="H131" s="510">
        <v>150</v>
      </c>
      <c r="I131" s="510">
        <v>150</v>
      </c>
      <c r="J131" s="472">
        <v>250</v>
      </c>
      <c r="K131" s="533">
        <v>250</v>
      </c>
      <c r="L131" s="483"/>
      <c r="M131" s="483"/>
      <c r="N131" s="489"/>
      <c r="O131" s="489"/>
      <c r="P131" s="483"/>
      <c r="Q131" s="319"/>
      <c r="R131" s="319"/>
      <c r="S131" s="418"/>
      <c r="T131" s="63"/>
    </row>
    <row r="132" spans="1:21" ht="15" customHeight="1">
      <c r="A132" s="3"/>
      <c r="B132" s="724"/>
      <c r="C132" s="725"/>
      <c r="D132" s="726"/>
      <c r="E132" s="780"/>
      <c r="F132" s="733"/>
      <c r="G132" s="413" t="s">
        <v>86</v>
      </c>
      <c r="H132" s="510">
        <v>110</v>
      </c>
      <c r="I132" s="510">
        <v>139</v>
      </c>
      <c r="J132" s="320">
        <v>36</v>
      </c>
      <c r="K132" s="533">
        <f>39+40</f>
        <v>79</v>
      </c>
      <c r="L132" s="319"/>
      <c r="M132" s="319"/>
      <c r="N132" s="319"/>
      <c r="O132" s="320"/>
      <c r="P132" s="493"/>
      <c r="Q132" s="319"/>
      <c r="R132" s="319"/>
      <c r="S132" s="418"/>
      <c r="T132" s="63"/>
    </row>
    <row r="133" spans="1:21" ht="15" hidden="1" customHeight="1">
      <c r="A133" s="3"/>
      <c r="B133" s="727"/>
      <c r="C133" s="728"/>
      <c r="D133" s="729"/>
      <c r="E133" s="765"/>
      <c r="F133" s="766"/>
      <c r="G133" s="414" t="s">
        <v>85</v>
      </c>
      <c r="H133" s="467"/>
      <c r="I133" s="466"/>
      <c r="J133" s="415"/>
      <c r="K133" s="484"/>
      <c r="L133" s="415"/>
      <c r="M133" s="415"/>
      <c r="N133" s="415"/>
      <c r="O133" s="415"/>
      <c r="P133" s="415"/>
      <c r="Q133" s="415"/>
      <c r="R133" s="415"/>
      <c r="S133" s="417"/>
      <c r="T133" s="63"/>
    </row>
    <row r="134" spans="1:21" ht="15" hidden="1" customHeight="1">
      <c r="A134" s="3"/>
      <c r="B134" s="730"/>
      <c r="C134" s="731"/>
      <c r="D134" s="732"/>
      <c r="E134" s="765"/>
      <c r="F134" s="766"/>
      <c r="G134" s="414" t="s">
        <v>86</v>
      </c>
      <c r="H134" s="468"/>
      <c r="I134" s="445"/>
      <c r="J134" s="415"/>
      <c r="K134" s="415"/>
      <c r="L134" s="415"/>
      <c r="M134" s="415"/>
      <c r="N134" s="415"/>
      <c r="O134" s="415"/>
      <c r="P134" s="415"/>
      <c r="Q134" s="415"/>
      <c r="R134" s="415"/>
      <c r="S134" s="417"/>
      <c r="T134" s="63"/>
    </row>
    <row r="135" spans="1:21" ht="15" hidden="1" customHeight="1">
      <c r="A135" s="3"/>
      <c r="B135" s="775"/>
      <c r="C135" s="711"/>
      <c r="D135" s="712"/>
      <c r="E135" s="758"/>
      <c r="F135" s="733"/>
      <c r="G135" s="413" t="s">
        <v>85</v>
      </c>
      <c r="H135" s="441"/>
      <c r="I135" s="440"/>
      <c r="J135" s="319"/>
      <c r="K135" s="319"/>
      <c r="L135" s="319"/>
      <c r="M135" s="319"/>
      <c r="N135" s="319"/>
      <c r="O135" s="319"/>
      <c r="P135" s="319"/>
      <c r="Q135" s="319"/>
      <c r="R135" s="319"/>
      <c r="S135" s="418"/>
      <c r="T135" s="63"/>
    </row>
    <row r="136" spans="1:21" ht="15" hidden="1" customHeight="1" thickBot="1">
      <c r="A136" s="3"/>
      <c r="B136" s="776"/>
      <c r="C136" s="777"/>
      <c r="D136" s="778"/>
      <c r="E136" s="767"/>
      <c r="F136" s="768"/>
      <c r="G136" s="419" t="s">
        <v>86</v>
      </c>
      <c r="H136" s="446"/>
      <c r="I136" s="447"/>
      <c r="J136" s="420"/>
      <c r="K136" s="420"/>
      <c r="L136" s="420"/>
      <c r="M136" s="420"/>
      <c r="N136" s="420"/>
      <c r="O136" s="420"/>
      <c r="P136" s="420"/>
      <c r="Q136" s="420"/>
      <c r="R136" s="420"/>
      <c r="S136" s="421"/>
      <c r="T136" s="63"/>
    </row>
    <row r="137" spans="1:21">
      <c r="A137" s="3"/>
      <c r="B137" s="3"/>
      <c r="C137" s="3"/>
      <c r="D137" s="3"/>
      <c r="E137" s="3"/>
      <c r="F137" s="3"/>
      <c r="G137" s="2"/>
      <c r="H137" s="3"/>
      <c r="I137" s="3"/>
      <c r="J137" s="3"/>
      <c r="K137" s="3"/>
      <c r="L137" s="3"/>
      <c r="M137" s="3"/>
      <c r="N137" s="3"/>
      <c r="O137" s="3"/>
      <c r="R137" s="36"/>
      <c r="S137" s="36"/>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ht="17" thickBot="1">
      <c r="A140" s="3"/>
      <c r="B140" s="323"/>
      <c r="C140" s="3"/>
      <c r="D140" s="3"/>
      <c r="E140" s="3"/>
      <c r="F140" s="3"/>
      <c r="G140" s="2"/>
      <c r="H140" s="3"/>
      <c r="I140" s="3"/>
      <c r="J140" s="3"/>
      <c r="K140" s="3"/>
      <c r="L140" s="3"/>
      <c r="M140" s="3"/>
      <c r="N140" s="3"/>
      <c r="O140" s="3"/>
      <c r="R140" s="36"/>
      <c r="S140" s="36"/>
    </row>
    <row r="141" spans="1:21" ht="16" thickBot="1">
      <c r="A141" s="3"/>
      <c r="B141" s="3" t="s">
        <v>403</v>
      </c>
      <c r="C141" s="3"/>
      <c r="D141" s="3"/>
      <c r="E141" s="321" t="s">
        <v>326</v>
      </c>
      <c r="F141" s="278" t="s">
        <v>343</v>
      </c>
      <c r="G141" s="241"/>
      <c r="H141" s="380" t="str">
        <f t="shared" ref="H141:S141" si="6">C30</f>
        <v>P1</v>
      </c>
      <c r="I141" s="380" t="str">
        <f t="shared" si="6"/>
        <v>P2</v>
      </c>
      <c r="J141" s="380" t="str">
        <f t="shared" si="6"/>
        <v>P3</v>
      </c>
      <c r="K141" s="380" t="str">
        <f t="shared" si="6"/>
        <v>P4</v>
      </c>
      <c r="L141" s="380" t="str">
        <f t="shared" si="6"/>
        <v>P5</v>
      </c>
      <c r="M141" s="380" t="str">
        <f t="shared" si="6"/>
        <v>P6</v>
      </c>
      <c r="N141" s="380" t="str">
        <f t="shared" si="6"/>
        <v>P7</v>
      </c>
      <c r="O141" s="380" t="str">
        <f t="shared" si="6"/>
        <v>P8</v>
      </c>
      <c r="P141" s="380" t="str">
        <f t="shared" si="6"/>
        <v>P9</v>
      </c>
      <c r="Q141" s="380" t="str">
        <f t="shared" si="6"/>
        <v>P10</v>
      </c>
      <c r="R141" s="380" t="str">
        <f t="shared" si="6"/>
        <v>P11</v>
      </c>
      <c r="S141" s="381" t="str">
        <f t="shared" si="6"/>
        <v>P12</v>
      </c>
      <c r="T141" s="36"/>
      <c r="U141" s="36"/>
    </row>
    <row r="142" spans="1:21">
      <c r="A142" s="3"/>
      <c r="B142" s="701" t="str">
        <f>IF(ISBLANK(B117),"",(B117))</f>
        <v>Percentage of PWID that have received an HIV test during the reporting period and know their results</v>
      </c>
      <c r="C142" s="702"/>
      <c r="D142" s="703"/>
      <c r="E142" s="762" t="str">
        <f>IF(ISBLANK(E117),"",(E117))</f>
        <v>KP-3d</v>
      </c>
      <c r="F142" s="686" t="str">
        <f>IF(ISBLANK(F117),"",(F117))</f>
        <v>Yes</v>
      </c>
      <c r="G142" s="345" t="s">
        <v>85</v>
      </c>
      <c r="H142" s="398">
        <f t="shared" ref="H142:S142" si="7">H117</f>
        <v>25593.75</v>
      </c>
      <c r="I142" s="398">
        <f t="shared" si="7"/>
        <v>34125</v>
      </c>
      <c r="J142" s="398">
        <f t="shared" si="7"/>
        <v>8860</v>
      </c>
      <c r="K142" s="398">
        <f t="shared" si="7"/>
        <v>17720</v>
      </c>
      <c r="L142" s="398">
        <f t="shared" si="7"/>
        <v>0</v>
      </c>
      <c r="M142" s="398">
        <f t="shared" si="7"/>
        <v>0</v>
      </c>
      <c r="N142" s="398">
        <f t="shared" si="7"/>
        <v>0</v>
      </c>
      <c r="O142" s="398">
        <f t="shared" si="7"/>
        <v>0</v>
      </c>
      <c r="P142" s="398">
        <f t="shared" si="7"/>
        <v>0</v>
      </c>
      <c r="Q142" s="398">
        <f t="shared" si="7"/>
        <v>0</v>
      </c>
      <c r="R142" s="398">
        <f t="shared" si="7"/>
        <v>0</v>
      </c>
      <c r="S142" s="429">
        <f t="shared" si="7"/>
        <v>0</v>
      </c>
      <c r="T142" s="36"/>
      <c r="U142" s="36"/>
    </row>
    <row r="143" spans="1:21">
      <c r="A143" s="3"/>
      <c r="B143" s="704"/>
      <c r="C143" s="705"/>
      <c r="D143" s="706"/>
      <c r="E143" s="762"/>
      <c r="F143" s="686"/>
      <c r="G143" s="127" t="s">
        <v>86</v>
      </c>
      <c r="H143" s="398">
        <f t="shared" ref="H143:K147" si="8">H118</f>
        <v>23876</v>
      </c>
      <c r="I143" s="398">
        <f t="shared" si="8"/>
        <v>29403</v>
      </c>
      <c r="J143" s="398">
        <f t="shared" si="8"/>
        <v>5241</v>
      </c>
      <c r="K143" s="398">
        <f t="shared" si="8"/>
        <v>8847</v>
      </c>
      <c r="L143" s="398">
        <f t="shared" ref="L143:S143" si="9">L118</f>
        <v>0</v>
      </c>
      <c r="M143" s="398">
        <f t="shared" si="9"/>
        <v>0</v>
      </c>
      <c r="N143" s="398">
        <f t="shared" si="9"/>
        <v>0</v>
      </c>
      <c r="O143" s="398">
        <f t="shared" si="9"/>
        <v>0</v>
      </c>
      <c r="P143" s="398">
        <f t="shared" si="9"/>
        <v>0</v>
      </c>
      <c r="Q143" s="398">
        <f t="shared" si="9"/>
        <v>0</v>
      </c>
      <c r="R143" s="398">
        <f t="shared" si="9"/>
        <v>0</v>
      </c>
      <c r="S143" s="429">
        <f t="shared" si="9"/>
        <v>0</v>
      </c>
      <c r="T143" s="36"/>
      <c r="U143" s="36"/>
    </row>
    <row r="144" spans="1:21">
      <c r="A144" s="3"/>
      <c r="B144" s="707" t="str">
        <f>IF(ISBLANK(B119),"",(B119))</f>
        <v>Percentage of MSM reached with HIV prevention programs - defined package of services</v>
      </c>
      <c r="C144" s="708"/>
      <c r="D144" s="709"/>
      <c r="E144" s="779" t="str">
        <f>IF(ISBLANK(E119),"",(E119))</f>
        <v>KP-1a</v>
      </c>
      <c r="F144" s="687" t="str">
        <f>IF(ISBLANK(F119),"",(F119))</f>
        <v>Yes</v>
      </c>
      <c r="G144" s="422" t="s">
        <v>85</v>
      </c>
      <c r="H144" s="423">
        <f t="shared" si="8"/>
        <v>6243.75</v>
      </c>
      <c r="I144" s="423">
        <f>I119</f>
        <v>8325</v>
      </c>
      <c r="J144" s="423">
        <f t="shared" si="8"/>
        <v>2312.5</v>
      </c>
      <c r="K144" s="423">
        <f>K119</f>
        <v>4625</v>
      </c>
      <c r="L144" s="423">
        <f t="shared" ref="L144:S144" si="10">L119</f>
        <v>0</v>
      </c>
      <c r="M144" s="423">
        <f t="shared" si="10"/>
        <v>0</v>
      </c>
      <c r="N144" s="423">
        <f t="shared" si="10"/>
        <v>0</v>
      </c>
      <c r="O144" s="423">
        <f t="shared" si="10"/>
        <v>0</v>
      </c>
      <c r="P144" s="423">
        <f t="shared" si="10"/>
        <v>0</v>
      </c>
      <c r="Q144" s="423">
        <f t="shared" si="10"/>
        <v>0</v>
      </c>
      <c r="R144" s="423">
        <f t="shared" si="10"/>
        <v>0</v>
      </c>
      <c r="S144" s="430">
        <f t="shared" si="10"/>
        <v>0</v>
      </c>
      <c r="T144" s="36"/>
      <c r="U144" s="36"/>
    </row>
    <row r="145" spans="1:21">
      <c r="A145" s="3"/>
      <c r="B145" s="707"/>
      <c r="C145" s="708"/>
      <c r="D145" s="709"/>
      <c r="E145" s="779"/>
      <c r="F145" s="687"/>
      <c r="G145" s="422" t="s">
        <v>86</v>
      </c>
      <c r="H145" s="423">
        <f t="shared" si="8"/>
        <v>6672</v>
      </c>
      <c r="I145" s="423">
        <f t="shared" si="8"/>
        <v>8798</v>
      </c>
      <c r="J145" s="423">
        <f t="shared" si="8"/>
        <v>1831</v>
      </c>
      <c r="K145" s="423">
        <f t="shared" si="8"/>
        <v>2486</v>
      </c>
      <c r="L145" s="423">
        <f t="shared" ref="L145:S145" si="11">L120</f>
        <v>0</v>
      </c>
      <c r="M145" s="423">
        <f t="shared" si="11"/>
        <v>0</v>
      </c>
      <c r="N145" s="423">
        <f t="shared" si="11"/>
        <v>0</v>
      </c>
      <c r="O145" s="423">
        <f t="shared" si="11"/>
        <v>0</v>
      </c>
      <c r="P145" s="423">
        <f t="shared" si="11"/>
        <v>0</v>
      </c>
      <c r="Q145" s="423">
        <f t="shared" si="11"/>
        <v>0</v>
      </c>
      <c r="R145" s="423">
        <f t="shared" si="11"/>
        <v>0</v>
      </c>
      <c r="S145" s="430">
        <f t="shared" si="11"/>
        <v>0</v>
      </c>
      <c r="T145" s="36"/>
      <c r="U145" s="36"/>
    </row>
    <row r="146" spans="1:21">
      <c r="A146" s="3"/>
      <c r="B146" s="769" t="str">
        <f>IF(ISBLANK(B121),"",(B121))</f>
        <v xml:space="preserve">Percentage of people living with HIV currently receiving antiretroviral therapy </v>
      </c>
      <c r="C146" s="770"/>
      <c r="D146" s="771"/>
      <c r="E146" s="762" t="str">
        <f>IF(ISBLANK(E121),"",(E121))</f>
        <v>TCS-1</v>
      </c>
      <c r="F146" s="686" t="str">
        <f>IF(ISBLANK(F121),"",(F121))</f>
        <v>Yes</v>
      </c>
      <c r="G146" s="127" t="s">
        <v>85</v>
      </c>
      <c r="H146" s="398">
        <f t="shared" si="8"/>
        <v>5500</v>
      </c>
      <c r="I146" s="398">
        <f t="shared" si="8"/>
        <v>5500</v>
      </c>
      <c r="J146" s="398">
        <f t="shared" si="8"/>
        <v>6110</v>
      </c>
      <c r="K146" s="398">
        <f t="shared" si="8"/>
        <v>6110</v>
      </c>
      <c r="L146" s="398">
        <f t="shared" ref="L146:S146" si="12">L121</f>
        <v>0</v>
      </c>
      <c r="M146" s="398">
        <f t="shared" si="12"/>
        <v>0</v>
      </c>
      <c r="N146" s="398">
        <f t="shared" si="12"/>
        <v>0</v>
      </c>
      <c r="O146" s="398">
        <f t="shared" si="12"/>
        <v>0</v>
      </c>
      <c r="P146" s="398">
        <f t="shared" si="12"/>
        <v>0</v>
      </c>
      <c r="Q146" s="398">
        <f t="shared" si="12"/>
        <v>0</v>
      </c>
      <c r="R146" s="398">
        <f t="shared" si="12"/>
        <v>0</v>
      </c>
      <c r="S146" s="429">
        <f t="shared" si="12"/>
        <v>0</v>
      </c>
      <c r="T146" s="36"/>
      <c r="U146" s="36"/>
    </row>
    <row r="147" spans="1:21" ht="16" thickBot="1">
      <c r="A147" s="3"/>
      <c r="B147" s="772"/>
      <c r="C147" s="773"/>
      <c r="D147" s="774"/>
      <c r="E147" s="763"/>
      <c r="F147" s="764"/>
      <c r="G147" s="128" t="s">
        <v>86</v>
      </c>
      <c r="H147" s="399">
        <f t="shared" si="8"/>
        <v>4381</v>
      </c>
      <c r="I147" s="399">
        <f t="shared" si="8"/>
        <v>5098</v>
      </c>
      <c r="J147" s="399">
        <f t="shared" si="8"/>
        <v>5210</v>
      </c>
      <c r="K147" s="399">
        <f t="shared" si="8"/>
        <v>5245</v>
      </c>
      <c r="L147" s="399">
        <f t="shared" ref="L147:S147" si="13">L122</f>
        <v>0</v>
      </c>
      <c r="M147" s="399">
        <f t="shared" si="13"/>
        <v>0</v>
      </c>
      <c r="N147" s="399">
        <f t="shared" si="13"/>
        <v>0</v>
      </c>
      <c r="O147" s="399">
        <f t="shared" si="13"/>
        <v>0</v>
      </c>
      <c r="P147" s="399">
        <f t="shared" si="13"/>
        <v>0</v>
      </c>
      <c r="Q147" s="399">
        <f t="shared" si="13"/>
        <v>0</v>
      </c>
      <c r="R147" s="399">
        <f t="shared" si="13"/>
        <v>0</v>
      </c>
      <c r="S147" s="431">
        <f t="shared" si="13"/>
        <v>0</v>
      </c>
      <c r="T147" s="36"/>
      <c r="U147" s="36"/>
    </row>
    <row r="148" spans="1:21">
      <c r="A148" s="3"/>
      <c r="B148" s="3"/>
      <c r="C148" s="3"/>
      <c r="D148" s="3"/>
      <c r="E148" s="3"/>
      <c r="F148" s="3"/>
      <c r="G148" s="3"/>
      <c r="H148" s="3"/>
      <c r="I148" s="3"/>
      <c r="J148" s="3"/>
      <c r="K148" s="3"/>
      <c r="L148" s="3"/>
      <c r="M148" s="3"/>
      <c r="N148"/>
      <c r="O148"/>
      <c r="P148" s="36"/>
      <c r="Q148" s="36"/>
      <c r="S148" s="424"/>
    </row>
    <row r="149" spans="1:21">
      <c r="N149"/>
      <c r="O149"/>
      <c r="P149" s="36"/>
      <c r="Q149" s="36"/>
    </row>
    <row r="150" spans="1:21">
      <c r="N150"/>
      <c r="O150"/>
      <c r="P150" s="36"/>
      <c r="Q150" s="36"/>
    </row>
    <row r="151" spans="1:21">
      <c r="N151"/>
      <c r="O151"/>
      <c r="P151" s="36"/>
      <c r="Q151" s="36"/>
    </row>
  </sheetData>
  <mergeCells count="73">
    <mergeCell ref="E146:E147"/>
    <mergeCell ref="B123:D124"/>
    <mergeCell ref="F146:F147"/>
    <mergeCell ref="E133:E134"/>
    <mergeCell ref="F133:F134"/>
    <mergeCell ref="E135:E136"/>
    <mergeCell ref="F135:F136"/>
    <mergeCell ref="E142:E143"/>
    <mergeCell ref="E123:E124"/>
    <mergeCell ref="E127:E128"/>
    <mergeCell ref="B146:D147"/>
    <mergeCell ref="B135:D136"/>
    <mergeCell ref="E144:E145"/>
    <mergeCell ref="E125:E126"/>
    <mergeCell ref="B125:D126"/>
    <mergeCell ref="E131:E132"/>
    <mergeCell ref="O31:O34"/>
    <mergeCell ref="E117:E118"/>
    <mergeCell ref="F117:F118"/>
    <mergeCell ref="F119:F120"/>
    <mergeCell ref="E119:E120"/>
    <mergeCell ref="F46:I46"/>
    <mergeCell ref="I24:J24"/>
    <mergeCell ref="B21:J21"/>
    <mergeCell ref="B72:C72"/>
    <mergeCell ref="E121:E122"/>
    <mergeCell ref="B115:D115"/>
    <mergeCell ref="D24:E24"/>
    <mergeCell ref="F131:F132"/>
    <mergeCell ref="F125:F126"/>
    <mergeCell ref="B70:C70"/>
    <mergeCell ref="B26:C26"/>
    <mergeCell ref="B107:B110"/>
    <mergeCell ref="F127:F128"/>
    <mergeCell ref="E129:E130"/>
    <mergeCell ref="F129:F130"/>
    <mergeCell ref="F123:F124"/>
    <mergeCell ref="B142:D143"/>
    <mergeCell ref="B144:D145"/>
    <mergeCell ref="B127:D128"/>
    <mergeCell ref="B129:D130"/>
    <mergeCell ref="B131:D132"/>
    <mergeCell ref="B133:D134"/>
    <mergeCell ref="F142:F143"/>
    <mergeCell ref="F144:F145"/>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1:C71"/>
    <mergeCell ref="B18:C18"/>
    <mergeCell ref="D18:F18"/>
    <mergeCell ref="A117:A122"/>
    <mergeCell ref="B29:N29"/>
    <mergeCell ref="B117:D118"/>
    <mergeCell ref="B59:D59"/>
    <mergeCell ref="F121:F122"/>
    <mergeCell ref="B119:D120"/>
    <mergeCell ref="B121:D122"/>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3:N93">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5:S116 H141:S141">
    <cfRule type="cellIs" dxfId="32" priority="18" stopIfTrue="1" operator="equal">
      <formula>$C$16</formula>
    </cfRule>
  </conditionalFormatting>
  <conditionalFormatting sqref="F46:I46">
    <cfRule type="expression" dxfId="31" priority="19" stopIfTrue="1">
      <formula>LEFT($F$46,2)="OK"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7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7:C110"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7" max="16383" man="1"/>
  </rowBreaks>
  <ignoredErrors>
    <ignoredError sqref="H141:S141 E142 D46 H11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I53" sqref="I53"/>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0"/>
      <c r="H1" s="2"/>
      <c r="I1" s="2"/>
      <c r="J1" s="2"/>
    </row>
    <row r="2" spans="1:24" ht="25.5" customHeight="1"/>
    <row r="3" spans="1:24" ht="37">
      <c r="B3" s="781" t="str">
        <f>+"Dashboard: "&amp;" "&amp;+IF('Data Entry'!C4="Please Select","",'Data Entry'!C4&amp;" - ")&amp;+IF('Data Entry'!G6="Please Select","",'Data Entry'!G6)</f>
        <v>Dashboard:  Georgia - HIV / AIDS</v>
      </c>
      <c r="C3" s="781"/>
      <c r="D3" s="781"/>
      <c r="E3" s="781"/>
      <c r="F3" s="781"/>
      <c r="G3" s="781"/>
      <c r="H3" s="781"/>
      <c r="I3" s="781"/>
      <c r="J3" s="78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3" t="s">
        <v>25</v>
      </c>
      <c r="B6" s="783" t="str">
        <f>+IF('Data Entry'!C4="Please Select","",'Data Entry'!C4)</f>
        <v>Georgia</v>
      </c>
      <c r="C6" s="783"/>
      <c r="D6" s="787" t="s">
        <v>11</v>
      </c>
      <c r="E6" s="787"/>
      <c r="F6" s="788" t="str">
        <f>+'Data Entry'!G4</f>
        <v xml:space="preserve">Sustaining and Scaling up the Effective HIV/AIDS Prevention, Treatment and Care in Georgia </v>
      </c>
      <c r="G6" s="788"/>
      <c r="H6" s="788"/>
      <c r="I6" s="788"/>
      <c r="J6" s="788"/>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0" t="s">
        <v>26</v>
      </c>
      <c r="B9" s="337" t="str">
        <f>+IF('Data Entry'!G6="Please Select","",'Data Entry'!G6)</f>
        <v>HIV / AIDS</v>
      </c>
      <c r="C9" s="221" t="s">
        <v>327</v>
      </c>
      <c r="D9" s="338" t="str">
        <f>+'Data Entry'!C6</f>
        <v>GEO-H-NCDC</v>
      </c>
      <c r="E9" s="785" t="s">
        <v>12</v>
      </c>
      <c r="F9" s="785"/>
      <c r="G9" s="339">
        <f>+IF(ISBLANK('Data Entry'!C10),"",'Data Entry'!C10)</f>
        <v>43647</v>
      </c>
      <c r="H9" s="370" t="s">
        <v>328</v>
      </c>
      <c r="I9" s="784">
        <f>+IF(ISBLANK('Data Entry'!I6),"",'Data Entry'!I6)</f>
        <v>9348442.7799999993</v>
      </c>
      <c r="J9" s="784"/>
      <c r="K9" s="49"/>
      <c r="L9" s="49"/>
      <c r="M9" s="49"/>
      <c r="N9" s="49"/>
      <c r="O9" s="51"/>
      <c r="P9" s="50"/>
      <c r="Q9" s="51"/>
      <c r="R9" s="52"/>
      <c r="S9" s="17"/>
      <c r="T9" s="11"/>
      <c r="U9" s="11"/>
      <c r="V9" s="10"/>
      <c r="W9" s="10"/>
      <c r="X9" s="10"/>
    </row>
    <row r="10" spans="1:24" ht="25.5" customHeight="1">
      <c r="A10" s="370" t="s">
        <v>322</v>
      </c>
      <c r="B10" s="340" t="str">
        <f>+IF('Data Entry'!G8="Please Select","",'Data Entry'!G8)</f>
        <v>NFM</v>
      </c>
      <c r="C10" s="221" t="s">
        <v>321</v>
      </c>
      <c r="D10" s="341" t="str">
        <f>+IF('Data Entry'!I8="Please Select","",'Data Entry'!I8)</f>
        <v>N/A</v>
      </c>
      <c r="E10" s="786" t="s">
        <v>268</v>
      </c>
      <c r="F10" s="786"/>
      <c r="G10" s="782" t="str">
        <f>+'Data Entry'!C8</f>
        <v>NCDC</v>
      </c>
      <c r="H10" s="782"/>
      <c r="I10" s="782"/>
      <c r="J10" s="782"/>
      <c r="K10" s="53"/>
      <c r="L10" s="53"/>
      <c r="M10" s="49"/>
      <c r="N10" s="53"/>
      <c r="O10" s="51"/>
      <c r="P10" s="50"/>
      <c r="Q10" s="11"/>
      <c r="R10" s="52"/>
      <c r="S10" s="17"/>
      <c r="T10" s="11"/>
      <c r="U10" s="11"/>
    </row>
    <row r="11" spans="1:24" ht="25.5" customHeight="1">
      <c r="A11" s="370" t="s">
        <v>20</v>
      </c>
      <c r="B11" s="342" t="str">
        <f>+'Data Entry'!C16</f>
        <v>P4</v>
      </c>
      <c r="C11" s="326" t="s">
        <v>266</v>
      </c>
      <c r="D11" s="343">
        <f>+IF(ISBLANK('Data Entry'!E16),"",'Data Entry'!E16)</f>
        <v>43922</v>
      </c>
      <c r="E11" s="785" t="s">
        <v>21</v>
      </c>
      <c r="F11" s="785"/>
      <c r="G11" s="343">
        <f>+IF(ISBLANK('Data Entry'!G16),"",'Data Entry'!G16)</f>
        <v>44012</v>
      </c>
      <c r="H11" s="370" t="s">
        <v>28</v>
      </c>
      <c r="I11" s="789" t="str">
        <f>+IF('Data Entry'!C12="Please Select","",'Data Entry'!C12)</f>
        <v>A2</v>
      </c>
      <c r="J11" s="789"/>
      <c r="K11" s="269"/>
      <c r="L11" s="53"/>
      <c r="M11" s="49"/>
      <c r="N11" s="53"/>
      <c r="O11" s="53"/>
      <c r="P11" s="50"/>
      <c r="Q11" s="11"/>
      <c r="R11" s="52"/>
      <c r="S11" s="17"/>
      <c r="T11" s="12"/>
      <c r="U11" s="11"/>
    </row>
    <row r="12" spans="1:24" ht="25.5" customHeight="1">
      <c r="A12" s="370" t="s">
        <v>30</v>
      </c>
      <c r="B12" s="782" t="str">
        <f>+IF('Data Entry'!G10="Please Select","",'Data Entry'!G10)</f>
        <v>UNOPS</v>
      </c>
      <c r="C12" s="782"/>
      <c r="D12" s="782"/>
      <c r="E12" s="786" t="s">
        <v>288</v>
      </c>
      <c r="F12" s="786"/>
      <c r="G12" s="782" t="str">
        <f>+'Data Entry'!G12</f>
        <v>Tatyana Vinichenko</v>
      </c>
      <c r="H12" s="782"/>
      <c r="I12" s="782"/>
      <c r="J12" s="782"/>
      <c r="K12" s="53"/>
      <c r="L12" s="53"/>
      <c r="M12" s="49"/>
      <c r="N12" s="53"/>
      <c r="O12" s="17"/>
      <c r="P12" s="50"/>
      <c r="Q12" s="11"/>
      <c r="R12" s="52"/>
      <c r="S12" s="17"/>
      <c r="T12" s="11"/>
      <c r="U12" s="54"/>
      <c r="V12" s="11"/>
      <c r="W12" s="12"/>
      <c r="X12" s="11"/>
    </row>
    <row r="13" spans="1:24" ht="25.5" customHeight="1">
      <c r="A13" s="370" t="s">
        <v>31</v>
      </c>
      <c r="B13" s="782" t="str">
        <f>+'Data Entry'!D18</f>
        <v>Alexander Asatiani, Nino Vakhania</v>
      </c>
      <c r="C13" s="782"/>
      <c r="D13" s="782"/>
      <c r="E13" s="786" t="s">
        <v>29</v>
      </c>
      <c r="F13" s="786"/>
      <c r="G13" s="790">
        <f>+IF(ISBLANK('Data Entry'!J16),"",'Data Entry'!J16)</f>
        <v>44180</v>
      </c>
      <c r="H13" s="791"/>
      <c r="I13" s="791"/>
      <c r="J13" s="791"/>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0"/>
      <c r="D16" s="16"/>
      <c r="E16" s="37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88" t="str">
        <f>+"Dashboard:  "&amp;"  "&amp;IF(+'Data Entry'!C4="Please Select","",'Data Entry'!C4&amp;" - ")&amp;IF('Data Entry'!G6="Please Select","",'Data Entry'!G6)</f>
        <v>Dashboard:    Georgia - HIV / AIDS</v>
      </c>
      <c r="C2" s="688"/>
      <c r="D2" s="688"/>
      <c r="E2" s="688"/>
      <c r="F2" s="688"/>
      <c r="G2" s="688"/>
      <c r="H2" s="688"/>
      <c r="I2" s="688"/>
      <c r="J2" s="688"/>
      <c r="K2" s="688"/>
      <c r="L2" s="1"/>
      <c r="M2" s="1"/>
      <c r="N2" s="1"/>
      <c r="O2" s="1"/>
    </row>
    <row r="3" spans="2:15">
      <c r="B3" s="131" t="str">
        <f>+IF('Data Entry'!G8="Please Select","",'Data Entry'!G8)</f>
        <v>NFM</v>
      </c>
      <c r="C3" s="803" t="str">
        <f>+IF('Data Entry'!I8="Please Select","",'Data Entry'!I8)</f>
        <v>N/A</v>
      </c>
      <c r="D3" s="803"/>
      <c r="E3" s="802"/>
      <c r="F3" s="802"/>
      <c r="G3" s="802"/>
      <c r="H3" s="802"/>
      <c r="I3" s="800" t="str">
        <f>+'Data Entry'!B16</f>
        <v>Report Period:</v>
      </c>
      <c r="J3" s="800"/>
      <c r="K3" s="196" t="str">
        <f>+'Data Entry'!C16</f>
        <v>P4</v>
      </c>
      <c r="L3" s="82"/>
    </row>
    <row r="4" spans="2:15">
      <c r="B4" s="131" t="str">
        <f>+'Data Entry'!B12</f>
        <v>Latest Rating:</v>
      </c>
      <c r="C4" s="804" t="str">
        <f>+IF('Data Entry'!C12="Please Select","",'Data Entry'!C12)</f>
        <v>A2</v>
      </c>
      <c r="D4" s="804"/>
      <c r="E4" s="802" t="str">
        <f>+'Data Entry'!C8</f>
        <v>NCDC</v>
      </c>
      <c r="F4" s="802"/>
      <c r="G4" s="802"/>
      <c r="H4" s="802"/>
      <c r="I4" s="800" t="str">
        <f>+'Data Entry'!D16</f>
        <v>From:</v>
      </c>
      <c r="J4" s="801"/>
      <c r="K4" s="198">
        <f>+IF(ISBLANK('Data Entry'!E16),"",'Data Entry'!E16)</f>
        <v>43922</v>
      </c>
    </row>
    <row r="5" spans="2:15" ht="18.75" customHeight="1">
      <c r="B5" s="131"/>
      <c r="C5" s="131"/>
      <c r="D5" s="799" t="str">
        <f>+'Data Entry'!G4</f>
        <v xml:space="preserve">Sustaining and Scaling up the Effective HIV/AIDS Prevention, Treatment and Care in Georgia </v>
      </c>
      <c r="E5" s="799"/>
      <c r="F5" s="799"/>
      <c r="G5" s="799"/>
      <c r="H5" s="799"/>
      <c r="I5" s="799"/>
      <c r="J5" s="131" t="str">
        <f>+'Data Entry'!F16</f>
        <v>To:</v>
      </c>
      <c r="K5" s="198">
        <f>+IF(ISBLANK('Data Entry'!G16),"",'Data Entry'!G16)</f>
        <v>44012</v>
      </c>
    </row>
    <row r="6" spans="2:15" ht="19">
      <c r="B6" s="135"/>
      <c r="C6" s="131"/>
      <c r="D6" s="132"/>
      <c r="E6" s="805" t="s">
        <v>62</v>
      </c>
      <c r="F6" s="805"/>
      <c r="G6" s="805"/>
      <c r="H6" s="805"/>
      <c r="I6" s="3"/>
      <c r="J6" s="3"/>
      <c r="K6" s="3"/>
    </row>
    <row r="7" spans="2:15" ht="10.5" customHeight="1">
      <c r="B7" s="136"/>
      <c r="C7" s="137"/>
      <c r="D7" s="138"/>
      <c r="E7" s="139"/>
      <c r="F7" s="139"/>
      <c r="G7" s="140"/>
      <c r="H7" s="140"/>
      <c r="I7" s="134"/>
      <c r="J7" s="134"/>
      <c r="K7" s="133"/>
    </row>
    <row r="8" spans="2:15">
      <c r="B8" s="201" t="str">
        <f>+'Data Entry'!B27&amp; " - in ("&amp;'Data Entry'!D26&amp;")         "&amp;+I3&amp;" "&amp;+K3</f>
        <v>F1: Budget and disbursements by Global Fund - in ($)         Report Period: P4</v>
      </c>
      <c r="C8" s="141"/>
      <c r="D8" s="2"/>
      <c r="E8" s="2"/>
      <c r="F8" s="2"/>
      <c r="H8" s="201" t="str">
        <f>+'Data Entry'!B48&amp; " - in ("&amp;'Data Entry'!D26&amp;")         "&amp;+I3&amp;" "&amp;+K3</f>
        <v>F3: Disbursements and expenditures - in ($)         Report Period: P4</v>
      </c>
      <c r="I8" s="3"/>
      <c r="J8" s="3"/>
      <c r="K8" s="3"/>
    </row>
    <row r="9" spans="2:15">
      <c r="B9" s="346" t="s">
        <v>9</v>
      </c>
      <c r="C9" s="811"/>
      <c r="D9" s="793"/>
      <c r="E9" s="793"/>
      <c r="F9" s="794"/>
      <c r="H9" s="347" t="s">
        <v>9</v>
      </c>
      <c r="I9" s="792"/>
      <c r="J9" s="793"/>
      <c r="K9" s="79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2" t="str">
        <f>+'Data Entry'!B36&amp; " - in ("&amp;'Data Entry'!D26&amp;")  "&amp;+I3&amp;" "&amp;+K3</f>
        <v>F2: Budget and actual expenditures by Grant Objective - in ($)  Report Period: P4</v>
      </c>
      <c r="C22" s="2"/>
      <c r="D22" s="2"/>
      <c r="E22" s="2"/>
      <c r="F22" s="2"/>
      <c r="H22" s="202" t="str">
        <f>+'Data Entry'!B57&amp;"      "&amp;+I3&amp;" "&amp;+K3</f>
        <v>F4: Latest PR reporting and disbursement cycle      Report Period: P4</v>
      </c>
      <c r="J22" s="3"/>
      <c r="K22" s="3"/>
    </row>
    <row r="23" spans="1:11">
      <c r="B23" s="347" t="s">
        <v>10</v>
      </c>
      <c r="C23" s="792"/>
      <c r="D23" s="793"/>
      <c r="E23" s="793"/>
      <c r="F23" s="794"/>
      <c r="G23" s="367"/>
      <c r="H23" s="347" t="s">
        <v>9</v>
      </c>
      <c r="I23" s="792"/>
      <c r="J23" s="812"/>
      <c r="K23" s="813"/>
    </row>
    <row r="24" spans="1:11" ht="16" thickBot="1">
      <c r="B24" s="211"/>
      <c r="C24" s="211"/>
      <c r="D24" s="211"/>
      <c r="E24" s="211"/>
      <c r="F24" s="211"/>
      <c r="G24" s="211"/>
      <c r="H24" s="212"/>
      <c r="I24" s="212"/>
      <c r="J24" s="211"/>
      <c r="K24" s="211"/>
    </row>
    <row r="25" spans="1:11" ht="29.25" customHeight="1" thickBot="1">
      <c r="B25" s="3"/>
      <c r="C25" s="3"/>
      <c r="D25" s="3"/>
      <c r="E25" s="3"/>
      <c r="F25" s="3"/>
      <c r="G25" s="324"/>
      <c r="H25" s="806" t="s">
        <v>307</v>
      </c>
      <c r="I25" s="807"/>
      <c r="J25" s="807"/>
      <c r="K25" s="808"/>
    </row>
    <row r="26" spans="1:11">
      <c r="B26" s="3"/>
      <c r="C26" s="3"/>
      <c r="D26" s="3"/>
      <c r="E26" s="3"/>
      <c r="F26" s="3"/>
      <c r="G26" s="286"/>
      <c r="H26" s="809"/>
      <c r="I26" s="810"/>
      <c r="J26" s="302" t="s">
        <v>60</v>
      </c>
      <c r="K26" s="303" t="s">
        <v>61</v>
      </c>
    </row>
    <row r="27" spans="1:11" ht="23.25" customHeight="1">
      <c r="B27" s="3"/>
      <c r="C27" s="3"/>
      <c r="D27" s="3"/>
      <c r="E27" s="3"/>
      <c r="F27" s="3"/>
      <c r="G27" s="325"/>
      <c r="H27" s="795" t="str">
        <f>'Data Entry'!B61</f>
        <v>Days taken to submit final PU/DR to LFA</v>
      </c>
      <c r="I27" s="796"/>
      <c r="J27" s="304">
        <f>+'Data Entry'!C61</f>
        <v>60</v>
      </c>
      <c r="K27" s="301" t="str">
        <f>+'Data Entry'!D61</f>
        <v>N/A</v>
      </c>
    </row>
    <row r="28" spans="1:11" ht="21" customHeight="1">
      <c r="B28" s="3"/>
      <c r="C28" s="3"/>
      <c r="D28" s="3"/>
      <c r="E28" s="3"/>
      <c r="F28" s="3"/>
      <c r="G28" s="325"/>
      <c r="H28" s="795" t="str">
        <f>'Data Entry'!B62</f>
        <v>Days taken for disbursement to reach PR</v>
      </c>
      <c r="I28" s="796"/>
      <c r="J28" s="304">
        <f>+'Data Entry'!C62</f>
        <v>45</v>
      </c>
      <c r="K28" s="301" t="str">
        <f>+'Data Entry'!D62</f>
        <v>N/A</v>
      </c>
    </row>
    <row r="29" spans="1:11" ht="21" customHeight="1" thickBot="1">
      <c r="B29" s="3"/>
      <c r="C29" s="3"/>
      <c r="D29" s="3"/>
      <c r="E29" s="3"/>
      <c r="F29" s="3"/>
      <c r="G29" s="325"/>
      <c r="H29" s="797" t="str">
        <f>'Data Entry'!B63</f>
        <v xml:space="preserve">Days taken for disbursement to reach SRs </v>
      </c>
      <c r="I29" s="798"/>
      <c r="J29" s="305">
        <f>+'Data Entry'!C63</f>
        <v>5</v>
      </c>
      <c r="K29" s="306">
        <f>+'Data Entry'!D63</f>
        <v>5</v>
      </c>
    </row>
    <row r="30" spans="1:11">
      <c r="B30" s="3"/>
      <c r="C30" s="3"/>
      <c r="D30" s="3"/>
      <c r="E30" s="3"/>
      <c r="F30" s="3"/>
      <c r="G30" s="3"/>
      <c r="H30" s="3"/>
      <c r="I30" s="3"/>
      <c r="J30" s="3"/>
      <c r="K30" s="3"/>
    </row>
    <row r="31" spans="1:11">
      <c r="B31" s="3"/>
      <c r="C31" s="15"/>
      <c r="D31" s="231"/>
      <c r="E31" s="3"/>
      <c r="F31" s="3"/>
      <c r="G31" s="3"/>
      <c r="H31" s="3"/>
      <c r="I31" s="3"/>
      <c r="J31" s="3"/>
      <c r="K31" s="3"/>
    </row>
    <row r="32" spans="1:11">
      <c r="B32" s="3"/>
      <c r="C32" s="15"/>
      <c r="D32" s="231"/>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3" zoomScale="160" zoomScaleNormal="160" zoomScalePageLayoutView="130" workbookViewId="0">
      <selection activeCell="I27" sqref="I27:L27"/>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33203125" customWidth="1"/>
  </cols>
  <sheetData>
    <row r="1" spans="1:16" ht="28.5" customHeight="1">
      <c r="C1" s="227"/>
      <c r="E1" s="228"/>
    </row>
    <row r="2" spans="1:16" ht="27.75" customHeight="1">
      <c r="B2" s="819" t="str">
        <f>+"Dashboard:  "&amp;"  "&amp;IF(+'Data Entry'!C4="Please Select","",'Data Entry'!C4&amp;" - ")&amp;IF('Data Entry'!G6="Please Select","",'Data Entry'!G6)</f>
        <v>Dashboard:    Georgia - HIV / AIDS</v>
      </c>
      <c r="C2" s="819"/>
      <c r="D2" s="819"/>
      <c r="E2" s="819"/>
      <c r="F2" s="819"/>
      <c r="G2" s="819"/>
      <c r="H2" s="819"/>
      <c r="I2" s="819"/>
      <c r="J2" s="819"/>
      <c r="K2" s="819"/>
      <c r="L2" s="819"/>
      <c r="M2" s="26"/>
      <c r="N2" s="26"/>
      <c r="O2" s="26"/>
      <c r="P2" s="26"/>
    </row>
    <row r="3" spans="1:16">
      <c r="B3" s="24" t="str">
        <f>+IF('Data Entry'!G8="Please Select","",'Data Entry'!G8)</f>
        <v>NFM</v>
      </c>
      <c r="C3" s="817" t="str">
        <f>+IF('Data Entry'!I8="Please Select","",'Data Entry'!I8)</f>
        <v>N/A</v>
      </c>
      <c r="D3" s="817"/>
      <c r="E3" s="818"/>
      <c r="F3" s="818"/>
      <c r="G3" s="818"/>
      <c r="H3" s="818"/>
      <c r="I3" s="818"/>
      <c r="J3" s="821" t="str">
        <f>+'Data Entry'!B16</f>
        <v>Report Period:</v>
      </c>
      <c r="K3" s="821"/>
      <c r="L3" s="196" t="str">
        <f>+'Data Entry'!C16</f>
        <v>P4</v>
      </c>
    </row>
    <row r="4" spans="1:16">
      <c r="B4" s="24" t="str">
        <f>+'Data Entry'!B12</f>
        <v>Latest Rating:</v>
      </c>
      <c r="C4" s="804" t="str">
        <f>+IF('Data Entry'!C12="Please Select","",'Data Entry'!C12)</f>
        <v>A2</v>
      </c>
      <c r="D4" s="804"/>
      <c r="E4" s="818" t="str">
        <f>+'Data Entry'!C8</f>
        <v>NCDC</v>
      </c>
      <c r="F4" s="818"/>
      <c r="G4" s="818"/>
      <c r="H4" s="818"/>
      <c r="I4" s="818"/>
      <c r="J4" s="821" t="str">
        <f>+'Data Entry'!D16</f>
        <v>From:</v>
      </c>
      <c r="K4" s="825"/>
      <c r="L4" s="198">
        <f>+IF(ISBLANK('Data Entry'!E16),"",'Data Entry'!E16)</f>
        <v>43922</v>
      </c>
    </row>
    <row r="5" spans="1:16" ht="18.75" customHeight="1">
      <c r="B5" s="24"/>
      <c r="C5" s="24"/>
      <c r="D5" s="818" t="str">
        <f>+'Data Entry'!G4</f>
        <v xml:space="preserve">Sustaining and Scaling up the Effective HIV/AIDS Prevention, Treatment and Care in Georgia </v>
      </c>
      <c r="E5" s="818"/>
      <c r="F5" s="818"/>
      <c r="G5" s="818"/>
      <c r="H5" s="818"/>
      <c r="I5" s="818"/>
      <c r="J5" s="818"/>
      <c r="K5" s="24" t="str">
        <f>+'Data Entry'!F16</f>
        <v>To:</v>
      </c>
      <c r="L5" s="198">
        <f>+IF(ISBLANK('Data Entry'!G16),"",'Data Entry'!G16)</f>
        <v>44012</v>
      </c>
    </row>
    <row r="6" spans="1:16" ht="19">
      <c r="B6" s="23"/>
      <c r="C6" s="24"/>
      <c r="D6" s="25"/>
      <c r="E6" s="820" t="s">
        <v>69</v>
      </c>
      <c r="F6" s="820"/>
      <c r="G6" s="820"/>
      <c r="H6" s="820"/>
      <c r="I6" s="820"/>
    </row>
    <row r="7" spans="1:16">
      <c r="B7" s="368" t="str">
        <f>+'Data Entry'!B68&amp;"                "&amp;+J3&amp;" "&amp;+L3</f>
        <v>M1: Status of Conditions Precedent (CPs) and Time Bound Actions (TBAs)                Report Period: P4</v>
      </c>
      <c r="C7" s="21"/>
      <c r="H7" s="368" t="str">
        <f>+'Data Entry'!B75&amp;"                                                                             "&amp;+J3&amp;"  "&amp;+L3</f>
        <v>M2: Status of key PR management positions                                                                             Report Period:  P4</v>
      </c>
    </row>
    <row r="8" spans="1:16">
      <c r="B8" s="348" t="s">
        <v>9</v>
      </c>
      <c r="C8" s="792"/>
      <c r="D8" s="812"/>
      <c r="E8" s="812"/>
      <c r="F8" s="813"/>
      <c r="G8" s="369"/>
      <c r="H8" s="347" t="s">
        <v>9</v>
      </c>
      <c r="I8" s="792"/>
      <c r="J8" s="814"/>
      <c r="K8" s="814"/>
      <c r="L8" s="815"/>
    </row>
    <row r="9" spans="1:16">
      <c r="B9" s="19"/>
      <c r="C9" s="19"/>
      <c r="D9" s="19"/>
      <c r="E9" s="19"/>
      <c r="F9" s="19"/>
      <c r="G9" s="19"/>
      <c r="H9" s="19"/>
    </row>
    <row r="10" spans="1:16">
      <c r="A10" s="46"/>
      <c r="B10" s="19"/>
      <c r="C10" s="19"/>
      <c r="D10" s="829"/>
      <c r="E10" s="609"/>
      <c r="F10" s="609"/>
      <c r="G10" s="205"/>
      <c r="H10" s="19"/>
      <c r="N10" s="48"/>
      <c r="O10" s="48"/>
      <c r="P10" s="47"/>
    </row>
    <row r="11" spans="1:16">
      <c r="B11" s="19"/>
      <c r="C11" s="28"/>
      <c r="D11" s="829"/>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68" t="str">
        <f>+'Data Entry'!B80&amp;"                                                                                                  "&amp;+J3&amp;" "&amp;+L3</f>
        <v>M3: Contractual arrangements (SRs)                                                                                                   Report Period: P4</v>
      </c>
      <c r="H15" s="368" t="str">
        <f>+'Data Entry'!B85&amp;"                                                             "&amp;+J3&amp;" "&amp;+L3</f>
        <v>M4: Number of complete reports received on time                                                             Report Period: P4</v>
      </c>
    </row>
    <row r="16" spans="1:16">
      <c r="B16" s="348" t="s">
        <v>9</v>
      </c>
      <c r="C16" s="792"/>
      <c r="D16" s="814"/>
      <c r="E16" s="814"/>
      <c r="F16" s="815"/>
      <c r="G16" s="369"/>
      <c r="H16" s="347" t="s">
        <v>9</v>
      </c>
      <c r="I16" s="792"/>
      <c r="J16" s="812"/>
      <c r="K16" s="812"/>
      <c r="L16" s="813"/>
    </row>
    <row r="17" spans="2:13">
      <c r="B17" s="29"/>
      <c r="H17" s="30"/>
    </row>
    <row r="18" spans="2:13">
      <c r="M18" s="82"/>
    </row>
    <row r="26" spans="2:13">
      <c r="B26" s="368" t="str">
        <f>+'Data Entry'!B91</f>
        <v>M5: Budget and Procurement of health products, health equipment, medicines and pharmaceuticals</v>
      </c>
      <c r="H26" s="368" t="str">
        <f>+'Data Entry'!B104&amp;"                                                                "&amp;+J3&amp;"  "&amp;+L3</f>
        <v>M6: Difference between current and safety stock                                                                Report Period:  P4</v>
      </c>
    </row>
    <row r="27" spans="2:13" ht="73" customHeight="1">
      <c r="B27" s="346" t="s">
        <v>9</v>
      </c>
      <c r="C27" s="811"/>
      <c r="D27" s="814"/>
      <c r="E27" s="814"/>
      <c r="F27" s="815"/>
      <c r="G27" s="369"/>
      <c r="H27" s="347" t="s">
        <v>9</v>
      </c>
      <c r="I27" s="826" t="s">
        <v>453</v>
      </c>
      <c r="J27" s="827"/>
      <c r="K27" s="827"/>
      <c r="L27" s="828"/>
    </row>
    <row r="28" spans="2:13" ht="16" thickBot="1"/>
    <row r="29" spans="2:13" ht="55.5" customHeight="1">
      <c r="F29" s="328"/>
      <c r="G29" s="328"/>
      <c r="H29" s="520" t="s">
        <v>32</v>
      </c>
      <c r="I29" s="521" t="s">
        <v>79</v>
      </c>
      <c r="J29" s="522" t="s">
        <v>342</v>
      </c>
      <c r="K29" s="523" t="s">
        <v>330</v>
      </c>
      <c r="L29" s="524" t="s">
        <v>329</v>
      </c>
    </row>
    <row r="30" spans="2:13" ht="25.5" customHeight="1">
      <c r="F30" s="328"/>
      <c r="G30" s="328"/>
      <c r="H30" s="822" t="str">
        <f>+'Data Entry'!B107</f>
        <v>Please Select</v>
      </c>
      <c r="I30" s="327" t="str">
        <f>+'Data Entry'!C107</f>
        <v>Zidovudine/Lamivudine</v>
      </c>
      <c r="J30" s="477">
        <f>+'Data Entry'!I107</f>
        <v>6.5764705882352938</v>
      </c>
      <c r="K30" s="478">
        <f>+'Data Entry'!J107</f>
        <v>6</v>
      </c>
      <c r="L30" s="525">
        <f>J30-K30</f>
        <v>0.57647058823529385</v>
      </c>
    </row>
    <row r="31" spans="2:13">
      <c r="F31" s="328"/>
      <c r="G31" s="328"/>
      <c r="H31" s="823"/>
      <c r="I31" s="327" t="str">
        <f>+'Data Entry'!C108</f>
        <v>Syringes (1ml)</v>
      </c>
      <c r="J31" s="477">
        <f>+'Data Entry'!I108</f>
        <v>7.9272141196364405</v>
      </c>
      <c r="K31" s="478">
        <f>+'Data Entry'!J108</f>
        <v>3</v>
      </c>
      <c r="L31" s="526">
        <f t="shared" ref="L31:L33" si="0">J31-K31</f>
        <v>4.9272141196364405</v>
      </c>
    </row>
    <row r="32" spans="2:13">
      <c r="F32" s="328"/>
      <c r="G32" s="328"/>
      <c r="H32" s="823"/>
      <c r="I32" s="327" t="str">
        <f>+'Data Entry'!C109</f>
        <v>Condoms (FSW&amp;MSM)</v>
      </c>
      <c r="J32" s="477">
        <f>+'Data Entry'!I109</f>
        <v>2.8485024591310713</v>
      </c>
      <c r="K32" s="478">
        <f>+'Data Entry'!J109</f>
        <v>3</v>
      </c>
      <c r="L32" s="527">
        <f t="shared" si="0"/>
        <v>-0.15149754086892875</v>
      </c>
    </row>
    <row r="33" spans="2:12" ht="16" thickBot="1">
      <c r="F33" s="328"/>
      <c r="G33" s="328"/>
      <c r="H33" s="824"/>
      <c r="I33" s="528" t="str">
        <f>+'Data Entry'!C110</f>
        <v>Lubricants (FSW&amp;MSM)</v>
      </c>
      <c r="J33" s="529">
        <f>+'Data Entry'!I110</f>
        <v>3.146414260449065</v>
      </c>
      <c r="K33" s="530">
        <f>+'Data Entry'!J110</f>
        <v>3</v>
      </c>
      <c r="L33" s="531">
        <f t="shared" si="0"/>
        <v>0.14641426044906503</v>
      </c>
    </row>
    <row r="34" spans="2:12" ht="24.75" customHeight="1">
      <c r="B34" s="816" t="str">
        <f>+'Data Entry'!B101</f>
        <v>* Includes only EFR category 4 and 5  (Health products and health equipment &amp; Medicines and Pharmaceuticals)</v>
      </c>
      <c r="C34" s="816"/>
      <c r="D34" s="816"/>
      <c r="E34" s="816"/>
      <c r="F34" s="19"/>
      <c r="G34" s="19"/>
      <c r="H34" s="213"/>
      <c r="I34" s="214"/>
      <c r="J34" s="215"/>
      <c r="K34" s="205"/>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opLeftCell="A2" zoomScale="150" zoomScaleNormal="150" workbookViewId="0">
      <selection activeCell="L24" sqref="L24:Q24"/>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71" t="str">
        <f>+"Dashboard:  "&amp;"  "&amp;IF(+'Data Entry'!C4="Please Select","",'Data Entry'!C4&amp;" - ")&amp;IF('Data Entry'!G6="Please Select","",'Data Entry'!G6)</f>
        <v>Dashboard:    Georgia - HIV / AIDS</v>
      </c>
      <c r="C2" s="871"/>
      <c r="D2" s="871"/>
      <c r="E2" s="871"/>
      <c r="F2" s="871"/>
      <c r="G2" s="871"/>
      <c r="H2" s="871"/>
      <c r="I2" s="871"/>
      <c r="J2" s="871"/>
      <c r="K2" s="871"/>
      <c r="L2" s="871"/>
      <c r="M2" s="871"/>
      <c r="N2" s="871"/>
      <c r="O2" s="871"/>
      <c r="P2" s="871"/>
      <c r="Q2" s="871"/>
    </row>
    <row r="3" spans="1:35" ht="19">
      <c r="A3" s="3"/>
      <c r="B3" s="131" t="str">
        <f>+IF('Data Entry'!G8="Please Select","",'Data Entry'!G8)</f>
        <v>NFM</v>
      </c>
      <c r="C3" s="803" t="str">
        <f>+IF('Data Entry'!I8="Please Select","",'Data Entry'!I8)</f>
        <v>N/A</v>
      </c>
      <c r="D3" s="803"/>
      <c r="E3" s="802"/>
      <c r="F3" s="802"/>
      <c r="G3" s="802"/>
      <c r="H3" s="802"/>
      <c r="I3" s="873"/>
      <c r="J3" s="873"/>
      <c r="K3" s="873"/>
      <c r="L3" s="3"/>
      <c r="M3" s="3"/>
      <c r="O3" s="800" t="str">
        <f>+'Data Entry'!B16</f>
        <v>Report Period:</v>
      </c>
      <c r="P3" s="800"/>
      <c r="Q3" s="197" t="str">
        <f>+'Data Entry'!C16</f>
        <v>P4</v>
      </c>
    </row>
    <row r="4" spans="1:35" ht="12" customHeight="1">
      <c r="A4" s="3"/>
      <c r="B4" s="131" t="str">
        <f>+'Data Entry'!B12</f>
        <v>Latest Rating:</v>
      </c>
      <c r="C4" s="874" t="str">
        <f>+IF('Data Entry'!C12="Please Select","",'Data Entry'!C12)</f>
        <v>A2</v>
      </c>
      <c r="D4" s="874"/>
      <c r="E4" s="802" t="str">
        <f>+'Data Entry'!C8</f>
        <v>NCDC</v>
      </c>
      <c r="F4" s="802"/>
      <c r="G4" s="802"/>
      <c r="H4" s="802"/>
      <c r="I4" s="802"/>
      <c r="J4" s="802"/>
      <c r="K4" s="802"/>
      <c r="L4" s="802"/>
      <c r="M4" s="3"/>
      <c r="O4" s="330"/>
      <c r="P4" s="131" t="str">
        <f>+'Data Entry'!D16</f>
        <v>From:</v>
      </c>
      <c r="Q4" s="331">
        <f>+IF(ISBLANK('Data Entry'!E16),"",'Data Entry'!E16)</f>
        <v>43922</v>
      </c>
      <c r="Y4" s="70"/>
      <c r="Z4" s="70"/>
      <c r="AA4" s="70"/>
      <c r="AB4" s="70"/>
      <c r="AC4" s="70"/>
    </row>
    <row r="5" spans="1:35" ht="15.75" customHeight="1">
      <c r="A5" s="3"/>
      <c r="B5" s="131"/>
      <c r="C5" s="131"/>
      <c r="D5" s="802" t="str">
        <f>+'Data Entry'!G4</f>
        <v xml:space="preserve">Sustaining and Scaling up the Effective HIV/AIDS Prevention, Treatment and Care in Georgia </v>
      </c>
      <c r="E5" s="802"/>
      <c r="F5" s="802"/>
      <c r="G5" s="802"/>
      <c r="H5" s="802"/>
      <c r="I5" s="802"/>
      <c r="J5" s="802"/>
      <c r="K5" s="802"/>
      <c r="L5" s="802"/>
      <c r="M5" s="802"/>
      <c r="N5" s="802"/>
      <c r="P5" s="131" t="str">
        <f>+'Data Entry'!F16</f>
        <v>To:</v>
      </c>
      <c r="Q5" s="331">
        <f>+IF(ISBLANK('Data Entry'!G16),"",'Data Entry'!G16)</f>
        <v>44012</v>
      </c>
      <c r="S5" s="222"/>
      <c r="T5" s="222"/>
      <c r="U5" s="222"/>
      <c r="V5" s="222"/>
      <c r="W5" s="222"/>
      <c r="X5" s="222"/>
      <c r="Y5" s="70"/>
      <c r="Z5" s="70"/>
      <c r="AA5" s="70" t="s">
        <v>42</v>
      </c>
      <c r="AB5" s="70"/>
      <c r="AC5" s="70" t="s">
        <v>264</v>
      </c>
      <c r="AD5" s="222"/>
      <c r="AE5" s="222"/>
      <c r="AF5" s="222"/>
      <c r="AG5" s="222"/>
      <c r="AH5" s="222"/>
      <c r="AI5" s="222"/>
    </row>
    <row r="6" spans="1:35" ht="15.75" customHeight="1">
      <c r="A6" s="3"/>
      <c r="B6" s="131"/>
      <c r="C6" s="131"/>
      <c r="D6" s="220"/>
      <c r="E6" s="220"/>
      <c r="F6" s="872" t="s">
        <v>391</v>
      </c>
      <c r="G6" s="872"/>
      <c r="H6" s="872"/>
      <c r="I6" s="872"/>
      <c r="J6" s="872"/>
      <c r="K6" s="872"/>
      <c r="L6" s="220"/>
      <c r="M6" s="3"/>
      <c r="N6" s="3"/>
      <c r="O6" s="199"/>
      <c r="P6" s="255"/>
      <c r="S6" s="222"/>
      <c r="T6" s="222"/>
      <c r="U6" s="222"/>
      <c r="V6" s="222"/>
      <c r="W6" s="222"/>
      <c r="X6" s="222"/>
      <c r="Y6" s="70"/>
      <c r="Z6" s="70"/>
      <c r="AA6" s="70"/>
      <c r="AB6" s="70"/>
      <c r="AC6" s="70"/>
      <c r="AD6" s="222"/>
      <c r="AE6" s="222"/>
      <c r="AF6" s="222"/>
      <c r="AG6" s="222"/>
      <c r="AH6" s="222"/>
      <c r="AI6" s="222"/>
    </row>
    <row r="7" spans="1:35" ht="3" customHeight="1">
      <c r="A7" s="3"/>
      <c r="B7" s="131"/>
      <c r="C7" s="131"/>
      <c r="D7" s="220"/>
      <c r="E7" s="220"/>
      <c r="F7" s="220"/>
      <c r="G7" s="220"/>
      <c r="H7" s="220"/>
      <c r="I7" s="220"/>
      <c r="J7" s="220"/>
      <c r="K7" s="220"/>
      <c r="L7" s="220"/>
      <c r="M7" s="3"/>
      <c r="N7" s="3"/>
      <c r="O7" s="199"/>
      <c r="P7" s="198"/>
      <c r="Q7" s="198"/>
      <c r="S7" s="222"/>
      <c r="T7" s="222"/>
      <c r="U7" s="222"/>
      <c r="V7" s="222"/>
      <c r="W7" s="222"/>
      <c r="X7" s="222"/>
      <c r="Y7" s="70"/>
      <c r="Z7" s="70"/>
      <c r="AA7" s="70"/>
      <c r="AB7" s="70"/>
      <c r="AC7" s="70"/>
      <c r="AD7" s="222"/>
      <c r="AE7" s="222"/>
      <c r="AF7" s="222"/>
      <c r="AG7" s="222"/>
      <c r="AH7" s="222"/>
      <c r="AI7" s="222"/>
    </row>
    <row r="8" spans="1:35" ht="18.75" customHeight="1">
      <c r="A8" s="3"/>
      <c r="B8" s="834" t="str">
        <f>+'Data Entry'!B117</f>
        <v>Percentage of PWID that have received an HIV test during the reporting period and know their results</v>
      </c>
      <c r="C8" s="834"/>
      <c r="D8" s="834"/>
      <c r="E8" s="834"/>
      <c r="F8" s="834" t="str">
        <f>+'Data Entry'!B119</f>
        <v>Percentage of MSM reached with HIV prevention programs - defined package of services</v>
      </c>
      <c r="G8" s="834"/>
      <c r="H8" s="834"/>
      <c r="I8" s="834"/>
      <c r="J8" s="834"/>
      <c r="K8" s="834"/>
      <c r="L8" s="834" t="str">
        <f>+'Data Entry'!B121</f>
        <v xml:space="preserve">Percentage of people living with HIV currently receiving antiretroviral therapy </v>
      </c>
      <c r="M8" s="834"/>
      <c r="N8" s="834"/>
      <c r="O8" s="834"/>
      <c r="P8" s="834"/>
      <c r="Q8" s="834"/>
      <c r="S8" s="222"/>
      <c r="T8" s="222"/>
      <c r="U8" s="222"/>
      <c r="V8" s="222"/>
      <c r="W8" s="222"/>
      <c r="X8" s="222"/>
      <c r="Y8" s="70"/>
      <c r="Z8" s="70"/>
      <c r="AA8" s="70"/>
      <c r="AB8" s="70"/>
      <c r="AC8" s="70"/>
      <c r="AD8" s="222"/>
      <c r="AE8" s="222"/>
      <c r="AF8" s="222"/>
      <c r="AG8" s="222"/>
      <c r="AH8" s="222"/>
      <c r="AI8" s="222"/>
    </row>
    <row r="9" spans="1:35" ht="24" customHeight="1">
      <c r="A9" s="3"/>
      <c r="B9" s="432" t="s">
        <v>409</v>
      </c>
      <c r="C9" s="831"/>
      <c r="D9" s="835"/>
      <c r="E9" s="836"/>
      <c r="F9" s="432" t="s">
        <v>410</v>
      </c>
      <c r="G9" s="831"/>
      <c r="H9" s="837"/>
      <c r="I9" s="837"/>
      <c r="J9" s="837"/>
      <c r="K9" s="838"/>
      <c r="L9" s="432" t="s">
        <v>411</v>
      </c>
      <c r="M9" s="831"/>
      <c r="N9" s="832"/>
      <c r="O9" s="832"/>
      <c r="P9" s="832"/>
      <c r="Q9" s="833"/>
      <c r="S9" s="222"/>
      <c r="T9" s="222"/>
      <c r="U9" s="222"/>
      <c r="V9" s="222"/>
      <c r="W9" s="222"/>
      <c r="X9" s="222"/>
      <c r="Y9" s="222"/>
      <c r="Z9" s="222"/>
      <c r="AA9" s="222"/>
      <c r="AB9" s="222"/>
      <c r="AC9" s="222"/>
      <c r="AD9" s="222"/>
      <c r="AE9" s="222"/>
      <c r="AF9" s="222"/>
      <c r="AG9" s="222"/>
      <c r="AH9" s="222"/>
      <c r="AI9" s="222"/>
    </row>
    <row r="10" spans="1:35" ht="18.75" customHeight="1">
      <c r="A10" s="3"/>
      <c r="B10" s="131"/>
      <c r="C10" s="131"/>
      <c r="D10" s="220"/>
      <c r="E10" s="220"/>
      <c r="F10" s="220"/>
      <c r="G10" s="220"/>
      <c r="H10" s="220"/>
      <c r="I10" s="220"/>
      <c r="J10" s="220"/>
      <c r="K10" s="220"/>
      <c r="L10" s="220"/>
      <c r="M10" s="3"/>
      <c r="N10" s="3"/>
      <c r="O10" s="199"/>
      <c r="P10" s="198"/>
      <c r="S10" s="222"/>
      <c r="T10" s="222"/>
      <c r="U10" s="222"/>
      <c r="V10" s="222"/>
      <c r="W10" s="222"/>
      <c r="X10" s="222"/>
      <c r="Y10" s="222"/>
      <c r="Z10" s="222"/>
      <c r="AA10" s="222"/>
      <c r="AB10" s="222"/>
      <c r="AC10" s="222"/>
      <c r="AD10" s="222"/>
      <c r="AE10" s="222"/>
      <c r="AF10" s="222"/>
      <c r="AG10" s="222"/>
      <c r="AH10" s="222"/>
      <c r="AI10" s="222"/>
    </row>
    <row r="11" spans="1:35" ht="18.75" customHeight="1">
      <c r="A11" s="3"/>
      <c r="B11" s="131"/>
      <c r="C11" s="131"/>
      <c r="D11" s="220"/>
      <c r="E11" s="220"/>
      <c r="F11" s="220"/>
      <c r="G11" s="220"/>
      <c r="H11" s="220"/>
      <c r="I11" s="220"/>
      <c r="J11" s="220"/>
      <c r="K11" s="220"/>
      <c r="L11" s="220"/>
      <c r="M11" s="3"/>
      <c r="N11" s="3"/>
      <c r="O11" s="199"/>
      <c r="P11" s="198"/>
      <c r="S11" s="222"/>
      <c r="T11" s="222"/>
      <c r="U11" s="222"/>
      <c r="V11" s="222"/>
      <c r="W11" s="222"/>
      <c r="X11" s="222"/>
      <c r="Y11" s="222"/>
      <c r="Z11" s="222"/>
      <c r="AA11" s="222"/>
      <c r="AB11" s="222"/>
      <c r="AC11" s="222"/>
      <c r="AD11" s="222"/>
      <c r="AE11" s="222"/>
      <c r="AF11" s="222"/>
      <c r="AG11" s="222"/>
      <c r="AH11" s="222"/>
      <c r="AI11" s="222"/>
    </row>
    <row r="12" spans="1:35" ht="18.75" customHeight="1">
      <c r="A12" s="3"/>
      <c r="B12" s="131"/>
      <c r="C12" s="131"/>
      <c r="D12" s="220"/>
      <c r="E12" s="220"/>
      <c r="F12" s="220"/>
      <c r="G12" s="220"/>
      <c r="H12" s="220"/>
      <c r="I12" s="220"/>
      <c r="J12" s="220"/>
      <c r="K12" s="220"/>
      <c r="L12" s="220"/>
      <c r="M12" s="3"/>
      <c r="N12" s="3"/>
      <c r="O12" s="199"/>
      <c r="P12" s="198"/>
      <c r="S12" s="222"/>
      <c r="T12" s="222"/>
      <c r="U12" s="222"/>
      <c r="V12" s="222"/>
      <c r="W12" s="222"/>
      <c r="X12" s="222"/>
      <c r="Y12" s="222"/>
      <c r="Z12" s="222"/>
      <c r="AA12" s="222"/>
      <c r="AB12" s="222"/>
      <c r="AC12" s="222"/>
      <c r="AD12" s="222"/>
      <c r="AE12" s="222"/>
      <c r="AF12" s="222"/>
      <c r="AG12" s="222"/>
      <c r="AH12" s="222"/>
      <c r="AI12" s="222"/>
    </row>
    <row r="13" spans="1:35" ht="18.75" customHeight="1">
      <c r="A13" s="3"/>
      <c r="B13" s="131"/>
      <c r="C13" s="131"/>
      <c r="D13" s="220"/>
      <c r="E13" s="220"/>
      <c r="F13" s="220"/>
      <c r="G13" s="220"/>
      <c r="H13" s="220"/>
      <c r="I13" s="220"/>
      <c r="J13" s="220"/>
      <c r="K13" s="220"/>
      <c r="L13" s="220"/>
      <c r="M13" s="3"/>
      <c r="N13" s="3"/>
      <c r="O13" s="199"/>
      <c r="P13" s="198"/>
      <c r="S13" s="222"/>
      <c r="T13" s="222"/>
      <c r="U13" s="222"/>
      <c r="V13" s="222"/>
      <c r="W13" s="222"/>
      <c r="X13" s="222"/>
      <c r="Y13" s="222"/>
      <c r="Z13" s="222"/>
      <c r="AA13" s="222"/>
      <c r="AB13" s="222"/>
      <c r="AC13" s="222"/>
      <c r="AD13" s="222"/>
      <c r="AE13" s="222"/>
      <c r="AF13" s="222"/>
      <c r="AG13" s="222"/>
      <c r="AH13" s="222"/>
      <c r="AI13" s="222"/>
    </row>
    <row r="14" spans="1:35" ht="18.75" customHeight="1">
      <c r="A14" s="3"/>
      <c r="B14" s="131"/>
      <c r="C14" s="131"/>
      <c r="D14" s="220"/>
      <c r="E14" s="220"/>
      <c r="F14" s="220"/>
      <c r="G14" s="220"/>
      <c r="H14" s="220"/>
      <c r="I14" s="220"/>
      <c r="J14" s="220"/>
      <c r="K14" s="220"/>
      <c r="L14" s="220"/>
      <c r="M14" s="3"/>
      <c r="N14" s="3"/>
      <c r="O14" s="199"/>
      <c r="P14" s="198"/>
      <c r="S14" s="222"/>
      <c r="T14" s="222"/>
      <c r="U14" s="222"/>
      <c r="V14" s="222"/>
      <c r="W14" s="222"/>
      <c r="X14" s="222"/>
      <c r="Y14" s="222"/>
      <c r="Z14" s="222"/>
      <c r="AA14" s="222"/>
      <c r="AB14" s="222"/>
      <c r="AC14" s="222"/>
      <c r="AD14" s="222"/>
      <c r="AE14" s="222"/>
      <c r="AF14" s="222"/>
      <c r="AG14" s="222"/>
      <c r="AH14" s="222"/>
      <c r="AI14" s="222"/>
    </row>
    <row r="15" spans="1:35" ht="18.75" customHeight="1">
      <c r="A15" s="3"/>
      <c r="B15" s="131"/>
      <c r="C15" s="131"/>
      <c r="D15" s="220"/>
      <c r="E15" s="220"/>
      <c r="F15" s="220"/>
      <c r="G15" s="220"/>
      <c r="H15" s="220"/>
      <c r="I15" s="220"/>
      <c r="J15" s="220"/>
      <c r="K15" s="220"/>
      <c r="L15" s="220"/>
      <c r="M15" s="3"/>
      <c r="N15" s="3"/>
      <c r="O15" s="199"/>
      <c r="P15" s="198"/>
      <c r="S15" s="222"/>
      <c r="T15" s="222"/>
      <c r="U15" s="222"/>
      <c r="V15" s="222"/>
      <c r="W15" s="222"/>
      <c r="X15" s="222"/>
      <c r="Y15" s="222"/>
      <c r="Z15" s="222"/>
      <c r="AA15" s="222"/>
      <c r="AB15" s="222"/>
      <c r="AC15" s="222"/>
      <c r="AD15" s="222"/>
      <c r="AE15" s="222"/>
      <c r="AF15" s="222"/>
      <c r="AG15" s="222"/>
      <c r="AH15" s="222"/>
      <c r="AI15" s="222"/>
    </row>
    <row r="16" spans="1:35" ht="18.75" customHeight="1">
      <c r="A16" s="3"/>
      <c r="B16" s="131"/>
      <c r="C16" s="131"/>
      <c r="D16" s="220"/>
      <c r="E16" s="220"/>
      <c r="F16" s="220"/>
      <c r="G16" s="220"/>
      <c r="H16" s="220"/>
      <c r="I16" s="220"/>
      <c r="J16" s="220"/>
      <c r="K16" s="220"/>
      <c r="L16" s="220"/>
      <c r="M16" s="3"/>
      <c r="N16" s="3"/>
      <c r="O16" s="199"/>
      <c r="P16" s="198"/>
      <c r="S16" s="222"/>
      <c r="T16" s="222"/>
      <c r="U16" s="222"/>
      <c r="V16" s="222"/>
      <c r="W16" s="222"/>
      <c r="X16" s="222"/>
      <c r="Y16" s="222"/>
      <c r="Z16" s="222"/>
      <c r="AA16" s="222"/>
      <c r="AB16" s="222"/>
      <c r="AC16" s="222"/>
      <c r="AD16" s="222"/>
      <c r="AE16" s="222"/>
      <c r="AF16" s="222"/>
      <c r="AG16" s="222"/>
      <c r="AH16" s="222"/>
      <c r="AI16" s="222"/>
    </row>
    <row r="17" spans="1:35" ht="17.25" customHeight="1">
      <c r="A17" s="3"/>
      <c r="B17" s="131"/>
      <c r="C17" s="131"/>
      <c r="D17" s="220"/>
      <c r="E17" s="220"/>
      <c r="F17" s="220"/>
      <c r="G17" s="220"/>
      <c r="H17" s="220"/>
      <c r="I17" s="220"/>
      <c r="J17" s="220"/>
      <c r="K17" s="220"/>
      <c r="L17" s="220"/>
      <c r="M17" s="3"/>
      <c r="N17" s="3"/>
      <c r="O17" s="199"/>
      <c r="P17" s="198"/>
      <c r="S17" s="222"/>
      <c r="T17" s="222"/>
      <c r="U17" s="222"/>
      <c r="V17" s="222"/>
      <c r="W17" s="222"/>
      <c r="X17" s="222"/>
      <c r="Y17" s="222"/>
      <c r="Z17" s="222"/>
      <c r="AA17" s="222"/>
      <c r="AB17" s="222"/>
      <c r="AC17" s="222"/>
      <c r="AD17" s="222"/>
      <c r="AE17" s="222"/>
      <c r="AF17" s="222"/>
      <c r="AG17" s="222"/>
      <c r="AH17" s="222"/>
      <c r="AI17" s="222"/>
    </row>
    <row r="18" spans="1:35" ht="6" customHeight="1">
      <c r="A18" s="3"/>
      <c r="B18" s="135"/>
      <c r="C18" s="131"/>
      <c r="D18" s="132"/>
      <c r="E18" s="844"/>
      <c r="F18" s="844"/>
      <c r="G18" s="844"/>
      <c r="H18" s="844"/>
      <c r="I18" s="844"/>
      <c r="J18" s="844"/>
      <c r="K18" s="844"/>
      <c r="L18" s="3"/>
      <c r="M18" s="3"/>
      <c r="N18" s="3"/>
      <c r="O18" s="3"/>
      <c r="P18" s="3"/>
      <c r="S18" s="222"/>
      <c r="T18" s="222"/>
      <c r="U18" s="222"/>
      <c r="V18" s="222"/>
      <c r="W18" s="222"/>
      <c r="X18" s="222"/>
      <c r="Y18" s="222"/>
      <c r="Z18" s="222"/>
      <c r="AA18" s="222"/>
      <c r="AB18" s="222"/>
      <c r="AC18" s="222"/>
      <c r="AD18" s="222"/>
      <c r="AE18" s="222"/>
      <c r="AF18" s="222"/>
      <c r="AG18" s="222"/>
      <c r="AH18" s="222"/>
      <c r="AI18" s="222"/>
    </row>
    <row r="19" spans="1:35" ht="24" customHeight="1">
      <c r="A19" s="3"/>
      <c r="B19" s="845" t="s">
        <v>88</v>
      </c>
      <c r="C19" s="845"/>
      <c r="D19" s="845"/>
      <c r="E19" s="142" t="s">
        <v>85</v>
      </c>
      <c r="F19" s="142" t="s">
        <v>89</v>
      </c>
      <c r="G19" s="840" t="s">
        <v>331</v>
      </c>
      <c r="H19" s="841"/>
      <c r="I19" s="842" t="s">
        <v>332</v>
      </c>
      <c r="J19" s="843"/>
      <c r="K19" s="329" t="s">
        <v>333</v>
      </c>
      <c r="L19" s="846" t="s">
        <v>92</v>
      </c>
      <c r="M19" s="847"/>
      <c r="N19" s="847"/>
      <c r="O19" s="847"/>
      <c r="P19" s="847"/>
      <c r="Q19" s="848"/>
      <c r="S19" s="64" t="s">
        <v>90</v>
      </c>
      <c r="T19" s="65">
        <v>0</v>
      </c>
      <c r="U19" s="66">
        <v>0.3</v>
      </c>
      <c r="V19" s="66">
        <v>0.6</v>
      </c>
      <c r="W19" s="66">
        <v>0.9</v>
      </c>
      <c r="X19" s="66">
        <v>1</v>
      </c>
      <c r="Y19" s="70"/>
      <c r="Z19" s="70"/>
      <c r="AA19" s="64" t="s">
        <v>90</v>
      </c>
      <c r="AB19" s="65">
        <v>0</v>
      </c>
      <c r="AC19" s="66">
        <v>0.2</v>
      </c>
      <c r="AD19" s="66">
        <v>0.4</v>
      </c>
      <c r="AE19" s="66">
        <v>0.6</v>
      </c>
      <c r="AF19" s="66">
        <v>0.8</v>
      </c>
      <c r="AG19" s="70"/>
      <c r="AH19" s="70"/>
      <c r="AI19" s="70"/>
    </row>
    <row r="20" spans="1:35" ht="76.5" customHeight="1">
      <c r="A20" s="3"/>
      <c r="B20" s="839" t="str">
        <f>+'Data Entry'!B117</f>
        <v>Percentage of PWID that have received an HIV test during the reporting period and know their results</v>
      </c>
      <c r="C20" s="839"/>
      <c r="D20" s="839"/>
      <c r="E20" s="450">
        <f ca="1">OFFSET('Data Entry'!$G$116,1,RIGHT('Data Entry'!$C$16,LEN('Data Entry'!$C$16)-1),1,1)</f>
        <v>17720</v>
      </c>
      <c r="F20" s="450">
        <f ca="1">OFFSET('Data Entry'!$G$116,2,RIGHT('Data Entry'!$C$16,LEN('Data Entry'!$C$16)-1),1,1)</f>
        <v>8847</v>
      </c>
      <c r="G20" s="862">
        <f t="shared" ref="G20:G27" ca="1" si="0">+IF(ISERROR(F20/E20),0,F20/E20)</f>
        <v>0.49926636568848759</v>
      </c>
      <c r="H20" s="863"/>
      <c r="I20" s="863"/>
      <c r="J20" s="863"/>
      <c r="K20" s="864"/>
      <c r="L20" s="851" t="s">
        <v>454</v>
      </c>
      <c r="M20" s="852"/>
      <c r="N20" s="852"/>
      <c r="O20" s="852"/>
      <c r="P20" s="852"/>
      <c r="Q20" s="853"/>
      <c r="S20" s="64" t="s">
        <v>91</v>
      </c>
      <c r="T20" s="67">
        <v>0.3</v>
      </c>
      <c r="U20" s="66">
        <v>0.6</v>
      </c>
      <c r="V20" s="66">
        <v>0.9</v>
      </c>
      <c r="W20" s="66">
        <v>1</v>
      </c>
      <c r="X20" s="66">
        <v>2</v>
      </c>
      <c r="Y20" s="70"/>
      <c r="Z20" s="70"/>
      <c r="AA20" s="64" t="s">
        <v>91</v>
      </c>
      <c r="AB20" s="67">
        <v>0.2</v>
      </c>
      <c r="AC20" s="66">
        <v>0.4</v>
      </c>
      <c r="AD20" s="66">
        <v>0.6</v>
      </c>
      <c r="AE20" s="66">
        <v>0.8</v>
      </c>
      <c r="AF20" s="66">
        <v>1</v>
      </c>
      <c r="AG20" s="70"/>
      <c r="AH20" s="70"/>
      <c r="AI20" s="70"/>
    </row>
    <row r="21" spans="1:35" ht="92.25" customHeight="1">
      <c r="A21" s="3"/>
      <c r="B21" s="839" t="str">
        <f>+'Data Entry'!B119</f>
        <v>Percentage of MSM reached with HIV prevention programs - defined package of services</v>
      </c>
      <c r="C21" s="839"/>
      <c r="D21" s="839"/>
      <c r="E21" s="450">
        <f ca="1">OFFSET('Data Entry'!$G$116,3,RIGHT('Data Entry'!$C$16,LEN('Data Entry'!$C$16)-1),1,1)</f>
        <v>4625</v>
      </c>
      <c r="F21" s="450">
        <f ca="1">OFFSET('Data Entry'!$G$116,4,RIGHT('Data Entry'!$C$16,LEN('Data Entry'!$C$16)-1),1,1)</f>
        <v>2486</v>
      </c>
      <c r="G21" s="862">
        <f t="shared" ca="1" si="0"/>
        <v>0.53751351351351351</v>
      </c>
      <c r="H21" s="863"/>
      <c r="I21" s="863"/>
      <c r="J21" s="863"/>
      <c r="K21" s="864"/>
      <c r="L21" s="851" t="s">
        <v>454</v>
      </c>
      <c r="M21" s="852"/>
      <c r="N21" s="852"/>
      <c r="O21" s="852"/>
      <c r="P21" s="852"/>
      <c r="Q21" s="853"/>
      <c r="S21" s="68"/>
      <c r="T21" s="69" t="str">
        <f>"de "&amp;T19&amp;" a "&amp;T20</f>
        <v>de 0 a 0.3</v>
      </c>
      <c r="U21" s="69" t="str">
        <f>"de "&amp;U19&amp;" a "&amp;U20</f>
        <v>de 0.3 a 0.6</v>
      </c>
      <c r="V21" s="69" t="str">
        <f>"de "&amp;V19&amp;" a "&amp;V20</f>
        <v>de 0.6 a 0.9</v>
      </c>
      <c r="W21" s="69"/>
      <c r="X21" s="69"/>
      <c r="Y21" s="70"/>
      <c r="Z21" s="70"/>
      <c r="AA21" s="68"/>
      <c r="AB21" s="69"/>
      <c r="AC21" s="69"/>
      <c r="AD21" s="69" t="str">
        <f>"de "&amp;AD19&amp;" a "&amp;AD20</f>
        <v>de 0.4 a 0.6</v>
      </c>
      <c r="AE21" s="69" t="str">
        <f>"de "&amp;AE19&amp;" a "&amp;AE20</f>
        <v>de 0.6 a 0.8</v>
      </c>
      <c r="AF21" s="69" t="str">
        <f>"de "&amp;AF19&amp;" a "&amp;AF20</f>
        <v>de 0.8 a 1</v>
      </c>
      <c r="AG21" s="70"/>
      <c r="AH21" s="70"/>
      <c r="AI21" s="70"/>
    </row>
    <row r="22" spans="1:35" ht="82" customHeight="1">
      <c r="A22" s="3"/>
      <c r="B22" s="839" t="str">
        <f>+'Data Entry'!B121</f>
        <v xml:space="preserve">Percentage of people living with HIV currently receiving antiretroviral therapy </v>
      </c>
      <c r="C22" s="839"/>
      <c r="D22" s="839"/>
      <c r="E22" s="450">
        <f ca="1">OFFSET('Data Entry'!$G$116,5,RIGHT('Data Entry'!$C$16,LEN('Data Entry'!$C$16)-1),1,1)</f>
        <v>6110</v>
      </c>
      <c r="F22" s="450">
        <f ca="1">OFFSET('Data Entry'!$G$116,6,RIGHT('Data Entry'!$C$16,LEN('Data Entry'!$C$16)-1),1,1)</f>
        <v>5245</v>
      </c>
      <c r="G22" s="862">
        <f t="shared" ca="1" si="0"/>
        <v>0.85842880523731591</v>
      </c>
      <c r="H22" s="863"/>
      <c r="I22" s="863"/>
      <c r="J22" s="863"/>
      <c r="K22" s="864"/>
      <c r="L22" s="851" t="s">
        <v>456</v>
      </c>
      <c r="M22" s="852"/>
      <c r="N22" s="852"/>
      <c r="O22" s="852"/>
      <c r="P22" s="852"/>
      <c r="Q22" s="853"/>
      <c r="S22" s="68"/>
      <c r="T22" s="66" t="e">
        <f t="shared" ref="T22:W33" si="1">IF($K20&gt;T$19,IF($K20&lt;=T$20,$K20,NA()),NA())</f>
        <v>#N/A</v>
      </c>
      <c r="U22" s="66" t="e">
        <f t="shared" si="1"/>
        <v>#N/A</v>
      </c>
      <c r="V22" s="66" t="e">
        <f t="shared" si="1"/>
        <v>#N/A</v>
      </c>
      <c r="W22" s="66"/>
      <c r="X22" s="66"/>
      <c r="Y22" s="70"/>
      <c r="Z22" s="195"/>
      <c r="AA22" s="66"/>
      <c r="AB22" s="66"/>
      <c r="AC22" s="66"/>
      <c r="AD22" s="66" t="e">
        <f t="shared" ref="AD22:AF24" si="2">IF($AA22&gt;AD$19,IF($AA22&lt;=AD$20,$AA22,NA()),NA())</f>
        <v>#N/A</v>
      </c>
      <c r="AE22" s="66" t="e">
        <f t="shared" si="2"/>
        <v>#N/A</v>
      </c>
      <c r="AF22" s="66" t="e">
        <f t="shared" si="2"/>
        <v>#N/A</v>
      </c>
      <c r="AG22" s="70"/>
      <c r="AH22" s="70"/>
      <c r="AI22" s="70"/>
    </row>
    <row r="23" spans="1:35" ht="72.75" customHeight="1">
      <c r="A23" s="3"/>
      <c r="B23" s="859" t="str">
        <f>+'Data Entry'!B123</f>
        <v>Percentage of PWID reached with HIV prevention programs - defined package of services</v>
      </c>
      <c r="C23" s="860"/>
      <c r="D23" s="861"/>
      <c r="E23" s="450">
        <f ca="1">OFFSET('Data Entry'!$G$116,7,RIGHT('Data Entry'!$C$16,LEN('Data Entry'!$C$16)-1),1,1)</f>
        <v>19025</v>
      </c>
      <c r="F23" s="450">
        <f ca="1">OFFSET('Data Entry'!$G$116,8,RIGHT('Data Entry'!$C$16,LEN('Data Entry'!$C$16)-1),1,1)</f>
        <v>17517</v>
      </c>
      <c r="G23" s="862">
        <f t="shared" ca="1" si="0"/>
        <v>0.92073587385019706</v>
      </c>
      <c r="H23" s="863"/>
      <c r="I23" s="863"/>
      <c r="J23" s="863"/>
      <c r="K23" s="864"/>
      <c r="L23" s="855"/>
      <c r="M23" s="856"/>
      <c r="N23" s="856"/>
      <c r="O23" s="856"/>
      <c r="P23" s="856"/>
      <c r="Q23" s="857"/>
      <c r="S23" s="68"/>
      <c r="T23" s="66" t="e">
        <f t="shared" si="1"/>
        <v>#N/A</v>
      </c>
      <c r="U23" s="66" t="e">
        <f t="shared" si="1"/>
        <v>#N/A</v>
      </c>
      <c r="V23" s="66" t="e">
        <f t="shared" si="1"/>
        <v>#N/A</v>
      </c>
      <c r="W23" s="66"/>
      <c r="X23" s="66"/>
      <c r="Y23" s="70"/>
      <c r="Z23" s="195"/>
      <c r="AA23" s="66"/>
      <c r="AB23" s="66"/>
      <c r="AC23" s="66"/>
      <c r="AD23" s="66" t="e">
        <f t="shared" si="2"/>
        <v>#N/A</v>
      </c>
      <c r="AE23" s="66" t="e">
        <f t="shared" si="2"/>
        <v>#N/A</v>
      </c>
      <c r="AF23" s="66" t="e">
        <f t="shared" si="2"/>
        <v>#N/A</v>
      </c>
      <c r="AG23" s="70"/>
      <c r="AH23" s="70"/>
      <c r="AI23" s="70"/>
    </row>
    <row r="24" spans="1:35" ht="81.75" customHeight="1">
      <c r="A24" s="3"/>
      <c r="B24" s="839" t="str">
        <f>+'Data Entry'!B125</f>
        <v>Percentage of MSM that have received an HIV test during the reporting period and know their results</v>
      </c>
      <c r="C24" s="839"/>
      <c r="D24" s="839"/>
      <c r="E24" s="450">
        <f ca="1">OFFSET('Data Entry'!$G$116,9,RIGHT('Data Entry'!$C$16,LEN('Data Entry'!$C$16)-1),1,1)</f>
        <v>3700</v>
      </c>
      <c r="F24" s="450">
        <f ca="1">OFFSET('Data Entry'!$G$116,10,RIGHT('Data Entry'!$C$16,LEN('Data Entry'!$C$16)-1),1,1)</f>
        <v>2281</v>
      </c>
      <c r="G24" s="865">
        <f t="shared" ca="1" si="0"/>
        <v>0.61648648648648652</v>
      </c>
      <c r="H24" s="866"/>
      <c r="I24" s="866"/>
      <c r="J24" s="866"/>
      <c r="K24" s="867"/>
      <c r="L24" s="851" t="s">
        <v>454</v>
      </c>
      <c r="M24" s="852"/>
      <c r="N24" s="852"/>
      <c r="O24" s="852"/>
      <c r="P24" s="852"/>
      <c r="Q24" s="853"/>
      <c r="S24" s="68"/>
      <c r="T24" s="66" t="e">
        <f t="shared" si="1"/>
        <v>#N/A</v>
      </c>
      <c r="U24" s="66" t="e">
        <f t="shared" si="1"/>
        <v>#N/A</v>
      </c>
      <c r="V24" s="66" t="e">
        <f t="shared" si="1"/>
        <v>#N/A</v>
      </c>
      <c r="W24" s="66"/>
      <c r="X24" s="66"/>
      <c r="Y24" s="70"/>
      <c r="Z24" s="195"/>
      <c r="AA24" s="66"/>
      <c r="AB24" s="66"/>
      <c r="AC24" s="66"/>
      <c r="AD24" s="66" t="e">
        <f t="shared" si="2"/>
        <v>#N/A</v>
      </c>
      <c r="AE24" s="66" t="e">
        <f t="shared" si="2"/>
        <v>#N/A</v>
      </c>
      <c r="AF24" s="66" t="e">
        <f t="shared" si="2"/>
        <v>#N/A</v>
      </c>
      <c r="AG24" s="70"/>
      <c r="AH24" s="70"/>
      <c r="AI24" s="70"/>
    </row>
    <row r="25" spans="1:35" ht="51" customHeight="1">
      <c r="A25" s="3"/>
      <c r="B25" s="839" t="str">
        <f>+'Data Entry'!B127</f>
        <v>Percentage of sex workers reached with HIV prevention programs - defined package of services</v>
      </c>
      <c r="C25" s="839"/>
      <c r="D25" s="839"/>
      <c r="E25" s="450">
        <f ca="1">OFFSET('Data Entry'!$G$116,11,RIGHT('Data Entry'!$C$16,LEN('Data Entry'!$C$16)-1),1,1)</f>
        <v>2100</v>
      </c>
      <c r="F25" s="450">
        <f ca="1">OFFSET('Data Entry'!$G$116,12,RIGHT('Data Entry'!$C$16,LEN('Data Entry'!$C$16)-1),1,1)</f>
        <v>1675</v>
      </c>
      <c r="G25" s="862">
        <f t="shared" ca="1" si="0"/>
        <v>0.79761904761904767</v>
      </c>
      <c r="H25" s="863"/>
      <c r="I25" s="863"/>
      <c r="J25" s="863"/>
      <c r="K25" s="864"/>
      <c r="L25" s="851" t="s">
        <v>454</v>
      </c>
      <c r="M25" s="852"/>
      <c r="N25" s="852"/>
      <c r="O25" s="852"/>
      <c r="P25" s="852"/>
      <c r="Q25" s="853"/>
      <c r="S25" s="68"/>
      <c r="T25" s="66" t="e">
        <f t="shared" si="1"/>
        <v>#N/A</v>
      </c>
      <c r="U25" s="66" t="e">
        <f t="shared" si="1"/>
        <v>#N/A</v>
      </c>
      <c r="V25" s="66" t="e">
        <f t="shared" si="1"/>
        <v>#N/A</v>
      </c>
      <c r="W25" s="66"/>
      <c r="X25" s="66"/>
      <c r="Y25" s="70"/>
      <c r="Z25" s="70"/>
      <c r="AA25" s="70"/>
      <c r="AB25" s="70"/>
      <c r="AC25" s="70"/>
      <c r="AD25" s="70"/>
      <c r="AE25" s="70"/>
      <c r="AF25" s="70"/>
      <c r="AG25" s="70"/>
      <c r="AH25" s="70"/>
      <c r="AI25" s="70"/>
    </row>
    <row r="26" spans="1:35" ht="75" customHeight="1">
      <c r="A26" s="3"/>
      <c r="B26" s="839" t="str">
        <f>+'Data Entry'!B129</f>
        <v>Percentage of sex workers that have received an HIV test during the reporting period and know their results</v>
      </c>
      <c r="C26" s="839"/>
      <c r="D26" s="839"/>
      <c r="E26" s="450">
        <f ca="1">OFFSET('Data Entry'!$G$116,13,RIGHT('Data Entry'!$C$16,LEN('Data Entry'!$C$16)-1),1,1)</f>
        <v>1625</v>
      </c>
      <c r="F26" s="450">
        <f ca="1">OFFSET('Data Entry'!$G$116,14,RIGHT('Data Entry'!$C$16,LEN('Data Entry'!$C$16)-1),1,1)</f>
        <v>712</v>
      </c>
      <c r="G26" s="862">
        <f t="shared" ca="1" si="0"/>
        <v>0.43815384615384617</v>
      </c>
      <c r="H26" s="863"/>
      <c r="I26" s="863"/>
      <c r="J26" s="863"/>
      <c r="K26" s="864"/>
      <c r="L26" s="851" t="s">
        <v>454</v>
      </c>
      <c r="M26" s="852"/>
      <c r="N26" s="852"/>
      <c r="O26" s="852"/>
      <c r="P26" s="852"/>
      <c r="Q26" s="853"/>
      <c r="S26" s="68"/>
      <c r="T26" s="66" t="e">
        <f t="shared" si="1"/>
        <v>#N/A</v>
      </c>
      <c r="U26" s="66" t="e">
        <f t="shared" si="1"/>
        <v>#N/A</v>
      </c>
      <c r="V26" s="66" t="e">
        <f t="shared" si="1"/>
        <v>#N/A</v>
      </c>
      <c r="W26" s="66" t="e">
        <f t="shared" si="1"/>
        <v>#N/A</v>
      </c>
      <c r="X26" s="66" t="e">
        <f t="shared" ref="X26:X33" si="3">IF($K24&gt;X$19,IF($K24&lt;=X$20,1,NA()),NA())</f>
        <v>#N/A</v>
      </c>
      <c r="Y26" s="70"/>
      <c r="Z26" s="70"/>
      <c r="AA26" s="70"/>
      <c r="AB26" s="70"/>
      <c r="AC26" s="70"/>
      <c r="AD26" s="70"/>
      <c r="AE26" s="70"/>
      <c r="AF26" s="70"/>
      <c r="AG26" s="70"/>
      <c r="AH26" s="70"/>
      <c r="AI26" s="70"/>
    </row>
    <row r="27" spans="1:35" ht="89" customHeight="1">
      <c r="A27" s="3"/>
      <c r="B27" s="839" t="str">
        <f>+'Data Entry'!B131</f>
        <v>Percentage of eligible people who initiated oral antiretroviral PrEP in the last 12 months.</v>
      </c>
      <c r="C27" s="839"/>
      <c r="D27" s="839"/>
      <c r="E27" s="450">
        <f ca="1">OFFSET('Data Entry'!$G$116,15,RIGHT('Data Entry'!$C$16,LEN('Data Entry'!$C$16)-1),1,1)</f>
        <v>250</v>
      </c>
      <c r="F27" s="450">
        <f ca="1">OFFSET('Data Entry'!$G$116,16,RIGHT('Data Entry'!$C$16,LEN('Data Entry'!$C$16)-1),1,1)</f>
        <v>79</v>
      </c>
      <c r="G27" s="862">
        <f t="shared" ca="1" si="0"/>
        <v>0.316</v>
      </c>
      <c r="H27" s="863"/>
      <c r="I27" s="863"/>
      <c r="J27" s="863"/>
      <c r="K27" s="864"/>
      <c r="L27" s="851" t="s">
        <v>455</v>
      </c>
      <c r="M27" s="852"/>
      <c r="N27" s="852"/>
      <c r="O27" s="852"/>
      <c r="P27" s="852"/>
      <c r="Q27" s="853"/>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84.75" hidden="1" customHeight="1">
      <c r="A28" s="485"/>
      <c r="B28" s="870" t="s">
        <v>437</v>
      </c>
      <c r="C28" s="870"/>
      <c r="D28" s="870"/>
      <c r="E28" s="476"/>
      <c r="F28" s="476"/>
      <c r="G28" s="830" t="e">
        <f>F28/E28</f>
        <v>#DIV/0!</v>
      </c>
      <c r="H28" s="830"/>
      <c r="I28" s="830"/>
      <c r="J28" s="830"/>
      <c r="K28" s="830"/>
      <c r="L28" s="854"/>
      <c r="M28" s="854"/>
      <c r="N28" s="854"/>
      <c r="O28" s="854"/>
      <c r="P28" s="854"/>
      <c r="Q28" s="854"/>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49.5" customHeight="1">
      <c r="A29" s="3"/>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3"/>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3"/>
      <c r="B31" s="868"/>
      <c r="C31" s="868"/>
      <c r="D31" s="868"/>
      <c r="E31" s="869"/>
      <c r="F31" s="849"/>
      <c r="G31" s="850"/>
      <c r="H31" s="850"/>
      <c r="I31" s="850"/>
      <c r="J31" s="850"/>
      <c r="K31" s="869"/>
      <c r="L31" s="849"/>
      <c r="M31" s="850"/>
      <c r="N31" s="850"/>
      <c r="O31" s="850"/>
      <c r="P31" s="850"/>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3"/>
      <c r="B32" s="223"/>
      <c r="C32" s="223"/>
      <c r="D32" s="223"/>
      <c r="E32" s="223"/>
      <c r="F32" s="223"/>
      <c r="G32" s="223"/>
      <c r="H32" s="224"/>
      <c r="I32" s="223"/>
      <c r="J32" s="223"/>
      <c r="K32" s="223"/>
      <c r="L32" s="223"/>
      <c r="M32" s="223"/>
      <c r="N32" s="223"/>
      <c r="O32" s="223"/>
      <c r="P32" s="223"/>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3"/>
      <c r="B33" s="858"/>
      <c r="C33" s="858"/>
      <c r="D33" s="858"/>
      <c r="E33" s="858"/>
      <c r="F33" s="858"/>
      <c r="G33" s="858"/>
      <c r="H33" s="858"/>
      <c r="I33" s="858"/>
      <c r="J33" s="858"/>
      <c r="K33" s="858"/>
      <c r="L33" s="223"/>
      <c r="M33" s="223"/>
      <c r="N33" s="223"/>
      <c r="O33" s="223"/>
      <c r="P33" s="223"/>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3"/>
      <c r="B34" s="858"/>
      <c r="C34" s="858"/>
      <c r="D34" s="858"/>
      <c r="E34" s="858"/>
      <c r="F34" s="858"/>
      <c r="G34" s="858"/>
      <c r="H34" s="858"/>
      <c r="I34" s="858"/>
      <c r="J34" s="858"/>
      <c r="K34" s="858"/>
      <c r="L34" s="223"/>
      <c r="M34" s="223"/>
      <c r="N34" s="223"/>
      <c r="O34" s="223"/>
      <c r="P34" s="223"/>
      <c r="S34" s="70"/>
      <c r="T34" s="70"/>
      <c r="U34" s="70"/>
      <c r="V34" s="70"/>
      <c r="W34" s="70"/>
      <c r="X34" s="70"/>
      <c r="Y34" s="70"/>
      <c r="Z34" s="70"/>
      <c r="AA34" s="70"/>
      <c r="AB34" s="70"/>
      <c r="AC34" s="70"/>
      <c r="AD34" s="70"/>
      <c r="AE34" s="70"/>
      <c r="AF34" s="70"/>
      <c r="AG34" s="70"/>
      <c r="AH34" s="70"/>
      <c r="AI34" s="70"/>
    </row>
    <row r="35" spans="1:35">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3"/>
      <c r="B36" s="3"/>
      <c r="C36" s="3"/>
      <c r="D36" s="3"/>
      <c r="E36" s="3"/>
      <c r="F36" s="3"/>
      <c r="G36" s="3"/>
      <c r="H36" s="3"/>
      <c r="I36" s="143"/>
      <c r="J36" s="144"/>
      <c r="K36" s="144"/>
      <c r="L36" s="3"/>
      <c r="M36" s="3"/>
      <c r="N36" s="3"/>
      <c r="O36" s="3"/>
      <c r="P36" s="3"/>
      <c r="S36" s="70"/>
      <c r="T36" s="70"/>
      <c r="U36" s="70"/>
      <c r="V36" s="70"/>
      <c r="W36" s="70"/>
      <c r="X36" s="70"/>
      <c r="Y36" s="70"/>
      <c r="Z36" s="70"/>
      <c r="AA36" s="70"/>
      <c r="AB36" s="70"/>
      <c r="AC36" s="70"/>
      <c r="AD36" s="70"/>
      <c r="AE36" s="70"/>
      <c r="AF36" s="70"/>
      <c r="AG36" s="70"/>
      <c r="AH36" s="70"/>
      <c r="AI36" s="70"/>
    </row>
    <row r="37" spans="1:35">
      <c r="A37" s="3"/>
      <c r="B37" s="3"/>
      <c r="C37" s="3"/>
      <c r="D37" s="3"/>
      <c r="E37" s="3"/>
      <c r="F37" s="3"/>
      <c r="G37" s="3"/>
      <c r="H37" s="3"/>
      <c r="I37" s="145"/>
      <c r="J37" s="146"/>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3"/>
      <c r="B38" s="3"/>
      <c r="C38" s="3"/>
      <c r="D38" s="3"/>
      <c r="E38" s="3"/>
      <c r="F38" s="3"/>
      <c r="G38" s="3"/>
      <c r="H38" s="3"/>
      <c r="I38" s="147"/>
      <c r="J38" s="146"/>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3"/>
      <c r="B39" s="3"/>
      <c r="C39" s="3"/>
      <c r="D39" s="3"/>
      <c r="E39" s="3"/>
      <c r="F39" s="3"/>
      <c r="G39" s="3"/>
      <c r="H39" s="3"/>
      <c r="I39" s="145"/>
      <c r="J39" s="146"/>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
      <c r="B42" s="3"/>
      <c r="C42" s="3"/>
      <c r="D42" s="3"/>
      <c r="E42" s="3"/>
      <c r="F42" s="3"/>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49"/>
      <c r="B1" s="149"/>
      <c r="C1" s="149"/>
      <c r="D1" s="149"/>
      <c r="E1" s="149"/>
      <c r="F1" s="149"/>
      <c r="G1" s="149"/>
      <c r="H1" s="149"/>
      <c r="I1" s="149"/>
      <c r="J1" s="149"/>
      <c r="K1" s="150"/>
      <c r="L1" s="149"/>
      <c r="M1" s="149"/>
      <c r="N1" s="149"/>
    </row>
    <row r="2" spans="1:15" customFormat="1" ht="27.75" customHeight="1">
      <c r="A2" s="3"/>
      <c r="B2" s="871" t="str">
        <f>+"Dashboard:  "&amp;"  "&amp;IF(+'Data Entry'!C4="Please Select","",'Data Entry'!C4&amp;" - ")&amp;IF('Data Entry'!G6="Please Select","",'Data Entry'!G6)</f>
        <v>Dashboard:    Georgia - HIV / AIDS</v>
      </c>
      <c r="C2" s="871"/>
      <c r="D2" s="871"/>
      <c r="E2" s="871"/>
      <c r="F2" s="871"/>
      <c r="G2" s="871"/>
      <c r="H2" s="871"/>
      <c r="I2" s="871"/>
      <c r="J2" s="871"/>
      <c r="K2" s="871"/>
      <c r="L2" s="871"/>
      <c r="M2" s="871"/>
      <c r="N2" s="871"/>
      <c r="O2" s="72"/>
    </row>
    <row r="3" spans="1:15" customFormat="1" ht="19">
      <c r="A3" s="3"/>
      <c r="B3" s="131" t="str">
        <f>+IF('Data Entry'!G8="Please Select","",'Data Entry'!G8)</f>
        <v>NFM</v>
      </c>
      <c r="C3" s="803" t="str">
        <f>+IF('Data Entry'!I8="Please Select","",'Data Entry'!I8)</f>
        <v>N/A</v>
      </c>
      <c r="D3" s="803"/>
      <c r="E3" s="873"/>
      <c r="F3" s="873"/>
      <c r="G3" s="873"/>
      <c r="H3" s="873"/>
      <c r="I3" s="873"/>
      <c r="J3" s="873"/>
      <c r="K3" s="873"/>
      <c r="L3" s="131" t="str">
        <f>+'Data Entry'!B16</f>
        <v>Report Period:</v>
      </c>
      <c r="M3" s="197" t="str">
        <f>+'Data Entry'!C16</f>
        <v>P4</v>
      </c>
      <c r="N3" s="197"/>
      <c r="O3" s="31"/>
    </row>
    <row r="4" spans="1:15" customFormat="1" ht="15">
      <c r="A4" s="3"/>
      <c r="B4" s="131" t="str">
        <f>+'Data Entry'!B12</f>
        <v>Latest Rating:</v>
      </c>
      <c r="C4" s="874" t="str">
        <f>+IF('Data Entry'!C12="Please Select","",'Data Entry'!C12)</f>
        <v>A2</v>
      </c>
      <c r="D4" s="874"/>
      <c r="E4" s="802" t="str">
        <f>+'Data Entry'!C8</f>
        <v>NCDC</v>
      </c>
      <c r="F4" s="802"/>
      <c r="G4" s="802"/>
      <c r="H4" s="802"/>
      <c r="I4" s="802"/>
      <c r="J4" s="802"/>
      <c r="K4" s="802"/>
      <c r="L4" s="131" t="str">
        <f>+'Data Entry'!D16</f>
        <v>From:</v>
      </c>
      <c r="M4" s="198">
        <f>+IF(ISBLANK('Data Entry'!E16),"",'Data Entry'!E16)</f>
        <v>43922</v>
      </c>
      <c r="N4" s="198"/>
      <c r="O4" s="31"/>
    </row>
    <row r="5" spans="1:15" customFormat="1" ht="18.75" customHeight="1">
      <c r="A5" s="3"/>
      <c r="B5" s="131"/>
      <c r="C5" s="131"/>
      <c r="D5" s="132"/>
      <c r="E5" s="802" t="str">
        <f>+'Data Entry'!G4</f>
        <v xml:space="preserve">Sustaining and Scaling up the Effective HIV/AIDS Prevention, Treatment and Care in Georgia </v>
      </c>
      <c r="F5" s="802"/>
      <c r="G5" s="802"/>
      <c r="H5" s="802"/>
      <c r="I5" s="802"/>
      <c r="J5" s="802"/>
      <c r="K5" s="802"/>
      <c r="L5" s="131" t="str">
        <f>+'Data Entry'!F16</f>
        <v>To:</v>
      </c>
      <c r="M5" s="198">
        <f>+IF(ISBLANK('Data Entry'!G16),"",'Data Entry'!G16)</f>
        <v>44012</v>
      </c>
      <c r="N5" s="198"/>
    </row>
    <row r="6" spans="1:15" customFormat="1" ht="22.5" customHeight="1">
      <c r="A6" s="3"/>
      <c r="B6" s="136"/>
      <c r="C6" s="137"/>
      <c r="D6" s="138"/>
      <c r="E6" s="910" t="s">
        <v>314</v>
      </c>
      <c r="F6" s="910"/>
      <c r="G6" s="910"/>
      <c r="H6" s="910"/>
      <c r="I6" s="910"/>
      <c r="J6" s="910"/>
      <c r="K6" s="910"/>
      <c r="L6" s="2"/>
      <c r="M6" s="2"/>
      <c r="N6" s="2"/>
    </row>
    <row r="7" spans="1:15" s="33" customFormat="1" ht="4.5" customHeight="1">
      <c r="A7" s="151"/>
      <c r="B7" s="152"/>
      <c r="C7" s="152"/>
      <c r="D7" s="152"/>
      <c r="E7" s="152"/>
      <c r="F7" s="152"/>
      <c r="G7" s="152"/>
      <c r="H7" s="152"/>
      <c r="I7" s="152"/>
      <c r="J7" s="152"/>
      <c r="K7" s="152"/>
      <c r="L7" s="153"/>
      <c r="M7" s="153"/>
      <c r="N7" s="154"/>
    </row>
    <row r="8" spans="1:15" s="33" customFormat="1" ht="21" customHeight="1" thickBot="1">
      <c r="A8" s="151"/>
      <c r="B8" s="906" t="s">
        <v>98</v>
      </c>
      <c r="C8" s="906"/>
      <c r="D8" s="906"/>
      <c r="E8" s="906"/>
      <c r="F8" s="906"/>
      <c r="G8" s="906"/>
      <c r="H8" s="906"/>
      <c r="I8" s="906"/>
      <c r="J8" s="906"/>
      <c r="K8" s="906"/>
      <c r="L8" s="906"/>
      <c r="M8" s="906"/>
      <c r="N8" s="906"/>
    </row>
    <row r="9" spans="1:15" s="33" customFormat="1" ht="3.75" customHeight="1" thickBot="1">
      <c r="A9" s="151"/>
      <c r="B9" s="152"/>
      <c r="C9" s="152"/>
      <c r="D9" s="152"/>
      <c r="E9" s="152"/>
      <c r="F9" s="152"/>
      <c r="G9" s="152"/>
      <c r="H9" s="152"/>
      <c r="I9" s="152"/>
      <c r="J9" s="152"/>
      <c r="K9" s="152"/>
      <c r="L9" s="153"/>
      <c r="M9" s="153"/>
      <c r="N9" s="154"/>
    </row>
    <row r="10" spans="1:15" s="34" customFormat="1" ht="25.5" customHeight="1" thickBot="1">
      <c r="A10" s="155"/>
      <c r="B10" s="878" t="s">
        <v>93</v>
      </c>
      <c r="C10" s="929"/>
      <c r="D10" s="920" t="s">
        <v>97</v>
      </c>
      <c r="E10" s="921"/>
      <c r="F10" s="921"/>
      <c r="G10" s="922"/>
      <c r="H10" s="158"/>
      <c r="I10" s="920" t="s">
        <v>314</v>
      </c>
      <c r="J10" s="921"/>
      <c r="K10" s="921"/>
      <c r="L10" s="921"/>
      <c r="M10" s="921"/>
      <c r="N10" s="922"/>
    </row>
    <row r="11" spans="1:15" s="34" customFormat="1" ht="28.5" customHeight="1">
      <c r="A11" s="155"/>
      <c r="B11" s="403" t="s">
        <v>101</v>
      </c>
      <c r="C11" s="175"/>
      <c r="D11" s="895" t="str">
        <f>IF(ISBLANK(Finance!C9),"",(Finance!C9))</f>
        <v/>
      </c>
      <c r="E11" s="895"/>
      <c r="F11" s="895"/>
      <c r="G11" s="896"/>
      <c r="H11" s="181"/>
      <c r="I11" s="911"/>
      <c r="J11" s="912"/>
      <c r="K11" s="912"/>
      <c r="L11" s="912"/>
      <c r="M11" s="912"/>
      <c r="N11" s="913"/>
    </row>
    <row r="12" spans="1:15" s="34" customFormat="1" ht="27.75" customHeight="1">
      <c r="A12" s="155"/>
      <c r="B12" s="404" t="s">
        <v>102</v>
      </c>
      <c r="C12" s="176"/>
      <c r="D12" s="895" t="str">
        <f>IF(ISBLANK(Finance!C23),"",(Finance!C23))</f>
        <v/>
      </c>
      <c r="E12" s="895"/>
      <c r="F12" s="895"/>
      <c r="G12" s="896"/>
      <c r="H12" s="181"/>
      <c r="I12" s="907"/>
      <c r="J12" s="908"/>
      <c r="K12" s="908"/>
      <c r="L12" s="908"/>
      <c r="M12" s="908"/>
      <c r="N12" s="909"/>
    </row>
    <row r="13" spans="1:15" s="34" customFormat="1" ht="26.25" customHeight="1">
      <c r="A13" s="155"/>
      <c r="B13" s="404" t="s">
        <v>103</v>
      </c>
      <c r="C13" s="176"/>
      <c r="D13" s="895" t="str">
        <f>IF(ISBLANK(Finance!I9),"",(Finance!I9))</f>
        <v/>
      </c>
      <c r="E13" s="895"/>
      <c r="F13" s="895"/>
      <c r="G13" s="896"/>
      <c r="H13" s="181"/>
      <c r="I13" s="907"/>
      <c r="J13" s="908"/>
      <c r="K13" s="908"/>
      <c r="L13" s="908"/>
      <c r="M13" s="908"/>
      <c r="N13" s="909"/>
    </row>
    <row r="14" spans="1:15" s="34" customFormat="1" ht="28.5" customHeight="1" thickBot="1">
      <c r="A14" s="155"/>
      <c r="B14" s="405" t="s">
        <v>104</v>
      </c>
      <c r="C14" s="177"/>
      <c r="D14" s="933" t="str">
        <f>IF(ISBLANK(Finance!I23),"",(Finance!I23))</f>
        <v/>
      </c>
      <c r="E14" s="933"/>
      <c r="F14" s="933"/>
      <c r="G14" s="934"/>
      <c r="H14" s="181"/>
      <c r="I14" s="930"/>
      <c r="J14" s="931"/>
      <c r="K14" s="931"/>
      <c r="L14" s="931"/>
      <c r="M14" s="931"/>
      <c r="N14" s="932"/>
    </row>
    <row r="15" spans="1:15" s="34" customFormat="1" ht="4.5" customHeight="1">
      <c r="A15" s="155"/>
      <c r="B15" s="178"/>
      <c r="C15" s="179"/>
      <c r="D15" s="180"/>
      <c r="E15" s="180"/>
      <c r="F15" s="180"/>
      <c r="G15" s="180"/>
      <c r="H15" s="181"/>
      <c r="I15" s="182"/>
      <c r="J15" s="182"/>
      <c r="K15" s="182"/>
      <c r="L15" s="182"/>
      <c r="M15" s="182"/>
      <c r="N15" s="182"/>
      <c r="O15" s="74"/>
    </row>
    <row r="16" spans="1:15" s="33" customFormat="1" ht="21" customHeight="1" thickBot="1">
      <c r="A16" s="151"/>
      <c r="B16" s="906" t="s">
        <v>100</v>
      </c>
      <c r="C16" s="906"/>
      <c r="D16" s="906"/>
      <c r="E16" s="906"/>
      <c r="F16" s="906"/>
      <c r="G16" s="906"/>
      <c r="H16" s="906"/>
      <c r="I16" s="906"/>
      <c r="J16" s="906"/>
      <c r="K16" s="906"/>
      <c r="L16" s="906"/>
      <c r="M16" s="906"/>
      <c r="N16" s="906"/>
    </row>
    <row r="17" spans="1:15" s="34" customFormat="1" ht="3.75" customHeight="1" thickBot="1">
      <c r="A17" s="155"/>
      <c r="B17" s="164"/>
      <c r="C17" s="165"/>
      <c r="D17" s="166"/>
      <c r="E17" s="167"/>
      <c r="F17" s="168"/>
      <c r="G17" s="168"/>
      <c r="H17" s="169"/>
      <c r="I17" s="170"/>
      <c r="J17" s="171"/>
      <c r="K17" s="160"/>
      <c r="L17" s="161"/>
      <c r="M17" s="162"/>
      <c r="N17" s="163"/>
    </row>
    <row r="18" spans="1:15" s="34" customFormat="1" ht="22.5" customHeight="1" thickBot="1">
      <c r="A18" s="155"/>
      <c r="B18" s="929" t="s">
        <v>94</v>
      </c>
      <c r="C18" s="879"/>
      <c r="D18" s="917" t="s">
        <v>97</v>
      </c>
      <c r="E18" s="918"/>
      <c r="F18" s="918"/>
      <c r="G18" s="919"/>
      <c r="H18" s="158"/>
      <c r="I18" s="914" t="s">
        <v>314</v>
      </c>
      <c r="J18" s="915"/>
      <c r="K18" s="915"/>
      <c r="L18" s="915"/>
      <c r="M18" s="916"/>
      <c r="N18" s="916"/>
    </row>
    <row r="19" spans="1:15" s="34" customFormat="1" ht="21.75" customHeight="1">
      <c r="A19" s="155"/>
      <c r="B19" s="406" t="s">
        <v>109</v>
      </c>
      <c r="C19" s="183"/>
      <c r="D19" s="897" t="str">
        <f>IF(ISBLANK(Management!C8),"",(Management!C8))</f>
        <v/>
      </c>
      <c r="E19" s="897"/>
      <c r="F19" s="897"/>
      <c r="G19" s="898"/>
      <c r="H19" s="184"/>
      <c r="I19" s="923"/>
      <c r="J19" s="924"/>
      <c r="K19" s="924"/>
      <c r="L19" s="924"/>
      <c r="M19" s="924"/>
      <c r="N19" s="925"/>
    </row>
    <row r="20" spans="1:15" ht="24.75" customHeight="1">
      <c r="A20" s="149"/>
      <c r="B20" s="407" t="s">
        <v>110</v>
      </c>
      <c r="C20" s="185"/>
      <c r="D20" s="895" t="str">
        <f>IF(ISBLANK(Management!I8),"",(Management!I8))</f>
        <v/>
      </c>
      <c r="E20" s="895" t="e">
        <f>+'Data Entry'!D72/'Data Entry'!G72</f>
        <v>#DIV/0!</v>
      </c>
      <c r="F20" s="895" t="e">
        <f>+('Data Entry'!E72+'Data Entry'!F72)/'Data Entry'!G72</f>
        <v>#DIV/0!</v>
      </c>
      <c r="G20" s="899"/>
      <c r="H20" s="184"/>
      <c r="I20" s="880"/>
      <c r="J20" s="881"/>
      <c r="K20" s="881"/>
      <c r="L20" s="881"/>
      <c r="M20" s="881"/>
      <c r="N20" s="882"/>
      <c r="O20" s="35"/>
    </row>
    <row r="21" spans="1:15" ht="29.25" customHeight="1">
      <c r="A21" s="149"/>
      <c r="B21" s="408" t="s">
        <v>111</v>
      </c>
      <c r="C21" s="185"/>
      <c r="D21" s="895" t="str">
        <f>IF(ISBLANK(Management!C16),"",(Management!C16))</f>
        <v/>
      </c>
      <c r="E21" s="895"/>
      <c r="F21" s="895"/>
      <c r="G21" s="899"/>
      <c r="H21" s="184"/>
      <c r="I21" s="880"/>
      <c r="J21" s="881"/>
      <c r="K21" s="881"/>
      <c r="L21" s="881"/>
      <c r="M21" s="881"/>
      <c r="N21" s="882"/>
      <c r="O21" s="35"/>
    </row>
    <row r="22" spans="1:15" ht="26.25" customHeight="1">
      <c r="A22" s="149"/>
      <c r="B22" s="408" t="s">
        <v>112</v>
      </c>
      <c r="C22" s="185"/>
      <c r="D22" s="895" t="str">
        <f>IF(ISBLANK(Management!I16),"",(Management!I16))</f>
        <v/>
      </c>
      <c r="E22" s="895"/>
      <c r="F22" s="895"/>
      <c r="G22" s="899"/>
      <c r="H22" s="184"/>
      <c r="I22" s="880"/>
      <c r="J22" s="881"/>
      <c r="K22" s="881"/>
      <c r="L22" s="881"/>
      <c r="M22" s="881"/>
      <c r="N22" s="882"/>
      <c r="O22" s="35"/>
    </row>
    <row r="23" spans="1:15" ht="24.75" customHeight="1">
      <c r="A23" s="149"/>
      <c r="B23" s="408" t="s">
        <v>113</v>
      </c>
      <c r="C23" s="185"/>
      <c r="D23" s="895" t="str">
        <f>IF(ISBLANK(Management!C27),"",(Management!C27))</f>
        <v/>
      </c>
      <c r="E23" s="895"/>
      <c r="F23" s="895"/>
      <c r="G23" s="899"/>
      <c r="H23" s="184"/>
      <c r="I23" s="880"/>
      <c r="J23" s="881"/>
      <c r="K23" s="881"/>
      <c r="L23" s="881"/>
      <c r="M23" s="881"/>
      <c r="N23" s="882"/>
      <c r="O23" s="35"/>
    </row>
    <row r="24" spans="1:15" ht="27" customHeight="1" thickBot="1">
      <c r="A24" s="149"/>
      <c r="B24" s="409" t="s">
        <v>115</v>
      </c>
      <c r="C24" s="186"/>
      <c r="D24" s="901" t="str">
        <f>IF(ISBLANK(Management!I27),"",(Management!I27))</f>
        <v>◆ Zidovudine/Lamivudine Restock in Q4
◆ Codnoms and Lubes Restock by the end of Q3</v>
      </c>
      <c r="E24" s="901"/>
      <c r="F24" s="901"/>
      <c r="G24" s="902"/>
      <c r="H24" s="184"/>
      <c r="I24" s="926"/>
      <c r="J24" s="927"/>
      <c r="K24" s="927"/>
      <c r="L24" s="927"/>
      <c r="M24" s="927"/>
      <c r="N24" s="928"/>
      <c r="O24" s="35"/>
    </row>
    <row r="25" spans="1:15" ht="4.5" customHeight="1">
      <c r="A25" s="151"/>
      <c r="B25" s="156"/>
      <c r="C25" s="157"/>
      <c r="D25" s="172"/>
      <c r="E25" s="173"/>
      <c r="F25" s="174"/>
      <c r="G25" s="174"/>
      <c r="H25" s="158"/>
      <c r="I25" s="173"/>
      <c r="J25" s="159"/>
      <c r="K25" s="160"/>
      <c r="L25" s="161"/>
      <c r="M25" s="162"/>
      <c r="N25" s="163"/>
      <c r="O25" s="35"/>
    </row>
    <row r="26" spans="1:15" s="33" customFormat="1" ht="21" customHeight="1" thickBot="1">
      <c r="A26" s="151"/>
      <c r="B26" s="906" t="s">
        <v>99</v>
      </c>
      <c r="C26" s="906"/>
      <c r="D26" s="906"/>
      <c r="E26" s="906"/>
      <c r="F26" s="906"/>
      <c r="G26" s="906"/>
      <c r="H26" s="906"/>
      <c r="I26" s="906"/>
      <c r="J26" s="906"/>
      <c r="K26" s="906"/>
      <c r="L26" s="906"/>
      <c r="M26" s="906"/>
      <c r="N26" s="906"/>
    </row>
    <row r="27" spans="1:15" ht="3.75" customHeight="1" thickBot="1">
      <c r="A27" s="151"/>
      <c r="B27" s="156"/>
      <c r="C27" s="157"/>
      <c r="D27" s="172"/>
      <c r="E27" s="173"/>
      <c r="F27" s="174"/>
      <c r="G27" s="174"/>
      <c r="H27" s="158"/>
      <c r="I27" s="173"/>
      <c r="J27" s="159"/>
      <c r="K27" s="160"/>
      <c r="L27" s="161"/>
      <c r="M27" s="162"/>
      <c r="N27" s="163"/>
      <c r="O27" s="35"/>
    </row>
    <row r="28" spans="1:15" ht="21.75" customHeight="1" thickBot="1">
      <c r="A28" s="149"/>
      <c r="B28" s="878" t="s">
        <v>7</v>
      </c>
      <c r="C28" s="879"/>
      <c r="D28" s="886" t="s">
        <v>97</v>
      </c>
      <c r="E28" s="887"/>
      <c r="F28" s="887"/>
      <c r="G28" s="888"/>
      <c r="H28" s="158"/>
      <c r="I28" s="886" t="s">
        <v>314</v>
      </c>
      <c r="J28" s="887"/>
      <c r="K28" s="887"/>
      <c r="L28" s="887"/>
      <c r="M28" s="887"/>
      <c r="N28" s="888"/>
      <c r="O28" s="35"/>
    </row>
    <row r="29" spans="1:15" ht="29.25" customHeight="1">
      <c r="A29" s="149"/>
      <c r="B29" s="410" t="s">
        <v>315</v>
      </c>
      <c r="C29" s="187"/>
      <c r="D29" s="889" t="str">
        <f>IF(ISBLANK(Programmatic!C9),"",(Programmatic!C9))</f>
        <v/>
      </c>
      <c r="E29" s="890"/>
      <c r="F29" s="890"/>
      <c r="G29" s="891"/>
      <c r="H29" s="184"/>
      <c r="I29" s="903"/>
      <c r="J29" s="904"/>
      <c r="K29" s="904"/>
      <c r="L29" s="904"/>
      <c r="M29" s="904"/>
      <c r="N29" s="905"/>
      <c r="O29" s="35"/>
    </row>
    <row r="30" spans="1:15" ht="21.75" customHeight="1">
      <c r="A30" s="149"/>
      <c r="B30" s="411" t="s">
        <v>316</v>
      </c>
      <c r="C30" s="188"/>
      <c r="D30" s="900" t="str">
        <f>IF(ISBLANK(Programmatic!G9),"",(Programmatic!G9))</f>
        <v/>
      </c>
      <c r="E30" s="884"/>
      <c r="F30" s="884"/>
      <c r="G30" s="885"/>
      <c r="H30" s="184"/>
      <c r="I30" s="875"/>
      <c r="J30" s="876"/>
      <c r="K30" s="876"/>
      <c r="L30" s="876"/>
      <c r="M30" s="876"/>
      <c r="N30" s="877"/>
      <c r="O30" s="35"/>
    </row>
    <row r="31" spans="1:15" ht="21.75" customHeight="1">
      <c r="A31" s="149"/>
      <c r="B31" s="411" t="s">
        <v>317</v>
      </c>
      <c r="C31" s="188"/>
      <c r="D31" s="900" t="str">
        <f>IF(ISBLANK(Programmatic!M9),"",(Programmatic!M9))</f>
        <v/>
      </c>
      <c r="E31" s="884"/>
      <c r="F31" s="884"/>
      <c r="G31" s="885"/>
      <c r="H31" s="184"/>
      <c r="I31" s="875"/>
      <c r="J31" s="876"/>
      <c r="K31" s="876"/>
      <c r="L31" s="876"/>
      <c r="M31" s="876"/>
      <c r="N31" s="877"/>
      <c r="O31" s="35"/>
    </row>
    <row r="32" spans="1:15" ht="21.75" customHeight="1">
      <c r="A32" s="149"/>
      <c r="B32" s="412" t="s">
        <v>105</v>
      </c>
      <c r="C32" s="188"/>
      <c r="D32" s="883" t="str">
        <f>IF(ISBLANK(Programmatic!L20),"",(Programmatic!L20))</f>
        <v>COVID-19 Impact on Key Populations Services</v>
      </c>
      <c r="E32" s="884"/>
      <c r="F32" s="884"/>
      <c r="G32" s="885"/>
      <c r="H32" s="184"/>
      <c r="I32" s="875"/>
      <c r="J32" s="876"/>
      <c r="K32" s="876"/>
      <c r="L32" s="876"/>
      <c r="M32" s="876"/>
      <c r="N32" s="877"/>
      <c r="O32" s="35"/>
    </row>
    <row r="33" spans="1:15" ht="27" customHeight="1">
      <c r="A33" s="149"/>
      <c r="B33" s="412" t="s">
        <v>106</v>
      </c>
      <c r="C33" s="188"/>
      <c r="D33" s="883" t="str">
        <f>IF(ISBLANK(Programmatic!L21),"",(Programmatic!L21))</f>
        <v>COVID-19 Impact on Key Populations Services</v>
      </c>
      <c r="E33" s="884"/>
      <c r="F33" s="884"/>
      <c r="G33" s="885"/>
      <c r="H33" s="184"/>
      <c r="I33" s="875"/>
      <c r="J33" s="876"/>
      <c r="K33" s="876"/>
      <c r="L33" s="876"/>
      <c r="M33" s="876"/>
      <c r="N33" s="877"/>
      <c r="O33" s="35"/>
    </row>
    <row r="34" spans="1:15" ht="21.75" customHeight="1">
      <c r="A34" s="149"/>
      <c r="B34" s="412" t="s">
        <v>107</v>
      </c>
      <c r="C34" s="188"/>
      <c r="D34" s="883" t="str">
        <f>IF(ISBLANK(Programmatic!L22),"",(Programmatic!L22))</f>
        <v>/ Annual Target</v>
      </c>
      <c r="E34" s="884"/>
      <c r="F34" s="884"/>
      <c r="G34" s="885"/>
      <c r="H34" s="184"/>
      <c r="I34" s="875"/>
      <c r="J34" s="876"/>
      <c r="K34" s="876"/>
      <c r="L34" s="876"/>
      <c r="M34" s="876"/>
      <c r="N34" s="877"/>
      <c r="O34" s="35"/>
    </row>
    <row r="35" spans="1:15" ht="21.75" customHeight="1">
      <c r="A35" s="149"/>
      <c r="B35" s="412" t="s">
        <v>108</v>
      </c>
      <c r="C35" s="229"/>
      <c r="D35" s="883" t="str">
        <f>IF(ISBLANK(Programmatic!L23),"",(Programmatic!L23))</f>
        <v/>
      </c>
      <c r="E35" s="884"/>
      <c r="F35" s="884"/>
      <c r="G35" s="885"/>
      <c r="H35" s="184"/>
      <c r="I35" s="875"/>
      <c r="J35" s="876"/>
      <c r="K35" s="876"/>
      <c r="L35" s="876"/>
      <c r="M35" s="876"/>
      <c r="N35" s="877"/>
      <c r="O35" s="35"/>
    </row>
    <row r="36" spans="1:15" ht="21.75" customHeight="1">
      <c r="A36" s="149"/>
      <c r="B36" s="412" t="s">
        <v>120</v>
      </c>
      <c r="C36" s="229"/>
      <c r="D36" s="883" t="str">
        <f>IF(ISBLANK(Programmatic!L24),"",(Programmatic!L24))</f>
        <v>COVID-19 Impact on Key Populations Services</v>
      </c>
      <c r="E36" s="884"/>
      <c r="F36" s="884"/>
      <c r="G36" s="885"/>
      <c r="H36" s="184"/>
      <c r="I36" s="875"/>
      <c r="J36" s="876"/>
      <c r="K36" s="876"/>
      <c r="L36" s="876"/>
      <c r="M36" s="876"/>
      <c r="N36" s="877"/>
      <c r="O36" s="35"/>
    </row>
    <row r="37" spans="1:15" ht="21.75" customHeight="1">
      <c r="A37" s="149"/>
      <c r="B37" s="412" t="s">
        <v>121</v>
      </c>
      <c r="C37" s="229"/>
      <c r="D37" s="883" t="str">
        <f>IF(ISBLANK(Programmatic!L25),"",(Programmatic!L25))</f>
        <v>COVID-19 Impact on Key Populations Services</v>
      </c>
      <c r="E37" s="884"/>
      <c r="F37" s="884"/>
      <c r="G37" s="885"/>
      <c r="H37" s="184"/>
      <c r="I37" s="875"/>
      <c r="J37" s="876"/>
      <c r="K37" s="876"/>
      <c r="L37" s="876"/>
      <c r="M37" s="876"/>
      <c r="N37" s="877"/>
      <c r="O37" s="35"/>
    </row>
    <row r="38" spans="1:15" ht="21.75" customHeight="1">
      <c r="A38" s="149"/>
      <c r="B38" s="412" t="s">
        <v>122</v>
      </c>
      <c r="C38" s="229"/>
      <c r="D38" s="883" t="str">
        <f>IF(ISBLANK(Programmatic!L26),"",(Programmatic!L26))</f>
        <v>COVID-19 Impact on Key Populations Services</v>
      </c>
      <c r="E38" s="884"/>
      <c r="F38" s="884"/>
      <c r="G38" s="885"/>
      <c r="H38" s="184"/>
      <c r="I38" s="875"/>
      <c r="J38" s="876"/>
      <c r="K38" s="876"/>
      <c r="L38" s="876"/>
      <c r="M38" s="876"/>
      <c r="N38" s="877"/>
      <c r="O38" s="35"/>
    </row>
    <row r="39" spans="1:15" ht="21.75" customHeight="1">
      <c r="A39" s="149"/>
      <c r="B39" s="412" t="s">
        <v>123</v>
      </c>
      <c r="C39" s="229"/>
      <c r="D39" s="883" t="str">
        <f>IF(ISBLANK(Programmatic!L27),"",(Programmatic!L27))</f>
        <v xml:space="preserve">/Annual Target 
/ Number of enrolled individuals by the end of the Q2 
/ COVID-19 Impact on Key Populations Services					</v>
      </c>
      <c r="E39" s="884"/>
      <c r="F39" s="884"/>
      <c r="G39" s="885"/>
      <c r="H39" s="184"/>
      <c r="I39" s="875"/>
      <c r="J39" s="876"/>
      <c r="K39" s="876"/>
      <c r="L39" s="876"/>
      <c r="M39" s="876"/>
      <c r="N39" s="877"/>
      <c r="O39" s="35"/>
    </row>
    <row r="40" spans="1:15" ht="21.75" customHeight="1">
      <c r="A40" s="149"/>
      <c r="B40" s="412" t="s">
        <v>124</v>
      </c>
      <c r="C40" s="229"/>
      <c r="D40" s="883" t="str">
        <f>IF(ISBLANK(Programmatic!L28),"",(Programmatic!L28))</f>
        <v/>
      </c>
      <c r="E40" s="884"/>
      <c r="F40" s="884"/>
      <c r="G40" s="885"/>
      <c r="H40" s="184"/>
      <c r="I40" s="875"/>
      <c r="J40" s="876"/>
      <c r="K40" s="876"/>
      <c r="L40" s="876"/>
      <c r="M40" s="876"/>
      <c r="N40" s="877"/>
      <c r="O40" s="35"/>
    </row>
    <row r="41" spans="1:15" ht="21.75" customHeight="1" thickBot="1">
      <c r="A41" s="149"/>
      <c r="B41" s="412" t="s">
        <v>125</v>
      </c>
      <c r="C41" s="189"/>
      <c r="D41" s="883" t="str">
        <f>IF(ISBLANK(Programmatic!L29),"",(Programmatic!L29))</f>
        <v/>
      </c>
      <c r="E41" s="884"/>
      <c r="F41" s="884"/>
      <c r="G41" s="885"/>
      <c r="H41" s="184"/>
      <c r="I41" s="892"/>
      <c r="J41" s="893"/>
      <c r="K41" s="893"/>
      <c r="L41" s="893"/>
      <c r="M41" s="893"/>
      <c r="N41" s="894"/>
      <c r="O41" s="35"/>
    </row>
    <row r="42" spans="1:15" ht="14">
      <c r="A42" s="149"/>
      <c r="B42" s="190"/>
      <c r="C42" s="190"/>
      <c r="D42" s="191"/>
      <c r="E42" s="149"/>
      <c r="F42" s="190"/>
      <c r="G42" s="190"/>
      <c r="H42" s="149"/>
      <c r="I42" s="192"/>
      <c r="J42" s="149"/>
      <c r="K42" s="193"/>
      <c r="L42" s="193"/>
      <c r="M42" s="193"/>
      <c r="N42" s="193"/>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819" t="str">
        <f>+"Dashboard:  "&amp;"  "&amp;IF(+'Data Entry'!C4="Please Select","",'Data Entry'!C4&amp;" - ")&amp;IF('Data Entry'!G6="Please Select","",'Data Entry'!G6)</f>
        <v>Dashboard:    Georgia - HIV / AIDS</v>
      </c>
      <c r="C2" s="819"/>
      <c r="D2" s="819"/>
      <c r="E2" s="819"/>
      <c r="F2" s="819"/>
      <c r="G2" s="819"/>
      <c r="H2" s="819"/>
      <c r="I2" s="819"/>
      <c r="J2" s="819"/>
      <c r="K2" s="819"/>
      <c r="L2" s="819"/>
    </row>
    <row r="3" spans="1:13">
      <c r="B3" s="24" t="str">
        <f>+IF('Data Entry'!G8="Please Select","",'Data Entry'!G8)</f>
        <v>NFM</v>
      </c>
      <c r="C3" s="817" t="str">
        <f>+IF('Data Entry'!I8="Please Select","",'Data Entry'!I8)</f>
        <v>N/A</v>
      </c>
      <c r="D3" s="817"/>
      <c r="E3" s="818"/>
      <c r="F3" s="818"/>
      <c r="G3" s="818"/>
      <c r="H3" s="818"/>
      <c r="I3" s="818"/>
      <c r="J3" s="821" t="str">
        <f>+'Data Entry'!B16</f>
        <v>Report Period:</v>
      </c>
      <c r="K3" s="821"/>
      <c r="L3" s="197" t="str">
        <f>+'Data Entry'!C16</f>
        <v>P4</v>
      </c>
      <c r="M3" s="84"/>
    </row>
    <row r="4" spans="1:13">
      <c r="B4" s="24" t="str">
        <f>+'Data Entry'!B12</f>
        <v>Latest Rating:</v>
      </c>
      <c r="C4" s="947" t="str">
        <f>+IF('Data Entry'!C12="Please Select","",'Data Entry'!C12)</f>
        <v>A2</v>
      </c>
      <c r="D4" s="947"/>
      <c r="E4" s="818" t="str">
        <f>+'Data Entry'!C8</f>
        <v>NCDC</v>
      </c>
      <c r="F4" s="818"/>
      <c r="G4" s="818"/>
      <c r="H4" s="818"/>
      <c r="I4" s="818"/>
      <c r="J4" s="821" t="str">
        <f>+'Data Entry'!D16</f>
        <v>From:</v>
      </c>
      <c r="K4" s="825"/>
      <c r="L4" s="198">
        <f>+IF(ISBLANK('Data Entry'!E16),"",'Data Entry'!E16)</f>
        <v>43922</v>
      </c>
    </row>
    <row r="5" spans="1:13" ht="18.75" customHeight="1">
      <c r="B5" s="24"/>
      <c r="C5" s="24"/>
      <c r="D5" s="818" t="str">
        <f>+'Data Entry'!G4</f>
        <v xml:space="preserve">Sustaining and Scaling up the Effective HIV/AIDS Prevention, Treatment and Care in Georgia </v>
      </c>
      <c r="E5" s="818"/>
      <c r="F5" s="818"/>
      <c r="G5" s="818"/>
      <c r="H5" s="818"/>
      <c r="I5" s="818"/>
      <c r="J5" s="818"/>
      <c r="K5" s="24" t="str">
        <f>+'Data Entry'!F16</f>
        <v>To:</v>
      </c>
      <c r="L5" s="198">
        <f>+IF(ISBLANK('Data Entry'!G16),"",'Data Entry'!G16)</f>
        <v>44012</v>
      </c>
    </row>
    <row r="6" spans="1:13" ht="19">
      <c r="B6" s="23"/>
      <c r="C6" s="24"/>
      <c r="D6" s="25"/>
      <c r="E6" s="820" t="s">
        <v>370</v>
      </c>
      <c r="F6" s="820"/>
      <c r="G6" s="820"/>
      <c r="H6" s="820"/>
      <c r="I6" s="820"/>
    </row>
    <row r="7" spans="1:13" ht="19">
      <c r="E7" s="71"/>
      <c r="F7" s="71"/>
      <c r="G7" s="71"/>
      <c r="H7" s="71"/>
      <c r="I7" s="71"/>
    </row>
    <row r="8" spans="1:13" s="33" customFormat="1" ht="21" customHeight="1" thickBot="1">
      <c r="B8" s="75" t="s">
        <v>95</v>
      </c>
      <c r="C8" s="75"/>
      <c r="D8" s="75"/>
      <c r="E8" s="75"/>
      <c r="F8" s="75"/>
      <c r="G8" s="75"/>
      <c r="H8" s="75"/>
      <c r="I8" s="75"/>
      <c r="J8" s="75"/>
      <c r="K8" s="75"/>
      <c r="L8" s="75"/>
    </row>
    <row r="9" spans="1:13" ht="6" customHeight="1">
      <c r="B9" s="73"/>
    </row>
    <row r="10" spans="1:13">
      <c r="B10" s="966"/>
      <c r="C10" s="967"/>
      <c r="D10" s="967"/>
      <c r="E10" s="967"/>
      <c r="F10" s="967"/>
      <c r="G10" s="967"/>
      <c r="H10" s="967"/>
      <c r="I10" s="967"/>
      <c r="J10" s="967"/>
      <c r="K10" s="967"/>
      <c r="L10" s="968"/>
    </row>
    <row r="11" spans="1:13">
      <c r="B11" s="969"/>
      <c r="C11" s="970"/>
      <c r="D11" s="970"/>
      <c r="E11" s="970"/>
      <c r="F11" s="970"/>
      <c r="G11" s="970"/>
      <c r="H11" s="970"/>
      <c r="I11" s="970"/>
      <c r="J11" s="970"/>
      <c r="K11" s="970"/>
      <c r="L11" s="971"/>
    </row>
    <row r="12" spans="1:13" ht="16" thickBot="1"/>
    <row r="13" spans="1:13" ht="26.25" customHeight="1" thickBot="1">
      <c r="B13" s="962" t="s">
        <v>304</v>
      </c>
      <c r="C13" s="963"/>
      <c r="D13" s="963"/>
      <c r="E13" s="964"/>
      <c r="F13" s="76"/>
      <c r="G13" s="978" t="s">
        <v>128</v>
      </c>
      <c r="H13" s="941"/>
      <c r="I13" s="941"/>
      <c r="J13" s="77" t="s">
        <v>96</v>
      </c>
      <c r="K13" s="941" t="s">
        <v>291</v>
      </c>
      <c r="L13" s="942"/>
    </row>
    <row r="14" spans="1:13">
      <c r="A14" s="954" t="s">
        <v>305</v>
      </c>
      <c r="B14" s="958"/>
      <c r="C14" s="958"/>
      <c r="D14" s="958"/>
      <c r="E14" s="959"/>
      <c r="F14" s="45"/>
      <c r="G14" s="960"/>
      <c r="H14" s="948"/>
      <c r="I14" s="948"/>
      <c r="J14" s="957"/>
      <c r="K14" s="948"/>
      <c r="L14" s="949"/>
    </row>
    <row r="15" spans="1:13">
      <c r="A15" s="955"/>
      <c r="B15" s="958"/>
      <c r="C15" s="958"/>
      <c r="D15" s="958"/>
      <c r="E15" s="959"/>
      <c r="F15" s="45"/>
      <c r="G15" s="961"/>
      <c r="H15" s="943"/>
      <c r="I15" s="943"/>
      <c r="J15" s="943"/>
      <c r="K15" s="943"/>
      <c r="L15" s="944"/>
    </row>
    <row r="16" spans="1:13">
      <c r="A16" s="955"/>
      <c r="B16" s="958"/>
      <c r="C16" s="958"/>
      <c r="D16" s="958"/>
      <c r="E16" s="959"/>
      <c r="F16" s="45"/>
      <c r="G16" s="965"/>
      <c r="H16" s="943"/>
      <c r="I16" s="943"/>
      <c r="J16" s="943"/>
      <c r="K16" s="943"/>
      <c r="L16" s="944"/>
    </row>
    <row r="17" spans="1:12">
      <c r="A17" s="955"/>
      <c r="B17" s="958"/>
      <c r="C17" s="958"/>
      <c r="D17" s="958"/>
      <c r="E17" s="959"/>
      <c r="F17" s="45"/>
      <c r="G17" s="961"/>
      <c r="H17" s="943"/>
      <c r="I17" s="943"/>
      <c r="J17" s="943"/>
      <c r="K17" s="943"/>
      <c r="L17" s="944"/>
    </row>
    <row r="18" spans="1:12">
      <c r="A18" s="955"/>
      <c r="B18" s="958"/>
      <c r="C18" s="958"/>
      <c r="D18" s="958"/>
      <c r="E18" s="959"/>
      <c r="F18" s="45"/>
      <c r="G18" s="972"/>
      <c r="H18" s="973"/>
      <c r="I18" s="974"/>
      <c r="J18" s="943"/>
      <c r="K18" s="943"/>
      <c r="L18" s="944"/>
    </row>
    <row r="19" spans="1:12" ht="30.75" customHeight="1">
      <c r="A19" s="955"/>
      <c r="B19" s="958"/>
      <c r="C19" s="958"/>
      <c r="D19" s="958"/>
      <c r="E19" s="959"/>
      <c r="F19" s="45"/>
      <c r="G19" s="975"/>
      <c r="H19" s="976"/>
      <c r="I19" s="977"/>
      <c r="J19" s="943"/>
      <c r="K19" s="943"/>
      <c r="L19" s="944"/>
    </row>
    <row r="20" spans="1:12">
      <c r="A20" s="955"/>
      <c r="B20" s="958"/>
      <c r="C20" s="958"/>
      <c r="D20" s="958"/>
      <c r="E20" s="959"/>
      <c r="F20" s="45"/>
      <c r="G20" s="961"/>
      <c r="H20" s="943"/>
      <c r="I20" s="943"/>
      <c r="J20" s="943"/>
      <c r="K20" s="943"/>
      <c r="L20" s="944"/>
    </row>
    <row r="21" spans="1:12">
      <c r="A21" s="955"/>
      <c r="B21" s="958"/>
      <c r="C21" s="958"/>
      <c r="D21" s="958"/>
      <c r="E21" s="959"/>
      <c r="F21" s="45"/>
      <c r="G21" s="961"/>
      <c r="H21" s="943"/>
      <c r="I21" s="943"/>
      <c r="J21" s="943"/>
      <c r="K21" s="943"/>
      <c r="L21" s="944"/>
    </row>
    <row r="22" spans="1:12">
      <c r="A22" s="955"/>
      <c r="B22" s="958"/>
      <c r="C22" s="958"/>
      <c r="D22" s="958"/>
      <c r="E22" s="959"/>
      <c r="F22" s="45"/>
      <c r="G22" s="961"/>
      <c r="H22" s="943"/>
      <c r="I22" s="943"/>
      <c r="J22" s="943"/>
      <c r="K22" s="943"/>
      <c r="L22" s="944"/>
    </row>
    <row r="23" spans="1:12">
      <c r="A23" s="955"/>
      <c r="B23" s="958"/>
      <c r="C23" s="958"/>
      <c r="D23" s="958"/>
      <c r="E23" s="959"/>
      <c r="F23" s="45"/>
      <c r="G23" s="961"/>
      <c r="H23" s="943"/>
      <c r="I23" s="943"/>
      <c r="J23" s="943"/>
      <c r="K23" s="943"/>
      <c r="L23" s="944"/>
    </row>
    <row r="24" spans="1:12">
      <c r="A24" s="955"/>
      <c r="B24" s="958"/>
      <c r="C24" s="958"/>
      <c r="D24" s="958"/>
      <c r="E24" s="959"/>
      <c r="F24" s="45"/>
      <c r="G24" s="965"/>
      <c r="H24" s="943"/>
      <c r="I24" s="943"/>
      <c r="J24" s="943"/>
      <c r="K24" s="943"/>
      <c r="L24" s="944"/>
    </row>
    <row r="25" spans="1:12" ht="16" thickBot="1">
      <c r="A25" s="956"/>
      <c r="B25" s="989"/>
      <c r="C25" s="989"/>
      <c r="D25" s="989"/>
      <c r="E25" s="990"/>
      <c r="F25" s="45"/>
      <c r="G25" s="980"/>
      <c r="H25" s="945"/>
      <c r="I25" s="945"/>
      <c r="J25" s="945"/>
      <c r="K25" s="945"/>
      <c r="L25" s="946"/>
    </row>
    <row r="27" spans="1:12" ht="19">
      <c r="E27" s="979" t="s">
        <v>334</v>
      </c>
      <c r="F27" s="979"/>
      <c r="G27" s="979"/>
      <c r="H27" s="979"/>
      <c r="I27" s="979"/>
    </row>
    <row r="28" spans="1:12" ht="6" customHeight="1">
      <c r="E28" s="71"/>
      <c r="F28" s="71"/>
      <c r="G28" s="71"/>
      <c r="H28" s="71"/>
      <c r="I28" s="71"/>
    </row>
    <row r="29" spans="1:12" s="33" customFormat="1" ht="21" customHeight="1" thickBot="1">
      <c r="B29" s="75" t="s">
        <v>95</v>
      </c>
      <c r="C29" s="75"/>
      <c r="D29" s="75"/>
      <c r="E29" s="75"/>
      <c r="F29" s="75"/>
      <c r="G29" s="75"/>
      <c r="H29" s="75"/>
      <c r="I29" s="75"/>
      <c r="J29" s="75"/>
      <c r="K29" s="75"/>
      <c r="L29" s="75"/>
    </row>
    <row r="30" spans="1:12" ht="6" customHeight="1" thickBot="1">
      <c r="B30" s="73"/>
    </row>
    <row r="31" spans="1:12" ht="21.75" customHeight="1" thickBot="1">
      <c r="B31" s="962" t="s">
        <v>128</v>
      </c>
      <c r="C31" s="963"/>
      <c r="D31" s="963"/>
      <c r="E31" s="964"/>
      <c r="F31" s="76"/>
      <c r="G31" s="978" t="s">
        <v>319</v>
      </c>
      <c r="H31" s="941"/>
      <c r="I31" s="941"/>
      <c r="J31" s="77" t="s">
        <v>293</v>
      </c>
      <c r="K31" s="941" t="s">
        <v>291</v>
      </c>
      <c r="L31" s="942"/>
    </row>
    <row r="32" spans="1:12" ht="14.25" customHeight="1">
      <c r="A32" s="954" t="s">
        <v>306</v>
      </c>
      <c r="B32" s="981"/>
      <c r="C32" s="982"/>
      <c r="D32" s="982"/>
      <c r="E32" s="983"/>
      <c r="F32" s="45"/>
      <c r="G32" s="991"/>
      <c r="H32" s="939"/>
      <c r="I32" s="939"/>
      <c r="J32" s="939"/>
      <c r="K32" s="939"/>
      <c r="L32" s="940"/>
    </row>
    <row r="33" spans="1:12" ht="16.5" customHeight="1">
      <c r="A33" s="955"/>
      <c r="B33" s="975"/>
      <c r="C33" s="976"/>
      <c r="D33" s="976"/>
      <c r="E33" s="984"/>
      <c r="F33" s="45"/>
      <c r="G33" s="950"/>
      <c r="H33" s="935"/>
      <c r="I33" s="935"/>
      <c r="J33" s="935"/>
      <c r="K33" s="935"/>
      <c r="L33" s="936"/>
    </row>
    <row r="34" spans="1:12">
      <c r="A34" s="955"/>
      <c r="B34" s="951" t="str">
        <f>IF(Recommendations!I43="","",Recommendations!I43)</f>
        <v/>
      </c>
      <c r="C34" s="952"/>
      <c r="D34" s="952"/>
      <c r="E34" s="953"/>
      <c r="F34" s="45"/>
      <c r="G34" s="950"/>
      <c r="H34" s="935"/>
      <c r="I34" s="935"/>
      <c r="J34" s="935"/>
      <c r="K34" s="935"/>
      <c r="L34" s="936"/>
    </row>
    <row r="35" spans="1:12">
      <c r="A35" s="955"/>
      <c r="B35" s="951"/>
      <c r="C35" s="952"/>
      <c r="D35" s="952"/>
      <c r="E35" s="953"/>
      <c r="F35" s="45"/>
      <c r="G35" s="950"/>
      <c r="H35" s="935"/>
      <c r="I35" s="935"/>
      <c r="J35" s="935"/>
      <c r="K35" s="935"/>
      <c r="L35" s="936"/>
    </row>
    <row r="36" spans="1:12">
      <c r="A36" s="955"/>
      <c r="B36" s="951" t="str">
        <f>+IF(Recommendations!I53="","",Recommendations!I53)</f>
        <v/>
      </c>
      <c r="C36" s="952"/>
      <c r="D36" s="952"/>
      <c r="E36" s="953"/>
      <c r="F36" s="45"/>
      <c r="G36" s="950"/>
      <c r="H36" s="935"/>
      <c r="I36" s="935"/>
      <c r="J36" s="935"/>
      <c r="K36" s="935"/>
      <c r="L36" s="936"/>
    </row>
    <row r="37" spans="1:12">
      <c r="A37" s="955"/>
      <c r="B37" s="951"/>
      <c r="C37" s="952"/>
      <c r="D37" s="952"/>
      <c r="E37" s="953"/>
      <c r="F37" s="45"/>
      <c r="G37" s="950"/>
      <c r="H37" s="935"/>
      <c r="I37" s="935"/>
      <c r="J37" s="935"/>
      <c r="K37" s="935"/>
      <c r="L37" s="936"/>
    </row>
    <row r="38" spans="1:12">
      <c r="A38" s="955"/>
      <c r="B38" s="951"/>
      <c r="C38" s="952"/>
      <c r="D38" s="952"/>
      <c r="E38" s="953"/>
      <c r="F38" s="45"/>
      <c r="G38" s="950"/>
      <c r="H38" s="935"/>
      <c r="I38" s="935"/>
      <c r="J38" s="935"/>
      <c r="K38" s="935"/>
      <c r="L38" s="936"/>
    </row>
    <row r="39" spans="1:12">
      <c r="A39" s="955"/>
      <c r="B39" s="951"/>
      <c r="C39" s="952"/>
      <c r="D39" s="952"/>
      <c r="E39" s="953"/>
      <c r="F39" s="45"/>
      <c r="G39" s="950"/>
      <c r="H39" s="935"/>
      <c r="I39" s="935"/>
      <c r="J39" s="935"/>
      <c r="K39" s="935"/>
      <c r="L39" s="936"/>
    </row>
    <row r="40" spans="1:12">
      <c r="A40" s="955"/>
      <c r="B40" s="951"/>
      <c r="C40" s="952"/>
      <c r="D40" s="952"/>
      <c r="E40" s="953"/>
      <c r="F40" s="45"/>
      <c r="G40" s="950"/>
      <c r="H40" s="935"/>
      <c r="I40" s="935"/>
      <c r="J40" s="935"/>
      <c r="K40" s="935"/>
      <c r="L40" s="936"/>
    </row>
    <row r="41" spans="1:12">
      <c r="A41" s="955"/>
      <c r="B41" s="951"/>
      <c r="C41" s="952"/>
      <c r="D41" s="952"/>
      <c r="E41" s="953"/>
      <c r="F41" s="45"/>
      <c r="G41" s="950"/>
      <c r="H41" s="935"/>
      <c r="I41" s="935"/>
      <c r="J41" s="935"/>
      <c r="K41" s="935"/>
      <c r="L41" s="936"/>
    </row>
    <row r="42" spans="1:12">
      <c r="A42" s="955"/>
      <c r="B42" s="951"/>
      <c r="C42" s="952"/>
      <c r="D42" s="952"/>
      <c r="E42" s="953"/>
      <c r="F42" s="45"/>
      <c r="G42" s="950"/>
      <c r="H42" s="935"/>
      <c r="I42" s="935"/>
      <c r="J42" s="935"/>
      <c r="K42" s="935"/>
      <c r="L42" s="936"/>
    </row>
    <row r="43" spans="1:12" ht="16" thickBot="1">
      <c r="A43" s="956"/>
      <c r="B43" s="985"/>
      <c r="C43" s="986"/>
      <c r="D43" s="986"/>
      <c r="E43" s="987"/>
      <c r="F43" s="45"/>
      <c r="G43" s="988"/>
      <c r="H43" s="937"/>
      <c r="I43" s="937"/>
      <c r="J43" s="937"/>
      <c r="K43" s="937"/>
      <c r="L43" s="938"/>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2021-01-27T08:22:48Z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