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damashvili\OneDrive\CCM Dashboard\2023\P1\To send\"/>
    </mc:Choice>
  </mc:AlternateContent>
  <bookViews>
    <workbookView xWindow="-105" yWindow="-105" windowWidth="19425" windowHeight="10305" tabRatio="717"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overageColumn">'[1]Reference Records'!$A$79:$A$156</definedName>
    <definedName name="CoverageStart">'[1]Reference Records'!$A$79:$A$79</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Management!$A$1:$L$37</definedName>
    <definedName name="_xlnm.Print_Area" localSheetId="6">Programmatic!$A$1:$Q$31</definedName>
    <definedName name="PrintA">Actions!$A$2:$L$34</definedName>
    <definedName name="PrintDataF">'Data Entry'!$B$25:$J$64</definedName>
    <definedName name="PrintDataM">'Data Entry'!$B$66:$H$113</definedName>
    <definedName name="PrintF">Finance!$A$2:$K$31</definedName>
    <definedName name="PrintGD">'Grant Detail'!$A$2:$J$13</definedName>
    <definedName name="PrintM" localSheetId="8">Actions!$A$2:$L$6</definedName>
    <definedName name="PrintM">Management!$A$2:$L$39</definedName>
    <definedName name="PrintP">Programmatic!$A$2:$P$32</definedName>
    <definedName name="PrintR">Recommendations!$A$2:$N$41</definedName>
    <definedName name="Rating">Setup!$G$9:$G$14</definedName>
    <definedName name="Round">Setup!$D$9:$D$21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35" l="1"/>
  <c r="L35" i="35"/>
  <c r="L36" i="35"/>
  <c r="L37" i="35"/>
  <c r="L31" i="35"/>
  <c r="L32" i="35"/>
  <c r="L33" i="35"/>
  <c r="J34" i="35"/>
  <c r="J35" i="35"/>
  <c r="J36" i="35"/>
  <c r="J37" i="35"/>
  <c r="C32" i="29" l="1"/>
  <c r="D51" i="29" l="1"/>
  <c r="C46" i="29"/>
  <c r="D46" i="29" l="1"/>
  <c r="D52" i="29" s="1"/>
  <c r="C34" i="29" l="1"/>
  <c r="D34" i="29" s="1"/>
  <c r="E34" i="29" s="1"/>
  <c r="F34" i="29" s="1"/>
  <c r="G34" i="29" s="1"/>
  <c r="H34" i="29" s="1"/>
  <c r="I34" i="29" s="1"/>
  <c r="J34" i="29" s="1"/>
  <c r="K34" i="29" s="1"/>
  <c r="L34" i="29" s="1"/>
  <c r="C33" i="29"/>
  <c r="D33" i="29" s="1"/>
  <c r="E33" i="29" s="1"/>
  <c r="F33" i="29" s="1"/>
  <c r="G33" i="29" s="1"/>
  <c r="H33" i="29" s="1"/>
  <c r="I33" i="29" s="1"/>
  <c r="J33" i="29" s="1"/>
  <c r="K33" i="29" s="1"/>
  <c r="L33" i="29" s="1"/>
  <c r="M34" i="29" l="1"/>
  <c r="N34" i="29" s="1"/>
  <c r="M33" i="29"/>
  <c r="N33" i="29" s="1"/>
  <c r="K35" i="35" l="1"/>
  <c r="K36" i="35"/>
  <c r="K37" i="35"/>
  <c r="K34" i="35"/>
  <c r="D109" i="29"/>
  <c r="E108" i="29" l="1"/>
  <c r="G108" i="29" s="1"/>
  <c r="I120" i="29" l="1"/>
  <c r="J120" i="29"/>
  <c r="I122" i="29"/>
  <c r="J122" i="29"/>
  <c r="I126" i="29"/>
  <c r="J126" i="29"/>
  <c r="I128" i="29"/>
  <c r="J128" i="29"/>
  <c r="I130" i="29"/>
  <c r="J130" i="29"/>
  <c r="I132" i="29"/>
  <c r="J132" i="29"/>
  <c r="I134" i="29"/>
  <c r="J134" i="29"/>
  <c r="I136" i="29"/>
  <c r="J136" i="29"/>
  <c r="I138" i="29"/>
  <c r="J138" i="29"/>
  <c r="H164" i="29" l="1"/>
  <c r="H162" i="29"/>
  <c r="H166" i="29" l="1"/>
  <c r="F29" i="37"/>
  <c r="F28" i="37"/>
  <c r="F27" i="37"/>
  <c r="E27" i="37"/>
  <c r="E29" i="37"/>
  <c r="E28" i="37"/>
  <c r="H37" i="35"/>
  <c r="H34" i="35"/>
  <c r="H35" i="35"/>
  <c r="H36" i="35"/>
  <c r="H31" i="35"/>
  <c r="H32" i="35"/>
  <c r="H33" i="35"/>
  <c r="I37" i="35"/>
  <c r="I33" i="35"/>
  <c r="I34" i="35"/>
  <c r="I35" i="35"/>
  <c r="I36" i="35"/>
  <c r="I32" i="35"/>
  <c r="I31" i="35"/>
  <c r="I164" i="29"/>
  <c r="J164" i="29"/>
  <c r="K164" i="29"/>
  <c r="L164" i="29"/>
  <c r="M164" i="29"/>
  <c r="N164" i="29"/>
  <c r="O164" i="29"/>
  <c r="P164" i="29"/>
  <c r="Q164" i="29"/>
  <c r="R164" i="29"/>
  <c r="S164" i="29"/>
  <c r="I162" i="29"/>
  <c r="J162" i="29"/>
  <c r="K162" i="29"/>
  <c r="L162" i="29"/>
  <c r="M162" i="29"/>
  <c r="N162" i="29"/>
  <c r="O162" i="29"/>
  <c r="P162" i="29"/>
  <c r="Q162" i="29"/>
  <c r="R162" i="29"/>
  <c r="S162" i="29"/>
  <c r="L165" i="29"/>
  <c r="M165" i="29"/>
  <c r="N165" i="29"/>
  <c r="O165" i="29"/>
  <c r="P165" i="29"/>
  <c r="Q165" i="29"/>
  <c r="R165" i="29"/>
  <c r="S165" i="29"/>
  <c r="L163" i="29"/>
  <c r="M163" i="29"/>
  <c r="N163" i="29"/>
  <c r="O163" i="29"/>
  <c r="P163" i="29"/>
  <c r="Q163" i="29"/>
  <c r="R163" i="29"/>
  <c r="S163" i="29"/>
  <c r="L161" i="29"/>
  <c r="M161" i="29"/>
  <c r="N161" i="29"/>
  <c r="O161" i="29"/>
  <c r="P161" i="29"/>
  <c r="Q161" i="29"/>
  <c r="R161" i="29"/>
  <c r="S161" i="29"/>
  <c r="E113" i="29" l="1"/>
  <c r="G113" i="29" s="1"/>
  <c r="I113" i="29" s="1"/>
  <c r="K113" i="29" s="1"/>
  <c r="E114" i="29"/>
  <c r="F26" i="37" l="1"/>
  <c r="F25" i="37"/>
  <c r="F24" i="37"/>
  <c r="F23" i="37"/>
  <c r="F22" i="37"/>
  <c r="F21" i="37"/>
  <c r="F20" i="37"/>
  <c r="K155" i="29"/>
  <c r="I156" i="29"/>
  <c r="J156" i="29"/>
  <c r="K156" i="29"/>
  <c r="K157" i="29"/>
  <c r="I158" i="29"/>
  <c r="J158" i="29"/>
  <c r="K158" i="29"/>
  <c r="K159" i="29"/>
  <c r="I160" i="29"/>
  <c r="J160" i="29"/>
  <c r="K160" i="29"/>
  <c r="I161" i="29"/>
  <c r="J161" i="29"/>
  <c r="K161" i="29"/>
  <c r="K163" i="29"/>
  <c r="I165" i="29"/>
  <c r="J165" i="29"/>
  <c r="K165" i="29"/>
  <c r="I166" i="29"/>
  <c r="J166" i="29"/>
  <c r="K166" i="29"/>
  <c r="H165" i="29"/>
  <c r="H161" i="29"/>
  <c r="H160" i="29"/>
  <c r="H158" i="29"/>
  <c r="H156" i="29"/>
  <c r="F165" i="29"/>
  <c r="F163" i="29"/>
  <c r="F161" i="29"/>
  <c r="E165" i="29"/>
  <c r="E163" i="29"/>
  <c r="E161" i="29"/>
  <c r="B165" i="29"/>
  <c r="B163" i="29"/>
  <c r="B161" i="29"/>
  <c r="J163" i="29"/>
  <c r="I163" i="29"/>
  <c r="H163" i="29"/>
  <c r="E22" i="37"/>
  <c r="H138" i="29"/>
  <c r="J155" i="29"/>
  <c r="I155" i="29"/>
  <c r="H120" i="29"/>
  <c r="E20" i="37" s="1"/>
  <c r="H132" i="29"/>
  <c r="E23" i="37" s="1"/>
  <c r="H128" i="29"/>
  <c r="E25" i="37" s="1"/>
  <c r="J159" i="29"/>
  <c r="I159" i="29"/>
  <c r="H134" i="29"/>
  <c r="E26" i="37" s="1"/>
  <c r="H136" i="29"/>
  <c r="H126" i="29"/>
  <c r="E24" i="37" s="1"/>
  <c r="I157" i="29"/>
  <c r="H130" i="29"/>
  <c r="J157" i="29"/>
  <c r="H122" i="29"/>
  <c r="H157" i="29" l="1"/>
  <c r="F109" i="29"/>
  <c r="G109" i="29" s="1"/>
  <c r="G23" i="37"/>
  <c r="E21" i="37"/>
  <c r="H155" i="29"/>
  <c r="H159" i="29"/>
  <c r="G26" i="37"/>
  <c r="G29" i="37"/>
  <c r="I30" i="35"/>
  <c r="E110" i="29"/>
  <c r="I109" i="29"/>
  <c r="I108" i="29"/>
  <c r="K108" i="29" l="1"/>
  <c r="J31" i="35"/>
  <c r="K109" i="29"/>
  <c r="J32" i="35"/>
  <c r="G110" i="29"/>
  <c r="I110" i="29" s="1"/>
  <c r="Q3" i="37"/>
  <c r="K110" i="29" l="1"/>
  <c r="J33" i="35"/>
  <c r="E112" i="29"/>
  <c r="E51" i="29" l="1"/>
  <c r="E52" i="29" l="1"/>
  <c r="G30" i="37"/>
  <c r="E111" i="29"/>
  <c r="G111" i="29" s="1"/>
  <c r="I111" i="29" s="1"/>
  <c r="G112" i="29"/>
  <c r="I112" i="29" s="1"/>
  <c r="K112" i="29" s="1"/>
  <c r="G114" i="29"/>
  <c r="I114" i="29" s="1"/>
  <c r="E107" i="29"/>
  <c r="G107" i="29" s="1"/>
  <c r="I107" i="29" s="1"/>
  <c r="K30" i="35"/>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9" i="29"/>
  <c r="E88" i="29"/>
  <c r="D11" i="42"/>
  <c r="J3" i="35"/>
  <c r="I3" i="30"/>
  <c r="K3" i="30"/>
  <c r="D33" i="42"/>
  <c r="D34" i="42"/>
  <c r="D35" i="42"/>
  <c r="D36" i="42"/>
  <c r="D37" i="42"/>
  <c r="D38" i="42"/>
  <c r="D39" i="42"/>
  <c r="D40" i="42"/>
  <c r="D41" i="42"/>
  <c r="D32" i="42"/>
  <c r="F157" i="29"/>
  <c r="F155" i="29"/>
  <c r="E157" i="29"/>
  <c r="E155" i="29"/>
  <c r="B157" i="29"/>
  <c r="B155" i="29"/>
  <c r="B32" i="29"/>
  <c r="D38" i="29"/>
  <c r="C38" i="29"/>
  <c r="B31" i="29"/>
  <c r="E50"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G71" i="29"/>
  <c r="K27" i="30"/>
  <c r="J27" i="30"/>
  <c r="K28" i="30"/>
  <c r="J28" i="30"/>
  <c r="K29" i="30"/>
  <c r="J29" i="30"/>
  <c r="B4" i="39"/>
  <c r="D5" i="39"/>
  <c r="E4" i="39"/>
  <c r="K5" i="39"/>
  <c r="J4" i="39"/>
  <c r="L3" i="39"/>
  <c r="J3" i="39"/>
  <c r="L5" i="42"/>
  <c r="L4" i="42"/>
  <c r="E5" i="42"/>
  <c r="E4" i="42"/>
  <c r="B4" i="42"/>
  <c r="M3" i="42"/>
  <c r="L3" i="42"/>
  <c r="E4" i="37"/>
  <c r="H30" i="35"/>
  <c r="B26" i="35"/>
  <c r="B13" i="27"/>
  <c r="B11" i="27"/>
  <c r="G10" i="27"/>
  <c r="D9" i="27"/>
  <c r="F6" i="27"/>
  <c r="E78" i="29"/>
  <c r="D5" i="35"/>
  <c r="E4" i="35"/>
  <c r="K5" i="35"/>
  <c r="J4" i="35"/>
  <c r="D5" i="37"/>
  <c r="P5" i="37"/>
  <c r="P4" i="37"/>
  <c r="O3" i="37"/>
  <c r="J5" i="30"/>
  <c r="D5" i="30"/>
  <c r="I4" i="30"/>
  <c r="E4" i="30"/>
  <c r="L8" i="37"/>
  <c r="F8" i="37"/>
  <c r="B8" i="37"/>
  <c r="B25" i="37"/>
  <c r="B24" i="37"/>
  <c r="B22" i="37"/>
  <c r="B21" i="37"/>
  <c r="B20" i="37"/>
  <c r="E54" i="29"/>
  <c r="M154" i="29"/>
  <c r="L154" i="29"/>
  <c r="K154" i="29"/>
  <c r="J154" i="29"/>
  <c r="I154" i="29"/>
  <c r="H154" i="29"/>
  <c r="B36" i="39"/>
  <c r="B34" i="39"/>
  <c r="E53" i="29"/>
  <c r="B37" i="35"/>
  <c r="Y24" i="37"/>
  <c r="AA21" i="37"/>
  <c r="Z21" i="37"/>
  <c r="Y21" i="37"/>
  <c r="S30" i="37"/>
  <c r="S32" i="37"/>
  <c r="S34" i="37"/>
  <c r="S35" i="37"/>
  <c r="S33" i="37"/>
  <c r="S31" i="37"/>
  <c r="F20" i="42"/>
  <c r="Z24" i="37"/>
  <c r="AA24" i="37"/>
  <c r="AA22" i="37"/>
  <c r="Y22" i="37"/>
  <c r="Z22" i="37"/>
  <c r="Y25" i="37"/>
  <c r="AA25" i="37"/>
  <c r="Z25" i="37"/>
  <c r="C35" i="29"/>
  <c r="D30" i="42"/>
  <c r="D31" i="42"/>
  <c r="D29" i="42"/>
  <c r="J30" i="35" l="1"/>
  <c r="L30" i="35" s="1"/>
  <c r="K107" i="29"/>
  <c r="F46" i="29"/>
  <c r="H7" i="35"/>
  <c r="B8" i="30"/>
  <c r="B15" i="35"/>
  <c r="H15" i="35"/>
  <c r="H26" i="35"/>
  <c r="B7" i="35"/>
  <c r="H22" i="30"/>
  <c r="B3" i="32"/>
  <c r="H8" i="30"/>
  <c r="B22" i="30"/>
  <c r="G20" i="37"/>
  <c r="G22" i="37"/>
  <c r="G25" i="37"/>
  <c r="G28" i="37"/>
  <c r="K114" i="29"/>
  <c r="K111" i="29"/>
  <c r="G21" i="37"/>
  <c r="G24" i="37"/>
  <c r="G27" i="37"/>
  <c r="E35" i="29"/>
  <c r="D35" i="29"/>
  <c r="F35" i="29" l="1"/>
  <c r="G35" i="29" l="1"/>
  <c r="H35" i="29" l="1"/>
  <c r="I35" i="29" l="1"/>
  <c r="J35" i="29" l="1"/>
  <c r="K35" i="29" l="1"/>
  <c r="L35" i="29" l="1"/>
  <c r="M35" i="29" l="1"/>
  <c r="S50" i="29"/>
  <c r="P35" i="29"/>
  <c r="Q31" i="29" l="1"/>
</calcChain>
</file>

<file path=xl/comments1.xml><?xml version="1.0" encoding="utf-8"?>
<comments xmlns="http://schemas.openxmlformats.org/spreadsheetml/2006/main">
  <authors>
    <author>mgleixner</author>
    <author>molszak</author>
  </authors>
  <commentList>
    <comment ref="B30" authorId="0" shapeId="0">
      <text>
        <r>
          <rPr>
            <sz val="8"/>
            <color rgb="FF000000"/>
            <rFont val="Tahoma"/>
            <family val="2"/>
          </rPr>
          <t>To define your periods (eg. P1, P2, P3 etc or P9, P10, P11 etc) you need to unprotect the cells.</t>
        </r>
      </text>
    </comment>
    <comment ref="B71" authorId="1" shapeId="0">
      <text>
        <r>
          <rPr>
            <b/>
            <sz val="8"/>
            <color indexed="81"/>
            <rFont val="Tahoma"/>
            <family val="2"/>
          </rPr>
          <t xml:space="preserve">If data are not available, do not enter zeros; rather, leave the cells in the table blank. </t>
        </r>
      </text>
    </comment>
    <comment ref="B72" authorId="1" shapeId="0">
      <text>
        <r>
          <rPr>
            <b/>
            <sz val="8"/>
            <color indexed="81"/>
            <rFont val="Tahoma"/>
            <family val="2"/>
          </rPr>
          <t>If data are not available, do not enter zeros; rather, leave the cells in this table blank.</t>
        </r>
      </text>
    </comment>
    <comment ref="B78" authorId="0" shapeId="0">
      <text>
        <r>
          <rPr>
            <sz val="8"/>
            <color indexed="81"/>
            <rFont val="Tahoma"/>
            <family val="2"/>
          </rPr>
          <t xml:space="preserve">If data are not available, do not enter zeros; rather, leave the cells in this table blank. </t>
        </r>
      </text>
    </comment>
    <comment ref="B93"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<sst xmlns="http://schemas.openxmlformats.org/spreadsheetml/2006/main" count="666" uniqueCount="481">
  <si>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</si>
  <si>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</si>
  <si>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</si>
  <si>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</si>
  <si>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</si>
  <si>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</si>
  <si>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</si>
  <si>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</si>
  <si>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</si>
  <si>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</si>
  <si>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</si>
  <si>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</si>
  <si>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</si>
  <si>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</si>
  <si>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</si>
  <si>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</si>
  <si>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</si>
  <si>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</si>
  <si>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</si>
  <si>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</si>
  <si>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</si>
  <si>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</si>
  <si>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</si>
  <si>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</si>
  <si>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</si>
  <si>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</si>
  <si>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</si>
  <si>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</si>
  <si>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</si>
  <si>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</si>
  <si>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</si>
  <si>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</si>
  <si>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</si>
  <si>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</si>
  <si>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</si>
  <si>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</si>
  <si>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</si>
  <si>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</si>
  <si>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</si>
  <si>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</si>
  <si>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</si>
  <si>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</si>
  <si>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</si>
  <si>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</si>
  <si>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</si>
  <si>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</si>
  <si>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</si>
  <si>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</si>
  <si>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</si>
  <si>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</si>
  <si>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</si>
  <si>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</si>
  <si>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</si>
  <si>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</si>
  <si>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</si>
  <si>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</si>
  <si>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</si>
  <si>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</si>
  <si>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</si>
  <si>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</si>
  <si>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</si>
  <si>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</si>
  <si>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</si>
  <si>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</si>
  <si>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</si>
  <si>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</si>
  <si>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</si>
  <si>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</si>
  <si>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</si>
  <si>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</si>
  <si>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</si>
  <si>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</si>
  <si>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</si>
  <si>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</si>
  <si>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</si>
  <si>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</si>
  <si>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</si>
  <si>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</si>
  <si>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</si>
  <si>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</si>
  <si>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</si>
  <si>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</si>
  <si>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</si>
  <si>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</si>
  <si>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</si>
  <si>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</si>
  <si>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</si>
  <si>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</si>
  <si>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</si>
  <si>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</si>
  <si>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</si>
  <si>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</si>
  <si>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</si>
  <si>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</si>
  <si>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</si>
  <si>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</si>
  <si>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</si>
  <si>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</si>
  <si>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</si>
  <si>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</si>
  <si>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</si>
  <si>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</si>
  <si>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</si>
  <si>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</si>
  <si>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</si>
  <si>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</si>
  <si>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</si>
  <si>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</si>
  <si>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</si>
  <si>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</si>
  <si>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</si>
  <si>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</si>
  <si>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</si>
  <si>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</si>
  <si>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</si>
  <si>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</si>
  <si>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</si>
  <si>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</si>
  <si>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</si>
  <si>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</si>
  <si>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</si>
  <si>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</si>
  <si>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</si>
  <si>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</si>
  <si>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</si>
  <si>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</si>
  <si>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</si>
  <si>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</si>
  <si>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</si>
  <si>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</si>
  <si>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</si>
  <si>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</si>
  <si>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</si>
  <si>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</si>
  <si>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</si>
  <si>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</si>
  <si>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</si>
  <si>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</si>
  <si>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</si>
  <si>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</si>
  <si>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</si>
  <si>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</si>
  <si>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</si>
  <si>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</si>
  <si>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</si>
  <si>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</si>
  <si>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</si>
  <si>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</si>
  <si>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</si>
  <si>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</si>
  <si>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</si>
  <si>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</si>
  <si>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</si>
  <si>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</si>
  <si>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</si>
  <si>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</si>
  <si>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</si>
  <si>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</si>
  <si>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</si>
  <si>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</si>
  <si>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</si>
  <si>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</si>
  <si>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</si>
  <si>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</si>
  <si>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</si>
  <si>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</si>
  <si>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</si>
  <si>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</si>
  <si>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</si>
  <si>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</si>
  <si>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</si>
  <si>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</si>
  <si>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</si>
  <si>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</si>
  <si>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</si>
  <si>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</si>
  <si>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</si>
  <si>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</si>
  <si>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</si>
  <si>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</si>
  <si>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</si>
  <si>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</si>
  <si>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</si>
  <si>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</si>
  <si>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</si>
  <si>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</si>
  <si>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</si>
  <si>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</si>
  <si>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</si>
  <si>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</si>
  <si>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</si>
  <si>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</si>
  <si>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</si>
  <si>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</si>
  <si>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</si>
  <si>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</si>
  <si>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</si>
  <si>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</si>
  <si>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</si>
  <si>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</si>
  <si>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</si>
  <si>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</si>
  <si>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</si>
  <si>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</si>
  <si>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</si>
  <si>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</si>
  <si>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</si>
  <si>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</si>
  <si>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</si>
  <si>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</si>
  <si>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</si>
  <si>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</si>
  <si>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</si>
  <si>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</si>
  <si>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</si>
  <si>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</si>
  <si>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</si>
  <si>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</si>
  <si>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</si>
  <si>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</si>
  <si>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</si>
  <si>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</si>
  <si>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</si>
  <si>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</si>
  <si>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</si>
  <si>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</si>
  <si>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</si>
  <si>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</si>
  <si>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</si>
  <si>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</si>
  <si>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</si>
  <si>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</si>
  <si>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</si>
  <si>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</si>
  <si>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</si>
  <si>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</si>
  <si>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</si>
  <si>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</si>
  <si>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</si>
  <si>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</si>
  <si>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</si>
  <si>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</si>
  <si>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</si>
  <si>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</si>
  <si>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</si>
  <si>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</si>
  <si>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</si>
  <si>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</si>
  <si>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</si>
  <si>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</si>
  <si>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</si>
  <si>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</si>
  <si>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</si>
  <si>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</si>
  <si>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</si>
  <si>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</si>
  <si>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</si>
  <si>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</si>
  <si>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</si>
  <si>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</si>
  <si>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</si>
  <si>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</si>
  <si>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</si>
  <si>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</si>
  <si>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</si>
  <si>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</si>
  <si>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</si>
  <si>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</si>
  <si>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</si>
  <si>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</si>
  <si>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</si>
  <si>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</si>
  <si>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</si>
  <si>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</si>
  <si>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</si>
  <si>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</si>
  <si>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</si>
  <si>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</si>
  <si>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</si>
  <si>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</si>
  <si>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</si>
  <si>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</si>
  <si>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</si>
  <si>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</si>
  <si>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</si>
  <si>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</si>
  <si>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</si>
  <si>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</si>
  <si>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</si>
  <si>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</si>
  <si>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</si>
  <si>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</si>
  <si>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</si>
  <si>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</si>
  <si>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</si>
  <si>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</si>
  <si>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</si>
  <si>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</si>
  <si>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</si>
  <si>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</si>
  <si>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</si>
  <si>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</si>
  <si>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</si>
  <si>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</si>
  <si>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</si>
  <si>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</si>
  <si>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</si>
  <si>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</si>
  <si>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</si>
  <si>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</si>
  <si>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</si>
  <si>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</si>
  <si>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</si>
  <si>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</si>
  <si>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</si>
  <si>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</si>
  <si>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</si>
  <si>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</si>
  <si>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</si>
  <si>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</si>
  <si>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</si>
  <si>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</si>
  <si>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</si>
  <si>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</si>
  <si>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</si>
  <si>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</si>
  <si>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</si>
  <si>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</si>
  <si>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</si>
  <si>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</si>
  <si>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</si>
  <si>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</si>
  <si>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</si>
  <si>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</si>
  <si>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</si>
  <si>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</si>
  <si>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</si>
  <si>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</si>
  <si>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</si>
  <si>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</si>
  <si>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</si>
  <si>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</si>
  <si>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</si>
  <si>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</si>
  <si>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</si>
  <si>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</si>
  <si>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</si>
  <si>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</si>
  <si>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</si>
  <si>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</si>
  <si>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</si>
  <si>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</si>
  <si>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</si>
  <si>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</si>
  <si>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</si>
  <si>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</si>
  <si>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</si>
  <si>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</si>
  <si>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</si>
  <si>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</si>
  <si>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</si>
  <si>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</si>
  <si>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</si>
  <si>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</si>
  <si>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</si>
  <si>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</si>
  <si>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</si>
  <si>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</si>
  <si>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</si>
  <si>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</si>
  <si>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</si>
  <si>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</si>
  <si>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</si>
  <si>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</si>
  <si>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</si>
  <si>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</si>
  <si>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</si>
  <si>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</si>
  <si>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</si>
  <si>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</si>
  <si>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</si>
  <si>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</si>
  <si>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</si>
  <si>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</si>
  <si>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</si>
  <si>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</si>
  <si>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</si>
  <si>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</si>
  <si>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</si>
  <si>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</si>
  <si>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</si>
  <si>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</si>
  <si>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</si>
  <si>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</si>
  <si>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</si>
  <si>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</si>
  <si>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</si>
  <si>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</si>
  <si>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</si>
  <si>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</si>
  <si>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</si>
  <si>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</si>
  <si>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</si>
  <si>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</si>
  <si>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</si>
  <si>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</si>
  <si>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</si>
  <si>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</si>
  <si>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NCDC</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</si>
  <si>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</si>
  <si>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</si>
  <si>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</si>
  <si>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</si>
  <si>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</si>
  <si>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</si>
  <si>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</si>
  <si>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Percentage of MSM reached with HIV prevention programs - defined package of services</t>
  </si>
  <si>
    <t>KP-1a</t>
  </si>
  <si>
    <t>Percentage of MSM that have received an HIV test during the reporting period and know their results</t>
  </si>
  <si>
    <t>Percentage of sex workers reached with HIV prevention programs - defined package of services</t>
  </si>
  <si>
    <t>KP-1c</t>
  </si>
  <si>
    <t>Percentage of sex workers that have received an HIV test during the reporting period and know their results</t>
  </si>
  <si>
    <t>TCS-1</t>
  </si>
  <si>
    <t>N/A</t>
  </si>
  <si>
    <t>NFM</t>
  </si>
  <si>
    <t>NFM Grant Requirements</t>
  </si>
  <si>
    <t xml:space="preserve"> Percentage of individuals receiving Opioid Substitution Therapy who received treatment for at least 6 months</t>
  </si>
  <si>
    <t>Tatyana Vinichenko</t>
  </si>
  <si>
    <t>Disbursed to SR</t>
  </si>
  <si>
    <t>Percentage of eligible people who initiated oral antiretroviral PrEP in the last 12 months.</t>
  </si>
  <si>
    <t xml:space="preserve">KP - Other 1: </t>
  </si>
  <si>
    <t>Dolutegravir/lamivudine/tenofovir</t>
  </si>
  <si>
    <t>Condoms</t>
  </si>
  <si>
    <t>Lubricants</t>
  </si>
  <si>
    <t/>
  </si>
  <si>
    <t>M3: Contractual arrangements</t>
  </si>
  <si>
    <t>Service Providers</t>
  </si>
  <si>
    <t>P13</t>
  </si>
  <si>
    <t>P14</t>
  </si>
  <si>
    <t>GEO-C-NCDC</t>
  </si>
  <si>
    <t>Tamari Kashibadze, Natalia Adamashvili, Nino Vakhania</t>
  </si>
  <si>
    <t>Percentage of transgender people  reached with HIV prevention programs - defined package of services</t>
  </si>
  <si>
    <t>KP-1b</t>
  </si>
  <si>
    <t>HTS-3a</t>
  </si>
  <si>
    <t>THS -3c</t>
  </si>
  <si>
    <t>THS 3d</t>
  </si>
  <si>
    <t>THS -3b</t>
  </si>
  <si>
    <t xml:space="preserve">  Percentage of people on ART among all people living with HIV at the end of the reporting period</t>
  </si>
  <si>
    <t>Number of TB cases with RR-TB and/or MDR-TB notified</t>
  </si>
  <si>
    <t xml:space="preserve">MDR TB-2⁽ᴹ⁾ </t>
  </si>
  <si>
    <t xml:space="preserve"> Number of cases with RR-TB and/or MDR-TB that began second-line treatment</t>
  </si>
  <si>
    <t>MDR TB-3⁽ᴹ⁾</t>
  </si>
  <si>
    <t xml:space="preserve"> Percentage of registered new and relapse TB patients with documented HIV status</t>
  </si>
  <si>
    <t>Strengthening of HIV and Tuberculosis (TB) national systems of prevention, treatment, care and support in Georgia</t>
  </si>
  <si>
    <t>Phase 3</t>
  </si>
  <si>
    <t>Cycloserine</t>
  </si>
  <si>
    <t>Moxifloxacin</t>
  </si>
  <si>
    <t>Clofazimine</t>
  </si>
  <si>
    <t>Linezolid</t>
  </si>
  <si>
    <t>TOP 3 TB
TB</t>
  </si>
  <si>
    <t>TOP 3 HIV</t>
  </si>
  <si>
    <t>TB/HIV-5</t>
  </si>
  <si>
    <t>Percentage of registered new and relapse TB patients with documented HIV status</t>
  </si>
  <si>
    <t>Number of cases with RR-TB and/or MDR-TB that began second-line treatment</t>
  </si>
  <si>
    <t>Definition  (from M&amp;E Plan)</t>
  </si>
  <si>
    <t>Percentage of transgender people that have received an HIV test during the reporting period and know their results</t>
  </si>
  <si>
    <t xml:space="preserve">  </t>
  </si>
  <si>
    <t>Stock was renewed in May, 2023</t>
  </si>
  <si>
    <t>Prevention</t>
  </si>
  <si>
    <t>Reducing human rights-related barriers to HIV/TB services</t>
  </si>
  <si>
    <t>Differentiated HIV Testing Services</t>
  </si>
  <si>
    <t>MDR-TB</t>
  </si>
  <si>
    <t>RSSH: Human resources for health, including community health workers</t>
  </si>
  <si>
    <t xml:space="preserve">Despite the increased coverage with screening and diagnosis in 2022 through a number active case finding campaigns (19,000 Xpert tests were performed in 2020, 16,000 in 2021 and 23,000 in 2022), the number of notified RR/MDR cases decreased, however with reduced pace. This is close to the trend analysis given in NSP (2023-2025) and predicting further decline. Although there was no initial increase. The program plans to further accelerate targeted active case finding activities to improve coverage. </t>
  </si>
  <si>
    <t xml:space="preserve">RR/MDR TB patients that began second line treatment include:
1. Bacteriologically confirmed RR-TB and/or MDR-TB cases
2. Clinically diagnosed MDR TB Cases
Despite the increased coverage with screening and diagnosis in 2022 through a number active case finding campaigns (19,000 Xpert tests were performed in 2020, 16,000 in 2021 and 23,000 in 2022), the number of notified RR/MDR cases decreased, however with reduced pace. This is close to the trend analysis given in NSP (2023-2025) and predicting further decline. Although there was no initial increase. The program plans to further accelerate targeted active case finding activities to improve coverage.
</t>
  </si>
  <si>
    <t>MDR TB-2⁽ᴹ⁾ Number of TB cases with RR-TB and/or MDR-TB notified</t>
  </si>
  <si>
    <t>MDR TB-3⁽ᴹ⁾ Number of cases with RR-TB and/or MDR-TB that began second-line treatment</t>
  </si>
  <si>
    <t>TB/HIV-5 Percentage of registered new and relapse TB patients with documented HIV status</t>
  </si>
  <si>
    <t>Number of bacteriologically confirmed RR-TB and/or MDR-TB cases notified</t>
  </si>
  <si>
    <t>Number of RR-TB and/or MDR-TB cases (presumptive or confirmed) registered and started on a prescribed MDR-TB treatment regimen during the period of assessment</t>
  </si>
  <si>
    <t xml:space="preserve">Numerator: Number of new and relapsed TB patients registered during the reporting period who had an HIV test result (whether positive or negative) recorded in the TB register.
Denominator: Number of new and relapsed TB patients registered in the TB register during the reporting 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</si>
</sst>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1"/>
      <name val="Calibri"/>
      <family val="2"/>
      <scheme val="minor"/>
    </font>
    <font>
      <sz val="9"/>
      <color indexed="8"/>
      <name val="Calibri"/>
      <family val="2"/>
    </font>
    <font>
      <b/>
      <sz val="11"/>
      <color indexed="8"/>
      <name val="Calibri"/>
      <family val="2"/>
      <scheme val="minor"/>
    </font>
    <font>
      <sz val="11"/>
      <color indexed="8"/>
      <name val="Calibri"/>
      <family val="2"/>
      <scheme val="minor"/>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9A"/>
        <bgColor indexed="64"/>
      </patternFill>
    </fill>
    <fill>
      <patternFill patternType="solid">
        <fgColor theme="6"/>
        <bgColor indexed="64"/>
      </patternFill>
    </fill>
  </fills>
  <borders count="2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thin">
        <color auto="1"/>
      </right>
      <top style="thin">
        <color auto="1"/>
      </top>
      <bottom style="medium">
        <color auto="1"/>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
      <left/>
      <right/>
      <top style="medium">
        <color indexed="16"/>
      </top>
      <bottom/>
      <diagonal/>
    </border>
    <border>
      <left style="thin">
        <color indexed="16"/>
      </left>
      <right/>
      <top style="medium">
        <color auto="1"/>
      </top>
      <bottom style="thin">
        <color auto="1"/>
      </bottom>
      <diagonal/>
    </border>
    <border>
      <left style="thin">
        <color auto="1"/>
      </left>
      <right style="thin">
        <color auto="1"/>
      </right>
      <top style="thin">
        <color auto="1"/>
      </top>
      <bottom style="medium">
        <color indexed="5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indexed="64"/>
      </bottom>
      <diagonal/>
    </border>
    <border>
      <left style="thin">
        <color auto="1"/>
      </left>
      <right style="thin">
        <color auto="1"/>
      </right>
      <top style="thin">
        <color auto="1"/>
      </top>
      <bottom style="medium">
        <color indexed="16"/>
      </bottom>
      <diagonal/>
    </border>
    <border>
      <left style="thin">
        <color indexed="64"/>
      </left>
      <right style="thin">
        <color indexed="64"/>
      </right>
      <top style="thin">
        <color indexed="64"/>
      </top>
      <bottom style="thin">
        <color indexed="64"/>
      </bottom>
      <diagonal/>
    </border>
  </borders>
  <cellStyleXfs count="7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29" fillId="0" borderId="0"/>
    <xf numFmtId="43" fontId="129" fillId="0" borderId="0"/>
    <xf numFmtId="43" fontId="129" fillId="0" borderId="0"/>
    <xf numFmtId="43" fontId="129"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29"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29" fillId="0" borderId="9" applyNumberFormat="0" applyFill="0" applyAlignment="0" applyProtection="0"/>
    <xf numFmtId="0" fontId="76" fillId="0" borderId="0" applyNumberFormat="0" applyFill="0" applyBorder="0" applyAlignment="0" applyProtection="0"/>
    <xf numFmtId="164" fontId="133" fillId="0" borderId="0" applyFont="0" applyFill="0" applyBorder="0" applyAlignment="0" applyProtection="0"/>
    <xf numFmtId="43" fontId="12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29" fillId="0" borderId="0" applyFont="0" applyFill="0" applyBorder="0" applyAlignment="0" applyProtection="0"/>
    <xf numFmtId="44" fontId="129" fillId="0" borderId="0" applyFont="0" applyFill="0" applyBorder="0" applyAlignment="0" applyProtection="0"/>
  </cellStyleXfs>
  <cellXfs count="910">
    <xf numFmtId="0" fontId="0" fillId="0" borderId="0" xfId="0"/>
    <xf numFmtId="43" fontId="16" fillId="0" borderId="0" xfId="39" applyFont="1" applyAlignment="1">
      <alignment vertical="center"/>
    </xf>
    <xf numFmtId="43" fontId="22" fillId="0" borderId="0" xfId="39" applyFont="1" applyAlignment="1">
      <alignment vertical="center"/>
    </xf>
    <xf numFmtId="0" fontId="21" fillId="0" borderId="0" xfId="0" applyFont="1"/>
    <xf numFmtId="43" fontId="19" fillId="0" borderId="0" xfId="50" applyFont="1"/>
    <xf numFmtId="43" fontId="19" fillId="0" borderId="0" xfId="50" applyFont="1" applyAlignment="1">
      <alignment horizontal="center"/>
    </xf>
    <xf numFmtId="43" fontId="19" fillId="0" borderId="0" xfId="50" applyFont="1" applyAlignment="1">
      <alignment horizontal="right"/>
    </xf>
    <xf numFmtId="43" fontId="129" fillId="0" borderId="0" xfId="49"/>
    <xf numFmtId="43" fontId="15" fillId="0" borderId="0" xfId="49" applyFont="1"/>
    <xf numFmtId="0" fontId="18" fillId="0" borderId="0" xfId="49" applyNumberFormat="1" applyFont="1"/>
    <xf numFmtId="43" fontId="129" fillId="0" borderId="0" xfId="51"/>
    <xf numFmtId="43" fontId="129" fillId="0" borderId="0" xfId="51" applyAlignment="1">
      <alignment horizontal="left"/>
    </xf>
    <xf numFmtId="0" fontId="15" fillId="0" borderId="0" xfId="0" applyFont="1"/>
    <xf numFmtId="43" fontId="15" fillId="0" borderId="0" xfId="51" applyFont="1"/>
    <xf numFmtId="0" fontId="34" fillId="0" borderId="0" xfId="0" applyFont="1"/>
    <xf numFmtId="15" fontId="29" fillId="0" borderId="0" xfId="0" applyNumberFormat="1" applyFont="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Alignment="1">
      <alignment vertical="center"/>
    </xf>
    <xf numFmtId="0" fontId="0" fillId="0" borderId="10" xfId="0" applyBorder="1" applyAlignment="1">
      <alignment horizontal="center"/>
    </xf>
    <xf numFmtId="0" fontId="14" fillId="0" borderId="0" xfId="0" applyFont="1" applyAlignment="1">
      <alignment horizontal="center"/>
    </xf>
    <xf numFmtId="0" fontId="1" fillId="0" borderId="0" xfId="0" applyFont="1"/>
    <xf numFmtId="0" fontId="43" fillId="0" borderId="0" xfId="0" applyFont="1"/>
    <xf numFmtId="0" fontId="43" fillId="0" borderId="0" xfId="0" applyFont="1" applyAlignment="1">
      <alignment horizontal="right"/>
    </xf>
    <xf numFmtId="0" fontId="46" fillId="0" borderId="0" xfId="0" applyFont="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129" fillId="0" borderId="0" xfId="61" applyFill="1" applyBorder="1" applyAlignment="1" applyProtection="1">
      <alignment vertical="center"/>
      <protection locked="0"/>
    </xf>
    <xf numFmtId="165" fontId="32" fillId="0" borderId="0" xfId="0" applyNumberFormat="1" applyFont="1" applyAlignment="1">
      <alignment horizontal="center"/>
    </xf>
    <xf numFmtId="0" fontId="26" fillId="0" borderId="0" xfId="0" applyFont="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Alignment="1">
      <alignment horizontal="center"/>
    </xf>
    <xf numFmtId="22" fontId="0" fillId="0" borderId="0" xfId="0" applyNumberFormat="1"/>
    <xf numFmtId="2" fontId="0" fillId="0" borderId="0" xfId="0" applyNumberFormat="1"/>
    <xf numFmtId="2" fontId="129" fillId="0" borderId="0" xfId="58" applyNumberFormat="1" applyFill="1" applyBorder="1" applyAlignment="1" applyProtection="1">
      <alignment horizontal="center"/>
      <protection locked="0"/>
    </xf>
    <xf numFmtId="0" fontId="15" fillId="0" borderId="0" xfId="0" applyFont="1" applyAlignment="1">
      <alignment horizontal="center"/>
    </xf>
    <xf numFmtId="0" fontId="23" fillId="0" borderId="0" xfId="0" applyFont="1"/>
    <xf numFmtId="0" fontId="15" fillId="0" borderId="0" xfId="0" applyFont="1" applyAlignment="1">
      <alignment horizontal="left" indent="1"/>
    </xf>
    <xf numFmtId="0" fontId="18" fillId="0" borderId="0" xfId="0" applyFont="1" applyAlignment="1">
      <alignment horizontal="left" indent="1"/>
    </xf>
    <xf numFmtId="43" fontId="69" fillId="0" borderId="0" xfId="49" applyFont="1"/>
    <xf numFmtId="43" fontId="69" fillId="0" borderId="0" xfId="51" applyFont="1"/>
    <xf numFmtId="0" fontId="69" fillId="0" borderId="10" xfId="0" applyFont="1" applyBorder="1" applyAlignment="1">
      <alignment horizontal="center"/>
    </xf>
    <xf numFmtId="0" fontId="69" fillId="0" borderId="10" xfId="0" applyFont="1" applyBorder="1"/>
    <xf numFmtId="43" fontId="69" fillId="0" borderId="10" xfId="51" applyFont="1" applyBorder="1"/>
    <xf numFmtId="0" fontId="70" fillId="0" borderId="10" xfId="0" applyFont="1" applyBorder="1" applyAlignment="1">
      <alignment horizontal="left" indent="1"/>
    </xf>
    <xf numFmtId="0" fontId="71" fillId="0" borderId="10" xfId="0" applyFont="1" applyBorder="1"/>
    <xf numFmtId="0" fontId="72"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0" fontId="15" fillId="20" borderId="11" xfId="0" applyFont="1" applyFill="1" applyBorder="1"/>
    <xf numFmtId="9" fontId="15" fillId="20" borderId="11" xfId="56" applyFont="1" applyFill="1" applyBorder="1" applyAlignment="1">
      <alignment horizontal="center"/>
    </xf>
    <xf numFmtId="0" fontId="33" fillId="0" borderId="0" xfId="0" applyFont="1" applyAlignment="1">
      <alignment horizontal="center"/>
    </xf>
    <xf numFmtId="43" fontId="61" fillId="0" borderId="0" xfId="48" applyFont="1" applyAlignment="1">
      <alignment vertical="center"/>
    </xf>
    <xf numFmtId="0" fontId="14" fillId="0" borderId="0" xfId="0" applyFont="1"/>
    <xf numFmtId="0" fontId="79" fillId="19" borderId="12" xfId="0" applyFont="1" applyFill="1" applyBorder="1" applyAlignment="1">
      <alignment vertical="center"/>
    </xf>
    <xf numFmtId="0" fontId="77" fillId="0" borderId="0" xfId="53" applyFont="1" applyAlignment="1">
      <alignment horizontal="center" vertical="center" wrapText="1"/>
    </xf>
    <xf numFmtId="0" fontId="77" fillId="21" borderId="13" xfId="53" applyFont="1" applyFill="1" applyBorder="1" applyAlignment="1">
      <alignment horizontal="center" vertical="center" wrapText="1"/>
    </xf>
    <xf numFmtId="15" fontId="0" fillId="0" borderId="0" xfId="0" applyNumberFormat="1" applyAlignment="1">
      <alignment horizontal="center"/>
    </xf>
    <xf numFmtId="1" fontId="21" fillId="0" borderId="0" xfId="0" applyNumberFormat="1" applyFont="1" applyAlignment="1">
      <alignment horizontal="center"/>
    </xf>
    <xf numFmtId="1" fontId="82" fillId="20" borderId="0" xfId="0" applyNumberFormat="1" applyFont="1" applyFill="1" applyAlignment="1">
      <alignment horizontal="center"/>
    </xf>
    <xf numFmtId="0" fontId="82" fillId="0" borderId="0" xfId="0" applyFont="1" applyAlignment="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Border="1"/>
    <xf numFmtId="43" fontId="31" fillId="0" borderId="14" xfId="61" applyFont="1" applyBorder="1" applyAlignment="1" applyProtection="1"/>
    <xf numFmtId="43" fontId="129"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29"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lignment horizontal="center"/>
    </xf>
    <xf numFmtId="15" fontId="32" fillId="0" borderId="16" xfId="0" applyNumberFormat="1" applyFont="1" applyBorder="1" applyAlignment="1">
      <alignment horizontal="center"/>
    </xf>
    <xf numFmtId="0" fontId="32" fillId="0" borderId="17" xfId="0" applyFont="1" applyBorder="1" applyAlignment="1">
      <alignment horizontal="center"/>
    </xf>
    <xf numFmtId="10" fontId="6" fillId="0" borderId="0" xfId="56" applyNumberFormat="1" applyFont="1" applyFill="1" applyBorder="1" applyAlignment="1" applyProtection="1">
      <alignment horizontal="center"/>
    </xf>
    <xf numFmtId="0" fontId="26" fillId="0" borderId="0" xfId="0" applyFont="1" applyAlignment="1">
      <alignment horizontal="centerContinuous" wrapText="1"/>
    </xf>
    <xf numFmtId="0" fontId="0" fillId="0" borderId="0" xfId="0" applyAlignment="1">
      <alignment horizontal="centerContinuous"/>
    </xf>
    <xf numFmtId="15" fontId="26" fillId="0" borderId="18" xfId="0" applyNumberFormat="1" applyFont="1" applyBorder="1"/>
    <xf numFmtId="0" fontId="26" fillId="0" borderId="18" xfId="0" applyFont="1" applyBorder="1"/>
    <xf numFmtId="0" fontId="26" fillId="0" borderId="19" xfId="0" applyFont="1" applyBorder="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0" fillId="0" borderId="21" xfId="0" applyBorder="1" applyAlignment="1">
      <alignment horizontal="center"/>
    </xf>
    <xf numFmtId="0" fontId="14" fillId="0" borderId="21" xfId="0" applyFont="1" applyBorder="1" applyAlignment="1">
      <alignment horizontal="center"/>
    </xf>
    <xf numFmtId="0" fontId="14" fillId="0" borderId="21" xfId="0" applyFont="1" applyBorder="1" applyAlignment="1">
      <alignment horizontal="center" wrapText="1"/>
    </xf>
    <xf numFmtId="0" fontId="14" fillId="0" borderId="22" xfId="0" applyFont="1" applyBorder="1" applyAlignment="1">
      <alignment horizontal="center"/>
    </xf>
    <xf numFmtId="1" fontId="21" fillId="20" borderId="23" xfId="0" applyNumberFormat="1" applyFont="1" applyFill="1" applyBorder="1" applyAlignment="1">
      <alignment horizontal="center"/>
    </xf>
    <xf numFmtId="1" fontId="21" fillId="20" borderId="24" xfId="0" applyNumberFormat="1" applyFont="1" applyFill="1" applyBorder="1" applyAlignment="1">
      <alignment horizontal="center"/>
    </xf>
    <xf numFmtId="0" fontId="0" fillId="0" borderId="25" xfId="0" applyBorder="1"/>
    <xf numFmtId="0" fontId="0" fillId="0" borderId="22" xfId="0" applyBorder="1" applyAlignment="1">
      <alignment horizontal="center"/>
    </xf>
    <xf numFmtId="0" fontId="32" fillId="0" borderId="21" xfId="0" applyFont="1" applyBorder="1" applyAlignment="1">
      <alignment horizontal="center"/>
    </xf>
    <xf numFmtId="0" fontId="32" fillId="0" borderId="22" xfId="0" applyFont="1" applyBorder="1" applyAlignment="1">
      <alignment horizontal="center"/>
    </xf>
    <xf numFmtId="0" fontId="0" fillId="0" borderId="0" xfId="0" applyAlignment="1">
      <alignment horizontal="center" wrapText="1"/>
    </xf>
    <xf numFmtId="43" fontId="100" fillId="0" borderId="0" xfId="28" applyFont="1" applyFill="1" applyBorder="1" applyProtection="1"/>
    <xf numFmtId="43" fontId="0" fillId="0" borderId="0" xfId="0" applyNumberFormat="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Border="1"/>
    <xf numFmtId="0" fontId="67" fillId="0" borderId="28" xfId="0" applyFont="1" applyBorder="1"/>
    <xf numFmtId="3" fontId="67" fillId="22" borderId="10" xfId="0" applyNumberFormat="1" applyFont="1" applyFill="1" applyBorder="1" applyAlignment="1" applyProtection="1">
      <alignment vertical="center"/>
      <protection locked="0"/>
    </xf>
    <xf numFmtId="166" fontId="28" fillId="0" borderId="0" xfId="28" applyNumberFormat="1" applyFont="1" applyAlignment="1" applyProtection="1">
      <alignment horizontal="left"/>
    </xf>
    <xf numFmtId="15" fontId="28" fillId="0" borderId="0" xfId="0" applyNumberFormat="1" applyFont="1" applyAlignment="1">
      <alignment horizontal="left"/>
    </xf>
    <xf numFmtId="15" fontId="28" fillId="0" borderId="0" xfId="0" applyNumberFormat="1" applyFont="1" applyAlignment="1">
      <alignment horizontal="right"/>
    </xf>
    <xf numFmtId="166" fontId="28" fillId="0" borderId="0" xfId="28" applyNumberFormat="1" applyFont="1" applyBorder="1" applyAlignment="1" applyProtection="1">
      <alignment horizontal="left"/>
    </xf>
    <xf numFmtId="0" fontId="19" fillId="0" borderId="0" xfId="0" applyFont="1" applyAlignment="1">
      <alignment horizontal="center"/>
    </xf>
    <xf numFmtId="0" fontId="34" fillId="0" borderId="10" xfId="0" applyFont="1" applyBorder="1" applyAlignment="1">
      <alignment horizontal="center" vertical="center" wrapText="1"/>
    </xf>
    <xf numFmtId="15" fontId="26" fillId="0" borderId="0" xfId="0" applyNumberFormat="1" applyFont="1"/>
    <xf numFmtId="15" fontId="26" fillId="0" borderId="0" xfId="0" applyNumberFormat="1" applyFont="1" applyAlignment="1">
      <alignment horizontal="center" wrapText="1"/>
    </xf>
    <xf numFmtId="0" fontId="26" fillId="0" borderId="0" xfId="0" applyFont="1"/>
    <xf numFmtId="0" fontId="0" fillId="0" borderId="22" xfId="0" applyBorder="1" applyAlignment="1">
      <alignment horizontal="center" wrapText="1"/>
    </xf>
    <xf numFmtId="0" fontId="45" fillId="0" borderId="0" xfId="0" applyFont="1" applyAlignment="1">
      <alignment horizontal="left" vertical="center"/>
    </xf>
    <xf numFmtId="0" fontId="45" fillId="0" borderId="0" xfId="0" applyFont="1" applyAlignment="1">
      <alignment horizontal="left"/>
    </xf>
    <xf numFmtId="167" fontId="45" fillId="0" borderId="0" xfId="0" applyNumberFormat="1" applyFont="1" applyAlignment="1">
      <alignment horizontal="left"/>
    </xf>
    <xf numFmtId="0" fontId="47" fillId="0" borderId="0" xfId="0" applyFont="1"/>
    <xf numFmtId="0" fontId="48" fillId="0" borderId="0" xfId="0" applyFont="1"/>
    <xf numFmtId="0" fontId="50" fillId="0" borderId="0" xfId="0" applyFont="1" applyAlignment="1">
      <alignment horizontal="right"/>
    </xf>
    <xf numFmtId="0" fontId="51" fillId="0" borderId="0" xfId="0" applyFont="1" applyAlignment="1">
      <alignment horizontal="center"/>
    </xf>
    <xf numFmtId="0" fontId="34" fillId="0" borderId="0" xfId="0" applyFont="1" applyAlignment="1">
      <alignment horizontal="center" vertical="center"/>
    </xf>
    <xf numFmtId="0" fontId="52" fillId="20" borderId="0" xfId="0" applyFont="1" applyFill="1" applyAlignment="1">
      <alignment horizontal="left" vertical="center"/>
    </xf>
    <xf numFmtId="3" fontId="57" fillId="0" borderId="0" xfId="0" applyNumberFormat="1" applyFont="1" applyAlignment="1">
      <alignment horizontal="right" vertical="center"/>
    </xf>
    <xf numFmtId="0" fontId="58" fillId="20" borderId="0" xfId="0" applyFont="1" applyFill="1" applyAlignment="1">
      <alignment horizontal="left" vertical="center"/>
    </xf>
    <xf numFmtId="169" fontId="52" fillId="20" borderId="0" xfId="0" applyNumberFormat="1" applyFont="1" applyFill="1" applyAlignment="1">
      <alignment vertical="center"/>
    </xf>
    <xf numFmtId="0" fontId="53" fillId="20" borderId="0" xfId="0" applyFont="1" applyFill="1" applyAlignment="1">
      <alignment horizontal="right"/>
    </xf>
    <xf numFmtId="0" fontId="63" fillId="20" borderId="0" xfId="0" applyFont="1" applyFill="1" applyAlignment="1">
      <alignment horizontal="center" vertical="center"/>
    </xf>
    <xf numFmtId="0" fontId="54" fillId="20" borderId="0" xfId="0" applyFont="1" applyFill="1" applyAlignment="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xf numFmtId="0" fontId="56" fillId="20" borderId="0" xfId="0" applyFont="1" applyFill="1" applyAlignment="1">
      <alignment horizontal="center" vertical="center"/>
    </xf>
    <xf numFmtId="9" fontId="55" fillId="20" borderId="0" xfId="0" applyNumberFormat="1" applyFont="1" applyFill="1" applyAlignment="1">
      <alignment horizontal="left"/>
    </xf>
    <xf numFmtId="0" fontId="64"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horizontal="right" vertical="center" indent="1"/>
    </xf>
    <xf numFmtId="0" fontId="53" fillId="0" borderId="29" xfId="0" applyFont="1" applyBorder="1" applyAlignment="1">
      <alignment horizontal="right"/>
    </xf>
    <xf numFmtId="0" fontId="53" fillId="0" borderId="30" xfId="0" applyFont="1" applyBorder="1" applyAlignment="1">
      <alignment horizontal="right"/>
    </xf>
    <xf numFmtId="0" fontId="53" fillId="0" borderId="31" xfId="0" applyFont="1" applyBorder="1" applyAlignment="1">
      <alignment horizontal="right"/>
    </xf>
    <xf numFmtId="0" fontId="62" fillId="0" borderId="0" xfId="0" applyFont="1" applyAlignment="1">
      <alignment horizontal="center"/>
    </xf>
    <xf numFmtId="0" fontId="53" fillId="0" borderId="0" xfId="0" applyFont="1" applyAlignment="1">
      <alignment horizontal="right"/>
    </xf>
    <xf numFmtId="0" fontId="63" fillId="0" borderId="0" xfId="0" applyFont="1" applyAlignment="1">
      <alignment horizontal="center" vertical="center"/>
    </xf>
    <xf numFmtId="9" fontId="66" fillId="0" borderId="0" xfId="0" applyNumberFormat="1" applyFont="1"/>
    <xf numFmtId="9" fontId="66" fillId="0" borderId="0" xfId="0" applyNumberFormat="1" applyFont="1" applyAlignment="1">
      <alignment horizontal="center"/>
    </xf>
    <xf numFmtId="0" fontId="53" fillId="0" borderId="32" xfId="0" applyFont="1" applyBorder="1" applyAlignment="1">
      <alignment horizontal="right"/>
    </xf>
    <xf numFmtId="9" fontId="55" fillId="0" borderId="0" xfId="0" applyNumberFormat="1" applyFont="1"/>
    <xf numFmtId="0" fontId="53" fillId="0" borderId="33" xfId="0" applyFont="1" applyBorder="1" applyAlignment="1">
      <alignment horizontal="right"/>
    </xf>
    <xf numFmtId="0" fontId="53" fillId="0" borderId="34" xfId="0" applyFont="1" applyBorder="1" applyAlignment="1">
      <alignment horizontal="right"/>
    </xf>
    <xf numFmtId="0" fontId="34" fillId="0" borderId="35" xfId="0" applyFont="1" applyBorder="1" applyAlignment="1">
      <alignment vertical="center"/>
    </xf>
    <xf numFmtId="0" fontId="34" fillId="0" borderId="36" xfId="0" applyFont="1" applyBorder="1" applyAlignment="1">
      <alignment vertical="center"/>
    </xf>
    <xf numFmtId="0" fontId="34" fillId="0" borderId="37" xfId="0" applyFont="1" applyBorder="1" applyAlignment="1">
      <alignment vertical="center"/>
    </xf>
    <xf numFmtId="0" fontId="44" fillId="0" borderId="0" xfId="0" applyFont="1"/>
    <xf numFmtId="0" fontId="65" fillId="0" borderId="0" xfId="0" applyFont="1"/>
    <xf numFmtId="0" fontId="59" fillId="0" borderId="0" xfId="0" applyFont="1"/>
    <xf numFmtId="0" fontId="73" fillId="0" borderId="0" xfId="0" applyFont="1" applyAlignment="1">
      <alignment wrapText="1"/>
    </xf>
    <xf numFmtId="0" fontId="69" fillId="0" borderId="0" xfId="0" applyFont="1"/>
    <xf numFmtId="43" fontId="15" fillId="0" borderId="0" xfId="0" applyNumberFormat="1" applyFont="1"/>
    <xf numFmtId="0" fontId="28" fillId="0" borderId="0" xfId="0" applyFont="1" applyAlignment="1">
      <alignment horizontal="center"/>
    </xf>
    <xf numFmtId="15" fontId="28" fillId="0" borderId="0" xfId="0" applyNumberFormat="1" applyFont="1" applyAlignment="1">
      <alignment horizontal="center"/>
    </xf>
    <xf numFmtId="43" fontId="0" fillId="0" borderId="0" xfId="0" applyNumberFormat="1" applyAlignment="1">
      <alignment horizontal="right"/>
    </xf>
    <xf numFmtId="3" fontId="0" fillId="0" borderId="0" xfId="0" applyNumberFormat="1"/>
    <xf numFmtId="43" fontId="37" fillId="0" borderId="0" xfId="0" applyNumberFormat="1" applyFont="1"/>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xf numFmtId="0" fontId="34" fillId="0" borderId="0" xfId="0" applyFont="1" applyAlignment="1" applyProtection="1">
      <alignment horizontal="left"/>
      <protection locked="0"/>
    </xf>
    <xf numFmtId="0" fontId="0" fillId="0" borderId="39" xfId="0" applyBorder="1"/>
    <xf numFmtId="43" fontId="17" fillId="0" borderId="0" xfId="47" applyFont="1" applyAlignment="1">
      <alignment horizontal="center" vertical="center"/>
    </xf>
    <xf numFmtId="43" fontId="16" fillId="0" borderId="0" xfId="47" applyFont="1" applyAlignment="1">
      <alignment vertical="center"/>
    </xf>
    <xf numFmtId="0" fontId="84" fillId="0" borderId="0" xfId="0" applyFont="1"/>
    <xf numFmtId="43" fontId="14" fillId="0" borderId="0" xfId="0" applyNumberFormat="1" applyFont="1" applyAlignment="1">
      <alignment horizontal="center"/>
    </xf>
    <xf numFmtId="43" fontId="20" fillId="0" borderId="40" xfId="58" applyFont="1" applyBorder="1" applyAlignment="1" applyProtection="1">
      <alignment horizontal="right"/>
    </xf>
    <xf numFmtId="0" fontId="12" fillId="0" borderId="0" xfId="0" applyFont="1"/>
    <xf numFmtId="0" fontId="0" fillId="20" borderId="0" xfId="0" applyFill="1"/>
    <xf numFmtId="0" fontId="0" fillId="20" borderId="41" xfId="0" applyFill="1" applyBorder="1"/>
    <xf numFmtId="43" fontId="90" fillId="0" borderId="0" xfId="0" applyNumberFormat="1" applyFont="1"/>
    <xf numFmtId="0" fontId="90" fillId="0" borderId="0" xfId="0" applyFont="1"/>
    <xf numFmtId="43" fontId="0" fillId="0" borderId="0" xfId="0" quotePrefix="1" applyNumberFormat="1"/>
    <xf numFmtId="0" fontId="34" fillId="0" borderId="42" xfId="0" applyFont="1" applyBorder="1" applyAlignment="1">
      <alignment vertical="center"/>
    </xf>
    <xf numFmtId="43" fontId="129" fillId="0" borderId="0" xfId="52" applyAlignment="1">
      <alignment horizontal="center"/>
    </xf>
    <xf numFmtId="0" fontId="34" fillId="0" borderId="0" xfId="0" quotePrefix="1" applyFont="1"/>
    <xf numFmtId="0" fontId="63" fillId="0" borderId="27" xfId="0" applyFont="1" applyBorder="1" applyAlignment="1">
      <alignment horizontal="justify" vertical="center" wrapText="1"/>
    </xf>
    <xf numFmtId="0" fontId="63" fillId="0" borderId="43" xfId="0" applyFont="1" applyBorder="1" applyAlignment="1">
      <alignment horizontal="justify" vertical="center" wrapText="1"/>
    </xf>
    <xf numFmtId="0" fontId="63" fillId="0" borderId="44" xfId="0" applyFont="1" applyBorder="1" applyAlignment="1">
      <alignment horizontal="justify" vertical="center" wrapText="1"/>
    </xf>
    <xf numFmtId="0" fontId="89" fillId="0" borderId="43"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0" fontId="88" fillId="0" borderId="27" xfId="0" applyFont="1" applyBorder="1" applyAlignment="1">
      <alignment vertical="center" wrapText="1"/>
    </xf>
    <xf numFmtId="0" fontId="88" fillId="0" borderId="43" xfId="0" applyFont="1" applyBorder="1" applyAlignment="1">
      <alignment vertical="center" wrapText="1"/>
    </xf>
    <xf numFmtId="0" fontId="2" fillId="0" borderId="45" xfId="0" applyFont="1" applyBorder="1" applyAlignment="1">
      <alignment horizontal="center"/>
    </xf>
    <xf numFmtId="0" fontId="67" fillId="0" borderId="10" xfId="0" applyFont="1" applyBorder="1" applyAlignment="1">
      <alignment horizontal="center"/>
    </xf>
    <xf numFmtId="0" fontId="95" fillId="0" borderId="0" xfId="0" applyFont="1"/>
    <xf numFmtId="0" fontId="63" fillId="22" borderId="27" xfId="0" applyFont="1" applyFill="1" applyBorder="1" applyAlignment="1">
      <alignment horizontal="justify" vertical="center" wrapText="1"/>
    </xf>
    <xf numFmtId="0" fontId="89" fillId="22" borderId="43"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3"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96" fillId="0" borderId="0" xfId="0" applyFont="1"/>
    <xf numFmtId="15" fontId="36" fillId="0" borderId="0" xfId="0" applyNumberFormat="1" applyFont="1" applyAlignment="1">
      <alignment horizontal="center"/>
    </xf>
    <xf numFmtId="1" fontId="21" fillId="24" borderId="10" xfId="0" applyNumberFormat="1" applyFont="1" applyFill="1" applyBorder="1" applyAlignment="1" applyProtection="1">
      <alignment horizontal="center"/>
      <protection locked="0"/>
    </xf>
    <xf numFmtId="1" fontId="21" fillId="24" borderId="46"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xf numFmtId="0" fontId="63" fillId="0" borderId="27" xfId="0" applyFont="1" applyBorder="1" applyAlignment="1" applyProtection="1">
      <alignment horizontal="left" vertical="center" wrapText="1"/>
      <protection locked="0"/>
    </xf>
    <xf numFmtId="0" fontId="63" fillId="0" borderId="43"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43" fontId="20" fillId="0" borderId="0" xfId="50" applyFont="1" applyAlignment="1">
      <alignment horizontal="right" vertical="center"/>
    </xf>
    <xf numFmtId="0" fontId="102" fillId="0" borderId="0" xfId="0" applyFont="1" applyAlignment="1">
      <alignment horizontal="right"/>
    </xf>
    <xf numFmtId="0" fontId="63" fillId="22" borderId="27" xfId="0" applyFont="1" applyFill="1" applyBorder="1" applyAlignment="1">
      <alignment horizontal="left" vertical="center" wrapText="1"/>
    </xf>
    <xf numFmtId="0" fontId="63" fillId="22" borderId="43" xfId="0" applyFont="1" applyFill="1" applyBorder="1" applyAlignment="1">
      <alignment horizontal="left" vertical="center" wrapText="1"/>
    </xf>
    <xf numFmtId="0" fontId="63" fillId="22" borderId="44" xfId="0" applyFont="1" applyFill="1" applyBorder="1" applyAlignment="1">
      <alignment horizontal="left" vertical="center" wrapText="1"/>
    </xf>
    <xf numFmtId="43" fontId="103" fillId="0" borderId="14" xfId="61" applyFont="1" applyFill="1" applyBorder="1" applyAlignment="1" applyProtection="1">
      <alignment horizontal="left" vertical="center"/>
    </xf>
    <xf numFmtId="0" fontId="104" fillId="0" borderId="0" xfId="0" applyFont="1"/>
    <xf numFmtId="0" fontId="102" fillId="0" borderId="0" xfId="0" applyFont="1"/>
    <xf numFmtId="3" fontId="6" fillId="0" borderId="0" xfId="0" applyNumberFormat="1" applyFont="1" applyAlignment="1">
      <alignment horizontal="right"/>
    </xf>
    <xf numFmtId="15" fontId="101" fillId="0" borderId="0" xfId="0" applyNumberFormat="1" applyFont="1" applyAlignment="1">
      <alignment horizontal="left"/>
    </xf>
    <xf numFmtId="3" fontId="2" fillId="22" borderId="10" xfId="0" applyNumberFormat="1" applyFont="1" applyFill="1" applyBorder="1" applyAlignment="1" applyProtection="1">
      <alignment vertical="center"/>
      <protection locked="0"/>
    </xf>
    <xf numFmtId="0" fontId="0" fillId="0" borderId="0" xfId="0" quotePrefix="1"/>
    <xf numFmtId="15" fontId="32" fillId="0" borderId="47" xfId="0" applyNumberFormat="1" applyFont="1" applyBorder="1" applyAlignment="1">
      <alignment horizontal="center"/>
    </xf>
    <xf numFmtId="15" fontId="29" fillId="0" borderId="0" xfId="0" applyNumberFormat="1" applyFont="1" applyAlignment="1">
      <alignment horizontal="center" vertical="center" wrapText="1"/>
    </xf>
    <xf numFmtId="0" fontId="77" fillId="0" borderId="48" xfId="0" applyFont="1" applyBorder="1" applyAlignment="1">
      <alignment horizontal="center" vertical="center"/>
    </xf>
    <xf numFmtId="0" fontId="112" fillId="0" borderId="0" xfId="0" applyFont="1" applyAlignment="1">
      <alignment horizontal="right"/>
    </xf>
    <xf numFmtId="0" fontId="112" fillId="0" borderId="49" xfId="0" applyFont="1" applyBorder="1" applyAlignment="1">
      <alignment horizontal="right"/>
    </xf>
    <xf numFmtId="43" fontId="111" fillId="0" borderId="0" xfId="39" applyFont="1" applyAlignment="1">
      <alignment vertical="center"/>
    </xf>
    <xf numFmtId="0" fontId="112" fillId="0" borderId="0" xfId="0" applyFont="1"/>
    <xf numFmtId="15" fontId="1" fillId="0" borderId="10" xfId="58" applyNumberFormat="1" applyFont="1" applyFill="1" applyBorder="1" applyAlignment="1" applyProtection="1">
      <alignment horizontal="center"/>
      <protection locked="0"/>
    </xf>
    <xf numFmtId="0" fontId="0" fillId="0" borderId="0" xfId="0" applyProtection="1">
      <protection locked="0"/>
    </xf>
    <xf numFmtId="0" fontId="99" fillId="0" borderId="0" xfId="0" applyFont="1" applyAlignment="1">
      <alignment horizontal="center" vertical="center"/>
    </xf>
    <xf numFmtId="0" fontId="6" fillId="0" borderId="50" xfId="0" applyFont="1" applyBorder="1"/>
    <xf numFmtId="0" fontId="6" fillId="0" borderId="51" xfId="0" applyFont="1" applyBorder="1"/>
    <xf numFmtId="0" fontId="25" fillId="0" borderId="52" xfId="0" applyFont="1" applyBorder="1" applyAlignment="1">
      <alignment vertical="distributed"/>
    </xf>
    <xf numFmtId="15" fontId="27" fillId="0" borderId="53" xfId="0" applyNumberFormat="1" applyFont="1" applyBorder="1" applyAlignment="1">
      <alignment horizontal="center" vertical="center" wrapText="1"/>
    </xf>
    <xf numFmtId="0" fontId="6" fillId="0" borderId="0" xfId="0" applyFont="1" applyProtection="1">
      <protection locked="0"/>
    </xf>
    <xf numFmtId="0" fontId="26" fillId="0" borderId="54" xfId="0" applyFont="1" applyBorder="1"/>
    <xf numFmtId="15" fontId="26" fillId="0" borderId="10" xfId="0" applyNumberFormat="1" applyFont="1" applyBorder="1" applyAlignment="1">
      <alignment horizontal="center"/>
    </xf>
    <xf numFmtId="15" fontId="26" fillId="0" borderId="55" xfId="0" applyNumberFormat="1" applyFont="1" applyBorder="1" applyAlignment="1">
      <alignment horizontal="center"/>
    </xf>
    <xf numFmtId="0" fontId="32" fillId="25" borderId="56" xfId="0" applyFont="1" applyFill="1" applyBorder="1" applyAlignment="1">
      <alignment horizontal="centerContinuous"/>
    </xf>
    <xf numFmtId="15" fontId="108" fillId="0" borderId="39" xfId="0" applyNumberFormat="1" applyFont="1" applyBorder="1" applyAlignment="1">
      <alignment horizontal="center" wrapText="1"/>
    </xf>
    <xf numFmtId="15" fontId="108" fillId="0" borderId="57" xfId="0" applyNumberFormat="1" applyFont="1" applyBorder="1" applyAlignment="1">
      <alignment horizontal="center" wrapText="1"/>
    </xf>
    <xf numFmtId="0" fontId="37" fillId="0" borderId="54" xfId="0" applyFont="1" applyBorder="1" applyAlignment="1">
      <alignment horizontal="center"/>
    </xf>
    <xf numFmtId="0" fontId="37" fillId="0" borderId="58" xfId="0" applyFont="1" applyBorder="1" applyAlignment="1">
      <alignment horizontal="center"/>
    </xf>
    <xf numFmtId="0" fontId="32" fillId="25" borderId="59" xfId="0" applyFont="1" applyFill="1" applyBorder="1" applyAlignment="1">
      <alignment horizontal="centerContinuous"/>
    </xf>
    <xf numFmtId="0" fontId="0" fillId="0" borderId="0" xfId="0" applyAlignment="1" applyProtection="1">
      <alignment horizontal="left" vertical="top"/>
      <protection locked="0"/>
    </xf>
    <xf numFmtId="0" fontId="101" fillId="0" borderId="0" xfId="0" applyFont="1" applyAlignment="1">
      <alignment horizontal="center"/>
    </xf>
    <xf numFmtId="0" fontId="107" fillId="0" borderId="0" xfId="0" applyFont="1" applyAlignment="1">
      <alignment horizontal="center" vertical="center"/>
    </xf>
    <xf numFmtId="1" fontId="0" fillId="0" borderId="23" xfId="0" applyNumberFormat="1" applyBorder="1" applyAlignment="1">
      <alignment horizontal="center"/>
    </xf>
    <xf numFmtId="14" fontId="0" fillId="0" borderId="10" xfId="0" applyNumberFormat="1" applyBorder="1" applyAlignment="1" applyProtection="1">
      <alignment horizontal="center"/>
      <protection locked="0"/>
    </xf>
    <xf numFmtId="0" fontId="0" fillId="0" borderId="60" xfId="0" applyBorder="1" applyAlignment="1">
      <alignment horizontal="center"/>
    </xf>
    <xf numFmtId="0" fontId="0" fillId="0" borderId="39" xfId="0" applyBorder="1" applyAlignment="1">
      <alignment horizontal="center"/>
    </xf>
    <xf numFmtId="0" fontId="1" fillId="0" borderId="38" xfId="0" applyFont="1" applyBorder="1" applyAlignment="1">
      <alignment horizontal="center" wrapText="1"/>
    </xf>
    <xf numFmtId="0" fontId="0" fillId="0" borderId="38" xfId="0" applyBorder="1" applyAlignment="1">
      <alignment horizontal="center" wrapText="1"/>
    </xf>
    <xf numFmtId="0" fontId="28" fillId="0" borderId="38" xfId="0" applyFont="1" applyBorder="1" applyAlignment="1">
      <alignment horizontal="center" wrapText="1"/>
    </xf>
    <xf numFmtId="0" fontId="1" fillId="0" borderId="57" xfId="0" applyFont="1" applyBorder="1" applyAlignment="1">
      <alignment horizontal="center" wrapText="1"/>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1" xfId="0" applyFont="1" applyBorder="1" applyAlignment="1">
      <alignment horizontal="center" vertical="center"/>
    </xf>
    <xf numFmtId="43" fontId="113" fillId="0" borderId="20" xfId="61" applyFont="1" applyFill="1" applyBorder="1" applyAlignment="1" applyProtection="1">
      <alignment vertical="center"/>
    </xf>
    <xf numFmtId="0" fontId="24" fillId="0" borderId="0" xfId="0" applyFont="1"/>
    <xf numFmtId="43" fontId="108" fillId="0" borderId="0" xfId="0" applyNumberFormat="1" applyFont="1" applyAlignment="1">
      <alignment vertical="center" wrapText="1"/>
    </xf>
    <xf numFmtId="0" fontId="108" fillId="0" borderId="0" xfId="0" applyFont="1" applyAlignment="1">
      <alignment wrapText="1"/>
    </xf>
    <xf numFmtId="43" fontId="20" fillId="0" borderId="40" xfId="58" applyFont="1" applyFill="1" applyBorder="1" applyAlignment="1" applyProtection="1">
      <alignment horizontal="right"/>
    </xf>
    <xf numFmtId="0" fontId="28" fillId="0" borderId="0" xfId="0" applyFont="1" applyAlignment="1">
      <alignment wrapText="1"/>
    </xf>
    <xf numFmtId="9" fontId="110" fillId="26" borderId="10" xfId="56" applyFont="1" applyFill="1" applyBorder="1" applyAlignment="1" applyProtection="1">
      <alignment horizontal="center" vertical="center" wrapText="1"/>
    </xf>
    <xf numFmtId="15" fontId="28" fillId="0" borderId="0" xfId="0" applyNumberFormat="1" applyFont="1"/>
    <xf numFmtId="0" fontId="0" fillId="0" borderId="26" xfId="0" applyBorder="1"/>
    <xf numFmtId="43" fontId="114" fillId="0" borderId="26" xfId="61" applyFont="1" applyFill="1" applyBorder="1" applyAlignment="1" applyProtection="1">
      <alignment vertical="center"/>
    </xf>
    <xf numFmtId="9" fontId="15" fillId="0" borderId="0" xfId="56" applyFont="1" applyProtection="1"/>
    <xf numFmtId="14" fontId="24" fillId="24" borderId="40" xfId="58" applyNumberFormat="1" applyFont="1" applyFill="1" applyBorder="1" applyAlignment="1" applyProtection="1">
      <alignment horizontal="center" vertical="center"/>
    </xf>
    <xf numFmtId="43" fontId="24" fillId="24" borderId="40" xfId="58" applyFont="1" applyFill="1" applyBorder="1" applyAlignment="1" applyProtection="1">
      <alignment horizontal="center" vertical="center"/>
    </xf>
    <xf numFmtId="15" fontId="24" fillId="24" borderId="40" xfId="58" applyNumberFormat="1" applyFont="1" applyFill="1" applyBorder="1" applyAlignment="1" applyProtection="1">
      <alignment horizontal="center" vertical="center"/>
    </xf>
    <xf numFmtId="172" fontId="24" fillId="24" borderId="40" xfId="58" applyNumberFormat="1" applyFont="1" applyFill="1" applyBorder="1" applyAlignment="1" applyProtection="1">
      <alignment horizontal="center"/>
    </xf>
    <xf numFmtId="3" fontId="24" fillId="24" borderId="40" xfId="58" applyNumberFormat="1" applyFont="1" applyFill="1" applyBorder="1" applyAlignment="1" applyProtection="1">
      <alignment horizontal="center"/>
    </xf>
    <xf numFmtId="43" fontId="24" fillId="24" borderId="40" xfId="58" applyFont="1" applyFill="1" applyBorder="1" applyAlignment="1" applyProtection="1">
      <alignment horizontal="center"/>
    </xf>
    <xf numFmtId="15" fontId="24" fillId="24" borderId="40" xfId="58" applyNumberFormat="1" applyFont="1" applyFill="1" applyBorder="1" applyAlignment="1" applyProtection="1">
      <alignment horizontal="center"/>
    </xf>
    <xf numFmtId="0" fontId="67" fillId="0" borderId="63" xfId="0" applyFont="1" applyBorder="1"/>
    <xf numFmtId="0" fontId="30" fillId="22" borderId="0" xfId="0" applyFont="1" applyFill="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xf numFmtId="0" fontId="0" fillId="24" borderId="46" xfId="0" applyFill="1" applyBorder="1" applyAlignment="1" applyProtection="1">
      <alignment horizontal="center"/>
      <protection locked="0"/>
    </xf>
    <xf numFmtId="0" fontId="0" fillId="0" borderId="24" xfId="0" applyBorder="1" applyAlignment="1">
      <alignment horizontal="center"/>
    </xf>
    <xf numFmtId="0" fontId="0" fillId="24" borderId="24" xfId="0"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171" fontId="21" fillId="20" borderId="0" xfId="0" applyNumberFormat="1" applyFont="1" applyFill="1"/>
    <xf numFmtId="1" fontId="0" fillId="25" borderId="10" xfId="0" applyNumberFormat="1" applyFill="1" applyBorder="1" applyAlignment="1" applyProtection="1">
      <alignment horizontal="center"/>
      <protection locked="0"/>
    </xf>
    <xf numFmtId="1" fontId="0" fillId="25" borderId="55" xfId="0" applyNumberFormat="1" applyFill="1" applyBorder="1" applyAlignment="1" applyProtection="1">
      <alignment horizontal="center"/>
      <protection locked="0"/>
    </xf>
    <xf numFmtId="1" fontId="0" fillId="25" borderId="64" xfId="0" applyNumberFormat="1" applyFill="1" applyBorder="1" applyAlignment="1" applyProtection="1">
      <alignment horizontal="center"/>
      <protection locked="0"/>
    </xf>
    <xf numFmtId="1" fontId="0" fillId="25" borderId="65" xfId="0" applyNumberFormat="1" applyFill="1" applyBorder="1" applyAlignment="1" applyProtection="1">
      <alignment horizontal="center"/>
      <protection locked="0"/>
    </xf>
    <xf numFmtId="165" fontId="32" fillId="19" borderId="66" xfId="0" applyNumberFormat="1" applyFont="1" applyFill="1" applyBorder="1" applyAlignment="1" applyProtection="1">
      <alignment horizontal="center"/>
      <protection locked="0"/>
    </xf>
    <xf numFmtId="165" fontId="32" fillId="19" borderId="67" xfId="0" applyNumberFormat="1" applyFont="1" applyFill="1" applyBorder="1" applyAlignment="1" applyProtection="1">
      <alignment horizontal="center"/>
      <protection locked="0"/>
    </xf>
    <xf numFmtId="165" fontId="32" fillId="19" borderId="68" xfId="0" applyNumberFormat="1" applyFon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0" fontId="0" fillId="0" borderId="70" xfId="0" applyBorder="1" applyAlignment="1">
      <alignment horizontal="center"/>
    </xf>
    <xf numFmtId="0" fontId="0" fillId="0" borderId="0" xfId="0" applyAlignment="1">
      <alignment horizontal="left" wrapText="1"/>
    </xf>
    <xf numFmtId="43" fontId="35" fillId="0" borderId="0" xfId="0" applyNumberFormat="1" applyFont="1"/>
    <xf numFmtId="0" fontId="0" fillId="0" borderId="0" xfId="0" applyAlignment="1">
      <alignment horizontal="left"/>
    </xf>
    <xf numFmtId="43" fontId="1" fillId="0" borderId="40" xfId="58" applyFont="1" applyBorder="1" applyAlignment="1" applyProtection="1">
      <alignment horizontal="right"/>
    </xf>
    <xf numFmtId="43" fontId="122" fillId="0" borderId="0" xfId="51" applyFont="1"/>
    <xf numFmtId="3" fontId="28" fillId="25" borderId="66" xfId="0" applyNumberFormat="1" applyFont="1" applyFill="1" applyBorder="1" applyProtection="1">
      <protection locked="0"/>
    </xf>
    <xf numFmtId="3" fontId="28" fillId="25" borderId="71" xfId="0" applyNumberFormat="1" applyFont="1" applyFill="1" applyBorder="1" applyProtection="1">
      <protection locked="0"/>
    </xf>
    <xf numFmtId="3" fontId="28" fillId="0" borderId="10" xfId="0" applyNumberFormat="1" applyFont="1" applyBorder="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2" xfId="28" applyNumberFormat="1" applyFont="1" applyFill="1" applyBorder="1" applyAlignment="1" applyProtection="1"/>
    <xf numFmtId="3" fontId="6" fillId="0" borderId="73" xfId="28" applyNumberFormat="1" applyFont="1" applyFill="1" applyBorder="1" applyAlignment="1" applyProtection="1"/>
    <xf numFmtId="165" fontId="14" fillId="19" borderId="74" xfId="0" applyNumberFormat="1" applyFont="1" applyFill="1" applyBorder="1" applyAlignment="1" applyProtection="1">
      <alignment horizontal="center"/>
      <protection locked="0"/>
    </xf>
    <xf numFmtId="0" fontId="0" fillId="25" borderId="10" xfId="0" applyFill="1" applyBorder="1"/>
    <xf numFmtId="0" fontId="0" fillId="24" borderId="10" xfId="0" applyFill="1" applyBorder="1"/>
    <xf numFmtId="49" fontId="25" fillId="0" borderId="75" xfId="0" applyNumberFormat="1" applyFont="1" applyBorder="1" applyAlignment="1">
      <alignment vertical="center" wrapText="1"/>
    </xf>
    <xf numFmtId="0" fontId="91" fillId="0" borderId="76" xfId="0" applyFont="1" applyBorder="1" applyAlignment="1">
      <alignment horizontal="center" vertical="center" wrapText="1"/>
    </xf>
    <xf numFmtId="0" fontId="91" fillId="0" borderId="77" xfId="0" applyFont="1" applyBorder="1" applyAlignment="1">
      <alignment horizontal="center" vertical="center" wrapText="1"/>
    </xf>
    <xf numFmtId="49" fontId="26" fillId="0" borderId="78" xfId="0" applyNumberFormat="1" applyFont="1" applyBorder="1" applyAlignment="1" applyProtection="1">
      <alignment wrapText="1"/>
      <protection locked="0"/>
    </xf>
    <xf numFmtId="0" fontId="0" fillId="0" borderId="79" xfId="0" applyBorder="1"/>
    <xf numFmtId="43" fontId="129" fillId="25" borderId="80" xfId="61" applyFill="1" applyBorder="1" applyAlignment="1" applyProtection="1">
      <alignment vertical="center"/>
    </xf>
    <xf numFmtId="0" fontId="0" fillId="22" borderId="81" xfId="0" applyFill="1" applyBorder="1"/>
    <xf numFmtId="0" fontId="0" fillId="0" borderId="20" xfId="0" applyBorder="1"/>
    <xf numFmtId="43" fontId="39" fillId="24" borderId="82" xfId="61" applyFont="1" applyFill="1" applyBorder="1" applyAlignment="1" applyProtection="1">
      <alignment horizontal="center" vertical="center"/>
    </xf>
    <xf numFmtId="43" fontId="39" fillId="0" borderId="83" xfId="61" applyFont="1" applyFill="1" applyBorder="1" applyAlignment="1" applyProtection="1">
      <alignment vertical="center"/>
    </xf>
    <xf numFmtId="0" fontId="0" fillId="0" borderId="84" xfId="0" applyBorder="1"/>
    <xf numFmtId="15" fontId="27" fillId="0" borderId="85" xfId="0" applyNumberFormat="1" applyFont="1" applyBorder="1" applyAlignment="1">
      <alignment horizontal="center" vertical="center" wrapText="1"/>
    </xf>
    <xf numFmtId="0" fontId="0" fillId="0" borderId="10" xfId="0" quotePrefix="1" applyBorder="1" applyAlignment="1">
      <alignment horizontal="center"/>
    </xf>
    <xf numFmtId="3" fontId="67" fillId="0" borderId="10" xfId="0" applyNumberFormat="1" applyFont="1" applyBorder="1" applyAlignment="1">
      <alignment vertical="center"/>
    </xf>
    <xf numFmtId="3" fontId="67" fillId="0" borderId="86" xfId="0" applyNumberFormat="1" applyFont="1" applyBorder="1" applyAlignment="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lignment horizontal="center"/>
    </xf>
    <xf numFmtId="0" fontId="77" fillId="0" borderId="87" xfId="0" applyFont="1" applyBorder="1" applyAlignment="1">
      <alignment horizontal="center" vertical="center" wrapText="1"/>
    </xf>
    <xf numFmtId="0" fontId="77" fillId="0" borderId="88" xfId="0" applyFont="1" applyBorder="1" applyAlignment="1">
      <alignment horizontal="center"/>
    </xf>
    <xf numFmtId="0" fontId="77" fillId="0" borderId="89" xfId="0" applyFont="1" applyBorder="1" applyAlignment="1">
      <alignment horizontal="center"/>
    </xf>
    <xf numFmtId="0" fontId="77" fillId="0" borderId="90" xfId="0" applyFont="1" applyBorder="1" applyAlignment="1">
      <alignment horizontal="center"/>
    </xf>
    <xf numFmtId="0" fontId="77" fillId="0" borderId="91" xfId="0" applyFont="1" applyBorder="1" applyAlignment="1">
      <alignment horizontal="center"/>
    </xf>
    <xf numFmtId="0" fontId="77" fillId="0" borderId="91" xfId="0" applyFont="1" applyBorder="1" applyAlignment="1">
      <alignment horizontal="center" vertical="center"/>
    </xf>
    <xf numFmtId="0" fontId="77" fillId="0" borderId="92" xfId="0" applyFont="1" applyBorder="1" applyAlignment="1">
      <alignment horizontal="center" vertical="center"/>
    </xf>
    <xf numFmtId="0" fontId="81" fillId="0" borderId="93" xfId="0" applyFont="1" applyBorder="1" applyAlignment="1">
      <alignment horizontal="center" vertical="center"/>
    </xf>
    <xf numFmtId="0" fontId="81" fillId="0" borderId="94" xfId="0" applyFont="1" applyBorder="1" applyAlignment="1">
      <alignment horizontal="center" vertical="center"/>
    </xf>
    <xf numFmtId="0" fontId="81" fillId="0" borderId="95" xfId="0" applyFont="1" applyBorder="1" applyAlignment="1">
      <alignment horizontal="center" vertical="center"/>
    </xf>
    <xf numFmtId="0" fontId="67" fillId="27" borderId="10" xfId="0" applyFont="1" applyFill="1" applyBorder="1" applyAlignment="1">
      <alignment horizontal="center"/>
    </xf>
    <xf numFmtId="0" fontId="67" fillId="28" borderId="10" xfId="0" applyFont="1" applyFill="1" applyBorder="1" applyAlignment="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0" fontId="67" fillId="27" borderId="86" xfId="0" applyFont="1" applyFill="1" applyBorder="1" applyAlignment="1">
      <alignment horizontal="center"/>
    </xf>
    <xf numFmtId="3" fontId="67" fillId="23" borderId="86" xfId="0" applyNumberFormat="1" applyFont="1" applyFill="1" applyBorder="1" applyAlignment="1" applyProtection="1">
      <alignment horizontal="right" vertical="center"/>
      <protection locked="0"/>
    </xf>
    <xf numFmtId="0" fontId="67" fillId="27" borderId="10" xfId="0" applyFont="1" applyFill="1" applyBorder="1"/>
    <xf numFmtId="3" fontId="67" fillId="27" borderId="10" xfId="0" applyNumberFormat="1" applyFont="1" applyFill="1" applyBorder="1" applyAlignment="1">
      <alignment vertical="center"/>
    </xf>
    <xf numFmtId="0" fontId="0" fillId="0" borderId="58" xfId="0" applyBorder="1" applyAlignment="1">
      <alignment horizontal="center" wrapText="1"/>
    </xf>
    <xf numFmtId="3" fontId="1" fillId="0" borderId="96" xfId="28" applyNumberFormat="1" applyFont="1" applyFill="1" applyBorder="1" applyAlignment="1" applyProtection="1">
      <alignment horizontal="right"/>
    </xf>
    <xf numFmtId="3" fontId="0" fillId="0" borderId="96" xfId="0" applyNumberFormat="1" applyBorder="1" applyAlignment="1">
      <alignment horizontal="right" wrapText="1"/>
    </xf>
    <xf numFmtId="3" fontId="0" fillId="24" borderId="56" xfId="0" applyNumberFormat="1" applyFill="1" applyBorder="1" applyAlignment="1" applyProtection="1">
      <alignment horizontal="right" wrapText="1"/>
      <protection locked="0"/>
    </xf>
    <xf numFmtId="0" fontId="34" fillId="22" borderId="0" xfId="0" applyFont="1" applyFill="1" applyAlignment="1" applyProtection="1">
      <alignment horizontal="left" vertical="top" wrapText="1"/>
      <protection locked="0"/>
    </xf>
    <xf numFmtId="166" fontId="129" fillId="0" borderId="96" xfId="28" applyNumberFormat="1" applyFont="1" applyFill="1" applyBorder="1" applyProtection="1"/>
    <xf numFmtId="166" fontId="129" fillId="0" borderId="10"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3"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86" xfId="28" applyNumberFormat="1" applyFont="1" applyFill="1" applyBorder="1" applyAlignment="1" applyProtection="1">
      <alignment horizontal="right" vertical="center"/>
    </xf>
    <xf numFmtId="166" fontId="77" fillId="23" borderId="86"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7" borderId="98" xfId="0" applyFont="1" applyFill="1" applyBorder="1" applyAlignment="1">
      <alignment horizontal="center" vertical="center"/>
    </xf>
    <xf numFmtId="0" fontId="77" fillId="37" borderId="99" xfId="0" applyFont="1" applyFill="1" applyBorder="1" applyAlignment="1">
      <alignment horizontal="center" vertical="center"/>
    </xf>
    <xf numFmtId="0" fontId="77" fillId="37" borderId="100" xfId="0" applyFont="1" applyFill="1" applyBorder="1" applyAlignment="1">
      <alignment horizontal="center" vertical="center"/>
    </xf>
    <xf numFmtId="0" fontId="77" fillId="37" borderId="101" xfId="0" applyFont="1" applyFill="1" applyBorder="1" applyAlignment="1">
      <alignment horizontal="center" vertical="center"/>
    </xf>
    <xf numFmtId="0" fontId="2" fillId="37" borderId="102" xfId="0" applyFont="1" applyFill="1" applyBorder="1" applyAlignment="1">
      <alignment horizontal="center"/>
    </xf>
    <xf numFmtId="165" fontId="14" fillId="37" borderId="99" xfId="0" applyNumberFormat="1" applyFont="1" applyFill="1" applyBorder="1" applyAlignment="1" applyProtection="1">
      <alignment horizontal="center"/>
      <protection locked="0"/>
    </xf>
    <xf numFmtId="3" fontId="0" fillId="0" borderId="233" xfId="0" applyNumberFormat="1" applyBorder="1" applyAlignment="1">
      <alignment horizontal="right" vertical="center"/>
    </xf>
    <xf numFmtId="0" fontId="0" fillId="0" borderId="97" xfId="0" applyBorder="1" applyAlignment="1">
      <alignment horizontal="center"/>
    </xf>
    <xf numFmtId="0" fontId="14" fillId="0" borderId="135" xfId="0" applyFont="1" applyBorder="1" applyAlignment="1">
      <alignment horizontal="center"/>
    </xf>
    <xf numFmtId="0" fontId="14" fillId="0" borderId="97" xfId="0" applyFont="1" applyBorder="1" applyAlignment="1">
      <alignment horizontal="center"/>
    </xf>
    <xf numFmtId="9" fontId="67" fillId="29" borderId="10" xfId="56" applyFont="1" applyFill="1" applyBorder="1" applyAlignment="1" applyProtection="1">
      <alignment vertical="center"/>
    </xf>
    <xf numFmtId="9" fontId="131" fillId="29" borderId="10" xfId="56" applyFont="1" applyFill="1" applyBorder="1" applyAlignment="1" applyProtection="1">
      <alignment vertical="center"/>
    </xf>
    <xf numFmtId="174" fontId="131" fillId="29" borderId="10" xfId="56" applyNumberFormat="1" applyFont="1" applyFill="1" applyBorder="1" applyAlignment="1" applyProtection="1">
      <alignment horizontal="right" vertical="center"/>
    </xf>
    <xf numFmtId="3" fontId="67" fillId="23" borderId="10" xfId="0" applyNumberFormat="1" applyFont="1" applyFill="1" applyBorder="1" applyAlignment="1">
      <alignment vertical="center"/>
    </xf>
    <xf numFmtId="3" fontId="67" fillId="29" borderId="10" xfId="0" applyNumberFormat="1" applyFont="1" applyFill="1" applyBorder="1" applyAlignment="1">
      <alignment vertical="center"/>
    </xf>
    <xf numFmtId="1" fontId="21" fillId="24" borderId="46" xfId="0" applyNumberFormat="1" applyFont="1" applyFill="1" applyBorder="1" applyAlignment="1">
      <alignment horizontal="center"/>
    </xf>
    <xf numFmtId="1" fontId="0" fillId="24" borderId="46" xfId="0" applyNumberFormat="1" applyFill="1" applyBorder="1" applyAlignment="1">
      <alignment horizontal="center"/>
    </xf>
    <xf numFmtId="0" fontId="0" fillId="36" borderId="24" xfId="0" applyFill="1" applyBorder="1" applyAlignment="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lignment horizontal="center" vertical="center"/>
    </xf>
    <xf numFmtId="1" fontId="0" fillId="0" borderId="10" xfId="0" applyNumberFormat="1" applyBorder="1" applyAlignment="1">
      <alignment horizontal="center" vertical="center"/>
    </xf>
    <xf numFmtId="3" fontId="77" fillId="22" borderId="10" xfId="0" applyNumberFormat="1" applyFont="1" applyFill="1" applyBorder="1" applyAlignment="1" applyProtection="1">
      <alignment vertical="center"/>
      <protection locked="0"/>
    </xf>
    <xf numFmtId="9" fontId="67" fillId="29" borderId="10" xfId="56" applyFont="1" applyFill="1" applyBorder="1" applyAlignment="1" applyProtection="1">
      <alignment vertical="center"/>
      <protection locked="0"/>
    </xf>
    <xf numFmtId="0" fontId="134" fillId="0" borderId="0" xfId="0" applyFont="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43" fontId="129" fillId="0" borderId="10" xfId="28" applyFont="1" applyFill="1" applyBorder="1" applyAlignment="1" applyProtection="1">
      <alignment horizontal="center"/>
    </xf>
    <xf numFmtId="43" fontId="129" fillId="0" borderId="96" xfId="28" applyFont="1" applyFill="1" applyBorder="1" applyAlignment="1" applyProtection="1">
      <alignment horizontal="center"/>
    </xf>
    <xf numFmtId="0" fontId="135" fillId="0" borderId="0" xfId="0" applyFont="1"/>
    <xf numFmtId="0" fontId="136" fillId="0" borderId="0" xfId="0" applyFont="1" applyAlignment="1">
      <alignment horizontal="center" vertical="center" wrapText="1"/>
    </xf>
    <xf numFmtId="0" fontId="137" fillId="0" borderId="0" xfId="0" applyFont="1" applyAlignment="1">
      <alignment horizontal="center" vertical="center"/>
    </xf>
    <xf numFmtId="0" fontId="135" fillId="0" borderId="0" xfId="0" applyFont="1" applyAlignment="1">
      <alignment horizontal="center" vertical="center"/>
    </xf>
    <xf numFmtId="15" fontId="135" fillId="0" borderId="0" xfId="0" applyNumberFormat="1" applyFont="1" applyAlignment="1" applyProtection="1">
      <alignment horizontal="center" vertical="center"/>
      <protection locked="0"/>
    </xf>
    <xf numFmtId="0" fontId="135" fillId="0" borderId="0" xfId="0" applyFont="1" applyAlignment="1" applyProtection="1">
      <alignment horizontal="center" vertical="center"/>
      <protection locked="0"/>
    </xf>
    <xf numFmtId="49" fontId="0" fillId="0" borderId="10" xfId="0" applyNumberFormat="1" applyBorder="1" applyAlignment="1" applyProtection="1">
      <alignment horizontal="center"/>
      <protection locked="0"/>
    </xf>
    <xf numFmtId="166" fontId="2" fillId="22"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horizontal="right" vertical="center"/>
    </xf>
    <xf numFmtId="166" fontId="2" fillId="29" borderId="10" xfId="65" applyNumberFormat="1" applyFont="1" applyFill="1" applyBorder="1" applyAlignment="1" applyProtection="1">
      <alignment vertical="center"/>
    </xf>
    <xf numFmtId="15" fontId="1" fillId="39" borderId="10" xfId="58" applyNumberFormat="1" applyFont="1" applyFill="1" applyBorder="1" applyAlignment="1" applyProtection="1">
      <alignment horizontal="center"/>
      <protection locked="0"/>
    </xf>
    <xf numFmtId="0" fontId="28" fillId="0" borderId="234" xfId="0" applyFont="1" applyBorder="1" applyAlignment="1">
      <alignment horizontal="center" wrapText="1"/>
    </xf>
    <xf numFmtId="0" fontId="28" fillId="0" borderId="235" xfId="0" applyFont="1" applyBorder="1" applyAlignment="1">
      <alignment wrapText="1"/>
    </xf>
    <xf numFmtId="0" fontId="34" fillId="0" borderId="236" xfId="0" applyFont="1" applyBorder="1" applyAlignment="1">
      <alignment horizontal="center" wrapText="1"/>
    </xf>
    <xf numFmtId="0" fontId="28" fillId="0" borderId="236" xfId="0" applyFont="1" applyBorder="1" applyAlignment="1">
      <alignment horizontal="center" wrapText="1"/>
    </xf>
    <xf numFmtId="0" fontId="34" fillId="0" borderId="237" xfId="0" applyFont="1" applyBorder="1" applyAlignment="1">
      <alignment horizontal="center" wrapText="1"/>
    </xf>
    <xf numFmtId="3" fontId="2" fillId="29" borderId="10" xfId="0" applyNumberFormat="1" applyFont="1" applyFill="1" applyBorder="1" applyAlignment="1">
      <alignment vertical="center"/>
    </xf>
    <xf numFmtId="3" fontId="2" fillId="23" borderId="10" xfId="0" applyNumberFormat="1" applyFont="1" applyFill="1" applyBorder="1" applyAlignment="1">
      <alignment horizontal="right" vertical="center"/>
    </xf>
    <xf numFmtId="3" fontId="2" fillId="22" borderId="10" xfId="0" applyNumberFormat="1" applyFont="1" applyFill="1" applyBorder="1" applyAlignment="1">
      <alignment vertical="center"/>
    </xf>
    <xf numFmtId="3" fontId="2" fillId="23" borderId="10" xfId="0" applyNumberFormat="1" applyFont="1" applyFill="1" applyBorder="1" applyAlignment="1">
      <alignment vertical="center"/>
    </xf>
    <xf numFmtId="49" fontId="26" fillId="0" borderId="238" xfId="0" applyNumberFormat="1" applyFont="1" applyBorder="1" applyAlignment="1" applyProtection="1">
      <alignment wrapText="1"/>
      <protection locked="0"/>
    </xf>
    <xf numFmtId="3" fontId="21" fillId="25" borderId="10" xfId="65" applyNumberFormat="1" applyFont="1" applyFill="1" applyBorder="1" applyAlignment="1" applyProtection="1">
      <protection locked="0"/>
    </xf>
    <xf numFmtId="3" fontId="21" fillId="25" borderId="10" xfId="65" applyNumberFormat="1" applyFont="1" applyFill="1" applyBorder="1" applyProtection="1">
      <protection locked="0"/>
    </xf>
    <xf numFmtId="43" fontId="129" fillId="0" borderId="56" xfId="28" applyFont="1" applyFill="1" applyBorder="1" applyProtection="1"/>
    <xf numFmtId="43" fontId="129" fillId="0" borderId="59" xfId="28" applyFont="1" applyFill="1" applyBorder="1" applyProtection="1"/>
    <xf numFmtId="43" fontId="0" fillId="0" borderId="0" xfId="28" applyFont="1"/>
    <xf numFmtId="3" fontId="140" fillId="24" borderId="10" xfId="0" applyNumberFormat="1" applyFont="1" applyFill="1" applyBorder="1" applyAlignment="1" applyProtection="1">
      <alignment horizontal="right" wrapText="1"/>
      <protection locked="0"/>
    </xf>
    <xf numFmtId="43" fontId="138" fillId="40" borderId="10" xfId="28" applyFont="1" applyFill="1" applyBorder="1" applyProtection="1">
      <protection locked="0"/>
    </xf>
    <xf numFmtId="166" fontId="138" fillId="40" borderId="10" xfId="28" applyNumberFormat="1" applyFont="1" applyFill="1" applyBorder="1" applyProtection="1">
      <protection locked="0"/>
    </xf>
    <xf numFmtId="166" fontId="138" fillId="40" borderId="10" xfId="28" applyNumberFormat="1" applyFont="1" applyFill="1" applyBorder="1" applyProtection="1"/>
    <xf numFmtId="166" fontId="138" fillId="40" borderId="96" xfId="28" applyNumberFormat="1" applyFont="1" applyFill="1" applyBorder="1" applyProtection="1"/>
    <xf numFmtId="166" fontId="129" fillId="0" borderId="56" xfId="28" applyNumberFormat="1" applyFont="1" applyFill="1" applyBorder="1" applyProtection="1"/>
    <xf numFmtId="165" fontId="32" fillId="19" borderId="241" xfId="0" applyNumberFormat="1" applyFont="1" applyFill="1" applyBorder="1" applyAlignment="1" applyProtection="1">
      <alignment horizontal="center"/>
      <protection locked="0"/>
    </xf>
    <xf numFmtId="3" fontId="67" fillId="23" borderId="242" xfId="0" applyNumberFormat="1" applyFont="1" applyFill="1" applyBorder="1" applyAlignment="1" applyProtection="1">
      <alignment horizontal="right" vertical="center"/>
      <protection locked="0"/>
    </xf>
    <xf numFmtId="49" fontId="28" fillId="0" borderId="0" xfId="0" applyNumberFormat="1" applyFont="1" applyAlignment="1">
      <alignment horizontal="center"/>
    </xf>
    <xf numFmtId="43" fontId="29" fillId="0" borderId="0" xfId="28" applyFont="1" applyAlignment="1">
      <alignment horizontal="center" vertical="center" wrapText="1"/>
    </xf>
    <xf numFmtId="43" fontId="6" fillId="0" borderId="0" xfId="28" applyFont="1" applyFill="1" applyBorder="1" applyAlignment="1" applyProtection="1">
      <protection locked="0"/>
    </xf>
    <xf numFmtId="43" fontId="106" fillId="0" borderId="0" xfId="28" applyFont="1" applyAlignment="1">
      <alignment horizontal="center" vertical="center" wrapText="1"/>
    </xf>
    <xf numFmtId="43" fontId="129" fillId="0" borderId="0" xfId="28" applyFont="1"/>
    <xf numFmtId="0" fontId="0" fillId="0" borderId="0" xfId="0" applyAlignment="1">
      <alignment vertical="top"/>
    </xf>
    <xf numFmtId="0" fontId="106" fillId="0" borderId="0" xfId="0" applyFont="1" applyAlignment="1">
      <alignment horizontal="left" vertical="top"/>
    </xf>
    <xf numFmtId="0" fontId="6" fillId="0" borderId="0" xfId="0" applyFont="1" applyAlignment="1">
      <alignment horizontal="left" vertical="top"/>
    </xf>
    <xf numFmtId="43" fontId="29" fillId="0" borderId="0" xfId="0" applyNumberFormat="1" applyFont="1" applyAlignment="1">
      <alignment horizontal="center" vertical="center" wrapText="1"/>
    </xf>
    <xf numFmtId="3" fontId="0" fillId="0" borderId="0" xfId="0" applyNumberFormat="1" applyAlignment="1">
      <alignment horizontal="left" vertical="top"/>
    </xf>
    <xf numFmtId="44" fontId="0" fillId="0" borderId="0" xfId="69" applyFont="1" applyAlignment="1">
      <alignment vertical="top"/>
    </xf>
    <xf numFmtId="44" fontId="0" fillId="0" borderId="0" xfId="0" applyNumberFormat="1" applyAlignment="1">
      <alignment vertical="top"/>
    </xf>
    <xf numFmtId="43" fontId="6" fillId="0" borderId="0" xfId="28" applyFont="1" applyAlignment="1">
      <alignment horizontal="left" vertical="top"/>
    </xf>
    <xf numFmtId="43" fontId="6" fillId="0" borderId="0" xfId="28" applyFont="1" applyFill="1" applyBorder="1" applyAlignment="1" applyProtection="1">
      <alignment horizontal="center"/>
    </xf>
    <xf numFmtId="43" fontId="6" fillId="0" borderId="0" xfId="28" applyFont="1" applyProtection="1">
      <protection locked="0"/>
    </xf>
    <xf numFmtId="43" fontId="0" fillId="0" borderId="0" xfId="28" applyFont="1" applyAlignment="1">
      <alignment horizontal="left" vertical="top"/>
    </xf>
    <xf numFmtId="43" fontId="6" fillId="0" borderId="0" xfId="0" applyNumberFormat="1" applyFont="1" applyProtection="1">
      <protection locked="0"/>
    </xf>
    <xf numFmtId="9" fontId="28" fillId="22" borderId="27" xfId="56" applyFont="1" applyFill="1" applyBorder="1" applyAlignment="1" applyProtection="1">
      <alignment horizontal="left" vertical="top" wrapText="1"/>
      <protection locked="0"/>
    </xf>
    <xf numFmtId="9" fontId="28" fillId="22" borderId="43"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3" fontId="26" fillId="0" borderId="0" xfId="0" applyNumberFormat="1" applyFont="1" applyAlignment="1">
      <alignment horizontal="centerContinuous"/>
    </xf>
    <xf numFmtId="3" fontId="0" fillId="0" borderId="243" xfId="0" applyNumberFormat="1" applyBorder="1" applyAlignment="1">
      <alignment horizontal="right" wrapText="1"/>
    </xf>
    <xf numFmtId="1" fontId="0" fillId="0" borderId="217" xfId="0" applyNumberFormat="1" applyBorder="1" applyAlignment="1">
      <alignment horizontal="center" vertical="center"/>
    </xf>
    <xf numFmtId="0" fontId="21" fillId="20" borderId="27" xfId="0" applyFont="1" applyFill="1" applyBorder="1" applyAlignment="1">
      <alignment horizontal="left" vertical="center" wrapText="1"/>
    </xf>
    <xf numFmtId="9" fontId="2" fillId="29" borderId="10" xfId="56" applyFont="1" applyFill="1" applyBorder="1" applyAlignment="1">
      <alignment vertical="center"/>
    </xf>
    <xf numFmtId="9" fontId="2" fillId="29" borderId="10" xfId="56" applyFont="1" applyFill="1" applyBorder="1" applyAlignment="1" applyProtection="1">
      <alignment vertical="center"/>
    </xf>
    <xf numFmtId="9" fontId="67" fillId="29" borderId="10" xfId="56" applyFont="1" applyFill="1" applyBorder="1" applyAlignment="1">
      <alignment vertical="center"/>
    </xf>
    <xf numFmtId="9" fontId="15" fillId="20" borderId="0" xfId="56" applyFont="1" applyFill="1" applyBorder="1"/>
    <xf numFmtId="9" fontId="28" fillId="0" borderId="10" xfId="56" applyFont="1" applyBorder="1" applyAlignment="1" applyProtection="1">
      <alignment vertical="center" wrapText="1"/>
    </xf>
    <xf numFmtId="0" fontId="0" fillId="0" borderId="127" xfId="0" applyBorder="1" applyAlignment="1" applyProtection="1">
      <alignment horizontal="left" vertical="center"/>
      <protection locked="0"/>
    </xf>
    <xf numFmtId="0" fontId="0" fillId="0" borderId="128" xfId="0" applyBorder="1" applyAlignment="1" applyProtection="1">
      <alignment horizontal="left" vertical="center"/>
      <protection locked="0"/>
    </xf>
    <xf numFmtId="0" fontId="0" fillId="0" borderId="244" xfId="0" applyBorder="1" applyAlignment="1" applyProtection="1">
      <alignment horizontal="left" vertical="center"/>
      <protection locked="0"/>
    </xf>
    <xf numFmtId="9" fontId="67" fillId="27" borderId="10" xfId="56" applyFont="1" applyFill="1" applyBorder="1" applyAlignment="1">
      <alignment vertical="center"/>
    </xf>
    <xf numFmtId="49" fontId="0" fillId="24" borderId="10" xfId="0" applyNumberFormat="1" applyFill="1" applyBorder="1" applyProtection="1">
      <protection locked="0"/>
    </xf>
    <xf numFmtId="0" fontId="0" fillId="24" borderId="10" xfId="0" applyFill="1" applyBorder="1" applyProtection="1">
      <protection locked="0"/>
    </xf>
    <xf numFmtId="0" fontId="0" fillId="24" borderId="10" xfId="0" applyFill="1" applyBorder="1" applyAlignment="1" applyProtection="1">
      <alignment horizontal="center"/>
      <protection locked="0"/>
    </xf>
    <xf numFmtId="0" fontId="0" fillId="0" borderId="127" xfId="0" applyBorder="1" applyAlignment="1">
      <alignment vertical="center"/>
    </xf>
    <xf numFmtId="0" fontId="0" fillId="0" borderId="54" xfId="0" applyBorder="1" applyAlignment="1">
      <alignment vertical="center"/>
    </xf>
    <xf numFmtId="1" fontId="28" fillId="0" borderId="10" xfId="56" applyNumberFormat="1" applyFont="1" applyBorder="1" applyAlignment="1" applyProtection="1">
      <alignment vertical="center" wrapText="1"/>
    </xf>
    <xf numFmtId="9" fontId="67" fillId="0" borderId="86" xfId="0" applyNumberFormat="1" applyFont="1" applyBorder="1" applyAlignment="1">
      <alignment vertical="center"/>
    </xf>
    <xf numFmtId="9" fontId="67" fillId="0" borderId="242" xfId="0" applyNumberFormat="1" applyFont="1" applyBorder="1" applyAlignment="1">
      <alignment vertical="center"/>
    </xf>
    <xf numFmtId="43" fontId="0" fillId="24" borderId="10" xfId="28" applyFont="1" applyFill="1" applyBorder="1" applyProtection="1">
      <protection locked="0"/>
    </xf>
    <xf numFmtId="1" fontId="0" fillId="24" borderId="10" xfId="0" applyNumberFormat="1" applyFill="1" applyBorder="1" applyProtection="1">
      <protection locked="0"/>
    </xf>
    <xf numFmtId="0" fontId="0" fillId="0" borderId="0" xfId="0"/>
    <xf numFmtId="3" fontId="28" fillId="0" borderId="245" xfId="0" applyNumberFormat="1" applyFont="1" applyBorder="1"/>
    <xf numFmtId="43" fontId="1" fillId="25" borderId="231" xfId="28" applyFont="1" applyFill="1" applyBorder="1" applyAlignment="1" applyProtection="1">
      <alignment horizontal="right" vertical="center"/>
      <protection locked="0"/>
    </xf>
    <xf numFmtId="43" fontId="21" fillId="25" borderId="232" xfId="28" applyFont="1" applyFill="1" applyBorder="1" applyAlignment="1" applyProtection="1">
      <alignment horizontal="right" vertical="center"/>
      <protection locked="0"/>
    </xf>
    <xf numFmtId="43" fontId="1" fillId="25" borderId="239" xfId="28" applyFont="1" applyFill="1" applyBorder="1" applyAlignment="1" applyProtection="1">
      <alignment horizontal="right" vertical="center"/>
      <protection locked="0"/>
    </xf>
    <xf numFmtId="166" fontId="0" fillId="24" borderId="10" xfId="28" applyNumberFormat="1" applyFont="1" applyFill="1" applyBorder="1" applyAlignment="1" applyProtection="1">
      <alignment horizontal="right" wrapText="1"/>
      <protection locked="0"/>
    </xf>
    <xf numFmtId="166" fontId="0" fillId="24" borderId="56" xfId="28" applyNumberFormat="1" applyFont="1" applyFill="1" applyBorder="1" applyAlignment="1" applyProtection="1">
      <alignment horizontal="right" wrapText="1"/>
      <protection locked="0"/>
    </xf>
    <xf numFmtId="43" fontId="17" fillId="31" borderId="0" xfId="39" applyFont="1" applyFill="1" applyAlignment="1">
      <alignment horizontal="center" vertical="center"/>
    </xf>
    <xf numFmtId="43" fontId="33" fillId="0" borderId="0" xfId="0" applyNumberFormat="1" applyFont="1" applyAlignment="1">
      <alignment horizontal="center"/>
    </xf>
    <xf numFmtId="0" fontId="0" fillId="0" borderId="0" xfId="0"/>
    <xf numFmtId="0" fontId="127" fillId="0" borderId="0" xfId="0" applyFont="1" applyAlignment="1">
      <alignment horizontal="center"/>
    </xf>
    <xf numFmtId="0" fontId="128" fillId="0" borderId="0" xfId="0" applyFont="1" applyAlignment="1">
      <alignment horizontal="center"/>
    </xf>
    <xf numFmtId="0" fontId="89" fillId="0" borderId="27" xfId="0" applyFont="1" applyBorder="1" applyAlignment="1" applyProtection="1">
      <alignment vertical="center" wrapText="1"/>
      <protection locked="0"/>
    </xf>
    <xf numFmtId="0" fontId="89" fillId="0" borderId="43"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97" fillId="0" borderId="27" xfId="0" applyFont="1" applyBorder="1" applyAlignment="1" applyProtection="1">
      <alignment vertical="center" wrapText="1"/>
      <protection locked="0"/>
    </xf>
    <xf numFmtId="0" fontId="97" fillId="0" borderId="43" xfId="0" applyFont="1" applyBorder="1" applyAlignment="1" applyProtection="1">
      <alignment vertical="center" wrapText="1"/>
      <protection locked="0"/>
    </xf>
    <xf numFmtId="0" fontId="97" fillId="0" borderId="44"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3"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3"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3"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3" xfId="0" applyFont="1" applyBorder="1" applyAlignment="1">
      <alignment horizontal="justify" vertical="center" wrapText="1"/>
    </xf>
    <xf numFmtId="0" fontId="88" fillId="0" borderId="44" xfId="0" applyFont="1" applyBorder="1" applyAlignment="1">
      <alignment horizontal="justify" vertical="center" wrapText="1"/>
    </xf>
    <xf numFmtId="0" fontId="89" fillId="0" borderId="43" xfId="0" applyFont="1" applyBorder="1" applyAlignment="1" applyProtection="1">
      <alignment horizontal="left" vertical="center" wrapText="1"/>
      <protection locked="0"/>
    </xf>
    <xf numFmtId="0" fontId="89" fillId="0" borderId="44"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3" xfId="0" applyFont="1" applyFill="1" applyBorder="1" applyAlignment="1">
      <alignment vertical="center" wrapText="1"/>
    </xf>
    <xf numFmtId="0" fontId="89" fillId="22" borderId="44" xfId="0" applyFont="1" applyFill="1" applyBorder="1" applyAlignment="1">
      <alignment vertical="center" wrapText="1"/>
    </xf>
    <xf numFmtId="0" fontId="120" fillId="0" borderId="63" xfId="0" applyFont="1" applyBorder="1" applyAlignment="1">
      <alignment horizontal="justify" vertical="center" wrapText="1"/>
    </xf>
    <xf numFmtId="0" fontId="120" fillId="0" borderId="99" xfId="0" applyFont="1" applyBorder="1" applyAlignment="1">
      <alignment horizontal="justify" vertical="center" wrapText="1"/>
    </xf>
    <xf numFmtId="0" fontId="120" fillId="0" borderId="101" xfId="0" applyFont="1" applyBorder="1" applyAlignment="1">
      <alignment horizontal="justify" vertical="center" wrapText="1"/>
    </xf>
    <xf numFmtId="0" fontId="63" fillId="0" borderId="27" xfId="0" applyFont="1" applyBorder="1" applyAlignment="1">
      <alignment horizontal="left" vertical="center" wrapText="1"/>
    </xf>
    <xf numFmtId="0" fontId="63" fillId="0" borderId="43" xfId="0" applyFont="1" applyBorder="1" applyAlignment="1">
      <alignment horizontal="left" vertical="center" wrapText="1"/>
    </xf>
    <xf numFmtId="0" fontId="63" fillId="0" borderId="44" xfId="0" applyFont="1" applyBorder="1" applyAlignment="1">
      <alignment horizontal="left" vertical="center" wrapText="1"/>
    </xf>
    <xf numFmtId="0" fontId="120" fillId="0" borderId="27" xfId="0" applyFont="1" applyBorder="1" applyAlignment="1">
      <alignment horizontal="justify" vertical="center" wrapText="1"/>
    </xf>
    <xf numFmtId="0" fontId="120" fillId="0" borderId="43" xfId="0" applyFont="1" applyBorder="1" applyAlignment="1">
      <alignment horizontal="justify" vertical="center" wrapText="1"/>
    </xf>
    <xf numFmtId="0" fontId="120" fillId="0" borderId="44" xfId="0" applyFont="1" applyBorder="1" applyAlignment="1">
      <alignment horizontal="justify" vertical="center" wrapText="1"/>
    </xf>
    <xf numFmtId="0" fontId="120" fillId="0" borderId="27" xfId="0" applyFont="1" applyBorder="1" applyAlignment="1">
      <alignment horizontal="left" vertical="center" wrapText="1"/>
    </xf>
    <xf numFmtId="0" fontId="117" fillId="0" borderId="43" xfId="0" applyFont="1" applyBorder="1" applyAlignment="1">
      <alignment horizontal="left" vertical="center" wrapText="1"/>
    </xf>
    <xf numFmtId="0" fontId="117" fillId="0" borderId="44" xfId="0" applyFont="1" applyBorder="1" applyAlignment="1">
      <alignment horizontal="left" vertical="center" wrapText="1"/>
    </xf>
    <xf numFmtId="0" fontId="63" fillId="0" borderId="105" xfId="0" applyFont="1" applyBorder="1" applyAlignment="1">
      <alignment horizontal="left" vertical="center" wrapText="1"/>
    </xf>
    <xf numFmtId="0" fontId="63" fillId="0" borderId="104" xfId="0" applyFont="1" applyBorder="1" applyAlignment="1">
      <alignment horizontal="left" vertical="center" wrapText="1"/>
    </xf>
    <xf numFmtId="0" fontId="63" fillId="0" borderId="106" xfId="0" applyFont="1" applyBorder="1" applyAlignment="1">
      <alignment horizontal="left" vertical="center" wrapText="1"/>
    </xf>
    <xf numFmtId="0" fontId="63" fillId="0" borderId="63" xfId="0" applyFont="1" applyBorder="1" applyAlignment="1">
      <alignment horizontal="left" vertical="center" wrapText="1"/>
    </xf>
    <xf numFmtId="0" fontId="63" fillId="0" borderId="99" xfId="0" applyFont="1" applyBorder="1" applyAlignment="1">
      <alignment horizontal="left" vertical="center" wrapText="1"/>
    </xf>
    <xf numFmtId="0" fontId="63" fillId="0" borderId="101"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3" xfId="0" applyFont="1" applyBorder="1" applyAlignment="1">
      <alignment horizontal="justify" vertical="center" wrapText="1"/>
    </xf>
    <xf numFmtId="0" fontId="89" fillId="0" borderId="44"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05" xfId="0" applyNumberFormat="1" applyFont="1" applyBorder="1" applyAlignment="1">
      <alignment horizontal="left" vertical="center" wrapText="1"/>
    </xf>
    <xf numFmtId="0" fontId="88" fillId="0" borderId="104" xfId="0" applyFont="1" applyBorder="1" applyAlignment="1">
      <alignment horizontal="left" vertical="center" wrapText="1"/>
    </xf>
    <xf numFmtId="0" fontId="88" fillId="0" borderId="106" xfId="0" applyFont="1" applyBorder="1" applyAlignment="1">
      <alignment horizontal="left" vertical="center" wrapText="1"/>
    </xf>
    <xf numFmtId="0" fontId="88" fillId="0" borderId="63" xfId="0" applyFont="1" applyBorder="1" applyAlignment="1">
      <alignment horizontal="left" vertical="center" wrapText="1"/>
    </xf>
    <xf numFmtId="0" fontId="88" fillId="0" borderId="99" xfId="0" applyFont="1" applyBorder="1" applyAlignment="1">
      <alignment horizontal="left" vertical="center" wrapText="1"/>
    </xf>
    <xf numFmtId="0" fontId="88" fillId="0" borderId="101" xfId="0" applyFont="1"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63" fillId="0" borderId="43"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105" xfId="0" applyFont="1" applyBorder="1" applyAlignment="1">
      <alignment horizontal="justify" wrapText="1"/>
    </xf>
    <xf numFmtId="0" fontId="63" fillId="0" borderId="104" xfId="0" applyFont="1" applyBorder="1" applyAlignment="1">
      <alignment horizontal="justify" wrapText="1"/>
    </xf>
    <xf numFmtId="0" fontId="63" fillId="0" borderId="106" xfId="0" applyFont="1" applyBorder="1" applyAlignment="1">
      <alignment horizontal="justify" wrapText="1"/>
    </xf>
    <xf numFmtId="0" fontId="89" fillId="0" borderId="63" xfId="0" applyFont="1" applyBorder="1" applyAlignment="1">
      <alignment horizontal="justify" vertical="center" wrapText="1"/>
    </xf>
    <xf numFmtId="0" fontId="89" fillId="0" borderId="99" xfId="0" applyFont="1" applyBorder="1" applyAlignment="1">
      <alignment horizontal="justify" vertical="center" wrapText="1"/>
    </xf>
    <xf numFmtId="0" fontId="89" fillId="0" borderId="101" xfId="0" applyFont="1" applyBorder="1" applyAlignment="1">
      <alignment horizontal="justify" vertical="center" wrapText="1"/>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3" xfId="0" applyFont="1" applyFill="1" applyBorder="1" applyAlignment="1">
      <alignment horizontal="center" vertical="center"/>
    </xf>
    <xf numFmtId="0" fontId="94" fillId="22" borderId="44" xfId="0" applyFont="1" applyFill="1" applyBorder="1" applyAlignment="1">
      <alignment horizontal="center" vertical="center"/>
    </xf>
    <xf numFmtId="0" fontId="24" fillId="22" borderId="27" xfId="0" applyFont="1" applyFill="1" applyBorder="1" applyAlignment="1">
      <alignment horizontal="center" vertical="center"/>
    </xf>
    <xf numFmtId="0" fontId="93" fillId="22" borderId="43"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27"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3" xfId="0" applyFont="1" applyFill="1" applyBorder="1" applyAlignment="1">
      <alignment horizontal="center" wrapText="1"/>
    </xf>
    <xf numFmtId="0" fontId="93" fillId="22" borderId="44" xfId="0" applyFont="1" applyFill="1" applyBorder="1" applyAlignment="1">
      <alignment horizontal="center" wrapText="1"/>
    </xf>
    <xf numFmtId="0" fontId="93" fillId="22" borderId="27" xfId="0" applyFont="1" applyFill="1" applyBorder="1" applyAlignment="1">
      <alignment horizontal="center"/>
    </xf>
    <xf numFmtId="0" fontId="93" fillId="22" borderId="43" xfId="0" applyFont="1" applyFill="1" applyBorder="1" applyAlignment="1">
      <alignment horizontal="center"/>
    </xf>
    <xf numFmtId="0" fontId="93" fillId="22" borderId="44" xfId="0" applyFont="1" applyFill="1" applyBorder="1" applyAlignment="1">
      <alignment horizontal="center"/>
    </xf>
    <xf numFmtId="43" fontId="17" fillId="32" borderId="0" xfId="47" applyFont="1" applyFill="1" applyAlignment="1">
      <alignment horizontal="center" vertical="center"/>
    </xf>
    <xf numFmtId="0" fontId="87" fillId="25" borderId="27" xfId="0" applyFont="1" applyFill="1" applyBorder="1" applyAlignment="1">
      <alignment horizontal="center"/>
    </xf>
    <xf numFmtId="0" fontId="87" fillId="25" borderId="43" xfId="0" applyFont="1" applyFill="1" applyBorder="1" applyAlignment="1">
      <alignment horizontal="center"/>
    </xf>
    <xf numFmtId="0" fontId="87" fillId="25" borderId="44" xfId="0" applyFont="1" applyFill="1" applyBorder="1" applyAlignment="1">
      <alignment horizontal="center"/>
    </xf>
    <xf numFmtId="9" fontId="89" fillId="0" borderId="27" xfId="56" applyFont="1" applyBorder="1" applyAlignment="1">
      <alignment horizontal="justify" vertical="center" wrapText="1"/>
    </xf>
    <xf numFmtId="9" fontId="89" fillId="0" borderId="43" xfId="56" applyFont="1" applyBorder="1" applyAlignment="1">
      <alignment horizontal="justify" vertical="center" wrapText="1"/>
    </xf>
    <xf numFmtId="9" fontId="89" fillId="0" borderId="44"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3" xfId="0" applyFont="1" applyBorder="1" applyAlignment="1">
      <alignment horizontal="left" vertical="center" wrapText="1"/>
    </xf>
    <xf numFmtId="0" fontId="88" fillId="0" borderId="44" xfId="0" applyFont="1" applyBorder="1" applyAlignment="1">
      <alignment horizontal="left" vertical="center" wrapText="1"/>
    </xf>
    <xf numFmtId="0" fontId="88" fillId="0" borderId="43" xfId="0" applyFont="1" applyBorder="1" applyAlignment="1">
      <alignment horizontal="left" vertical="center"/>
    </xf>
    <xf numFmtId="0" fontId="88" fillId="0" borderId="44" xfId="0" applyFont="1" applyBorder="1" applyAlignment="1">
      <alignment horizontal="left" vertical="center"/>
    </xf>
    <xf numFmtId="0" fontId="88" fillId="0" borderId="43" xfId="0" applyFont="1" applyBorder="1" applyAlignment="1">
      <alignment horizontal="justify" vertical="center"/>
    </xf>
    <xf numFmtId="0" fontId="88" fillId="0" borderId="44" xfId="0" applyFont="1" applyBorder="1" applyAlignment="1">
      <alignment horizontal="justify" vertical="center"/>
    </xf>
    <xf numFmtId="0" fontId="0" fillId="0" borderId="104" xfId="0" applyBorder="1" applyAlignment="1">
      <alignment horizontal="center"/>
    </xf>
    <xf numFmtId="0" fontId="0" fillId="0" borderId="104" xfId="0" applyBorder="1" applyAlignment="1">
      <alignment horizontal="center" wrapText="1"/>
    </xf>
    <xf numFmtId="0" fontId="87" fillId="24" borderId="27" xfId="0" applyFont="1" applyFill="1" applyBorder="1" applyAlignment="1">
      <alignment horizontal="center"/>
    </xf>
    <xf numFmtId="0" fontId="87" fillId="24" borderId="43" xfId="0" applyFont="1" applyFill="1" applyBorder="1" applyAlignment="1">
      <alignment horizontal="center"/>
    </xf>
    <xf numFmtId="0" fontId="87" fillId="24" borderId="44" xfId="0" applyFont="1" applyFill="1" applyBorder="1" applyAlignment="1">
      <alignment horizontal="center"/>
    </xf>
    <xf numFmtId="0" fontId="0" fillId="19" borderId="136" xfId="0" applyFill="1" applyBorder="1" applyAlignment="1">
      <alignment horizontal="center" vertical="center" textRotation="90"/>
    </xf>
    <xf numFmtId="43" fontId="14" fillId="0" borderId="137" xfId="0" applyNumberFormat="1" applyFont="1" applyBorder="1" applyAlignment="1">
      <alignment horizontal="center"/>
    </xf>
    <xf numFmtId="0" fontId="14" fillId="0" borderId="138" xfId="0" applyFont="1" applyBorder="1" applyAlignment="1">
      <alignment horizontal="center"/>
    </xf>
    <xf numFmtId="0" fontId="14" fillId="0" borderId="240" xfId="0" applyFont="1" applyBorder="1" applyAlignment="1">
      <alignment horizontal="center"/>
    </xf>
    <xf numFmtId="0" fontId="14" fillId="0" borderId="139" xfId="0" applyFont="1" applyBorder="1" applyAlignment="1">
      <alignment horizontal="center"/>
    </xf>
    <xf numFmtId="49" fontId="2" fillId="22" borderId="114" xfId="0" applyNumberFormat="1" applyFont="1" applyFill="1" applyBorder="1" applyAlignment="1" applyProtection="1">
      <alignment horizontal="left" vertical="center" wrapText="1"/>
      <protection locked="0"/>
    </xf>
    <xf numFmtId="49" fontId="67" fillId="22" borderId="102" xfId="0" applyNumberFormat="1" applyFont="1" applyFill="1" applyBorder="1" applyAlignment="1" applyProtection="1">
      <alignment horizontal="left" vertical="center" wrapText="1"/>
      <protection locked="0"/>
    </xf>
    <xf numFmtId="49" fontId="67" fillId="22" borderId="63" xfId="0" applyNumberFormat="1" applyFont="1" applyFill="1" applyBorder="1" applyAlignment="1" applyProtection="1">
      <alignment horizontal="left" vertical="center" wrapText="1"/>
      <protection locked="0"/>
    </xf>
    <xf numFmtId="49" fontId="67" fillId="22" borderId="140"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1" xfId="0" applyFont="1" applyBorder="1" applyAlignment="1">
      <alignment horizontal="center" wrapText="1"/>
    </xf>
    <xf numFmtId="0" fontId="26" fillId="0" borderId="142" xfId="0" applyFont="1" applyBorder="1" applyAlignment="1">
      <alignment horizontal="center" wrapText="1"/>
    </xf>
    <xf numFmtId="0" fontId="26" fillId="0" borderId="143" xfId="0" applyFont="1" applyBorder="1" applyAlignment="1">
      <alignment horizontal="center" wrapText="1"/>
    </xf>
    <xf numFmtId="49" fontId="67" fillId="22" borderId="113" xfId="0" applyNumberFormat="1" applyFont="1" applyFill="1" applyBorder="1" applyAlignment="1" applyProtection="1">
      <alignment horizontal="center" vertical="center" wrapText="1"/>
      <protection locked="0"/>
    </xf>
    <xf numFmtId="49" fontId="67" fillId="22" borderId="114" xfId="0" applyNumberFormat="1" applyFont="1" applyFill="1" applyBorder="1" applyAlignment="1" applyProtection="1">
      <alignment horizontal="center" vertical="center" wrapText="1"/>
      <protection locked="0"/>
    </xf>
    <xf numFmtId="49" fontId="2" fillId="23" borderId="140"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0" xfId="0" applyNumberFormat="1" applyFont="1" applyFill="1" applyBorder="1" applyAlignment="1" applyProtection="1">
      <alignment horizontal="left" vertical="center" wrapText="1"/>
      <protection locked="0"/>
    </xf>
    <xf numFmtId="49" fontId="2" fillId="22" borderId="140" xfId="0" applyNumberFormat="1" applyFont="1" applyFill="1" applyBorder="1" applyAlignment="1" applyProtection="1">
      <alignment horizontal="left" vertical="center" wrapText="1"/>
      <protection locked="0"/>
    </xf>
    <xf numFmtId="49" fontId="14" fillId="0" borderId="97" xfId="0" applyNumberFormat="1" applyFont="1" applyBorder="1" applyAlignment="1">
      <alignment horizontal="center"/>
    </xf>
    <xf numFmtId="49" fontId="14" fillId="0" borderId="46" xfId="0" applyNumberFormat="1" applyFont="1" applyBorder="1" applyAlignment="1">
      <alignment horizontal="center"/>
    </xf>
    <xf numFmtId="0" fontId="2" fillId="22" borderId="108" xfId="0" applyFont="1" applyFill="1" applyBorder="1" applyAlignment="1" applyProtection="1">
      <alignment horizontal="center" vertical="center" wrapText="1"/>
      <protection locked="0"/>
    </xf>
    <xf numFmtId="0" fontId="67" fillId="22" borderId="108" xfId="0" applyFont="1" applyFill="1" applyBorder="1" applyAlignment="1" applyProtection="1">
      <alignment horizontal="center" vertical="center" wrapText="1"/>
      <protection locked="0"/>
    </xf>
    <xf numFmtId="0" fontId="77" fillId="0" borderId="129" xfId="0" applyFont="1" applyBorder="1" applyAlignment="1">
      <alignment horizontal="center" vertical="center"/>
    </xf>
    <xf numFmtId="0" fontId="77" fillId="0" borderId="130" xfId="0" applyFont="1" applyBorder="1" applyAlignment="1">
      <alignment horizontal="center" vertical="center"/>
    </xf>
    <xf numFmtId="0" fontId="77" fillId="0" borderId="131" xfId="0" applyFont="1" applyBorder="1" applyAlignment="1">
      <alignment horizontal="center" vertical="center"/>
    </xf>
    <xf numFmtId="0" fontId="0" fillId="0" borderId="125" xfId="0" applyBorder="1" applyAlignment="1">
      <alignment horizontal="center"/>
    </xf>
    <xf numFmtId="0" fontId="0" fillId="0" borderId="21" xfId="0" applyBorder="1" applyAlignment="1">
      <alignment horizontal="center"/>
    </xf>
    <xf numFmtId="49" fontId="2" fillId="23" borderId="113"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2" fillId="23" borderId="108" xfId="0" applyFont="1" applyFill="1" applyBorder="1" applyAlignment="1" applyProtection="1">
      <alignment horizontal="center" vertical="center" wrapText="1"/>
      <protection locked="0"/>
    </xf>
    <xf numFmtId="0" fontId="67" fillId="23" borderId="108" xfId="0" applyFont="1" applyFill="1" applyBorder="1" applyAlignment="1" applyProtection="1">
      <alignment horizontal="center" vertical="center" wrapText="1"/>
      <protection locked="0"/>
    </xf>
    <xf numFmtId="49" fontId="0" fillId="0" borderId="27" xfId="0" applyNumberFormat="1" applyBorder="1" applyAlignment="1" applyProtection="1">
      <alignment horizontal="center"/>
      <protection locked="0"/>
    </xf>
    <xf numFmtId="49" fontId="0" fillId="0" borderId="44" xfId="0" applyNumberFormat="1" applyBorder="1" applyAlignment="1" applyProtection="1">
      <alignment horizontal="center"/>
      <protection locked="0"/>
    </xf>
    <xf numFmtId="43" fontId="61" fillId="32" borderId="0" xfId="39" applyFont="1" applyFill="1" applyAlignment="1">
      <alignment horizontal="center" vertical="center"/>
    </xf>
    <xf numFmtId="43" fontId="15" fillId="38" borderId="10" xfId="58" applyFont="1" applyFill="1" applyBorder="1" applyAlignment="1" applyProtection="1">
      <alignment horizontal="center"/>
      <protection locked="0"/>
    </xf>
    <xf numFmtId="0" fontId="112" fillId="0" borderId="0" xfId="0" applyFont="1" applyAlignment="1">
      <alignment horizontal="right"/>
    </xf>
    <xf numFmtId="0" fontId="112" fillId="0" borderId="134" xfId="0" applyFont="1" applyBorder="1" applyAlignment="1">
      <alignment horizontal="right"/>
    </xf>
    <xf numFmtId="49" fontId="0" fillId="0" borderId="10" xfId="0" applyNumberFormat="1" applyBorder="1" applyAlignment="1" applyProtection="1">
      <alignment horizontal="center"/>
      <protection locked="0"/>
    </xf>
    <xf numFmtId="0" fontId="0" fillId="22" borderId="27" xfId="0" applyFill="1" applyBorder="1" applyAlignment="1">
      <alignment horizontal="center"/>
    </xf>
    <xf numFmtId="0" fontId="0" fillId="22" borderId="44" xfId="0" applyFill="1" applyBorder="1" applyAlignment="1">
      <alignment horizontal="center"/>
    </xf>
    <xf numFmtId="49" fontId="2" fillId="34" borderId="121" xfId="0" applyNumberFormat="1" applyFont="1" applyFill="1" applyBorder="1" applyAlignment="1" applyProtection="1">
      <alignment horizontal="left" vertical="center" wrapText="1"/>
      <protection locked="0"/>
    </xf>
    <xf numFmtId="49" fontId="67" fillId="34" borderId="104" xfId="0" applyNumberFormat="1" applyFont="1" applyFill="1" applyBorder="1" applyAlignment="1" applyProtection="1">
      <alignment horizontal="left" vertical="center" wrapText="1"/>
      <protection locked="0"/>
    </xf>
    <xf numFmtId="49" fontId="67" fillId="34" borderId="122" xfId="0" applyNumberFormat="1" applyFont="1" applyFill="1" applyBorder="1" applyAlignment="1" applyProtection="1">
      <alignment horizontal="left" vertical="center" wrapText="1"/>
      <protection locked="0"/>
    </xf>
    <xf numFmtId="49" fontId="67" fillId="34" borderId="98" xfId="0" applyNumberFormat="1" applyFont="1" applyFill="1" applyBorder="1" applyAlignment="1" applyProtection="1">
      <alignment horizontal="left" vertical="center" wrapText="1"/>
      <protection locked="0"/>
    </xf>
    <xf numFmtId="49" fontId="67" fillId="34" borderId="99"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131" fillId="34" borderId="121" xfId="0" applyNumberFormat="1" applyFont="1" applyFill="1" applyBorder="1" applyAlignment="1" applyProtection="1">
      <alignment horizontal="left" vertical="center" wrapText="1"/>
      <protection locked="0"/>
    </xf>
    <xf numFmtId="49" fontId="131" fillId="34" borderId="104" xfId="0" applyNumberFormat="1" applyFont="1" applyFill="1" applyBorder="1" applyAlignment="1" applyProtection="1">
      <alignment horizontal="left" vertical="center" wrapText="1"/>
      <protection locked="0"/>
    </xf>
    <xf numFmtId="49" fontId="131" fillId="34" borderId="122" xfId="0" applyNumberFormat="1" applyFont="1" applyFill="1" applyBorder="1" applyAlignment="1" applyProtection="1">
      <alignment horizontal="left" vertical="center" wrapText="1"/>
      <protection locked="0"/>
    </xf>
    <xf numFmtId="49" fontId="131" fillId="34" borderId="98" xfId="0" applyNumberFormat="1" applyFont="1" applyFill="1" applyBorder="1" applyAlignment="1" applyProtection="1">
      <alignment horizontal="left" vertical="center" wrapText="1"/>
      <protection locked="0"/>
    </xf>
    <xf numFmtId="49" fontId="131" fillId="34" borderId="99" xfId="0" applyNumberFormat="1" applyFont="1" applyFill="1" applyBorder="1" applyAlignment="1" applyProtection="1">
      <alignment horizontal="left" vertical="center" wrapText="1"/>
      <protection locked="0"/>
    </xf>
    <xf numFmtId="49" fontId="131" fillId="34" borderId="103" xfId="0" applyNumberFormat="1" applyFont="1" applyFill="1" applyBorder="1" applyAlignment="1" applyProtection="1">
      <alignment horizontal="left" vertical="center" wrapText="1"/>
      <protection locked="0"/>
    </xf>
    <xf numFmtId="0" fontId="67" fillId="0" borderId="44" xfId="0" applyFont="1" applyBorder="1" applyAlignment="1">
      <alignment horizontal="center" vertical="center" wrapText="1"/>
    </xf>
    <xf numFmtId="0" fontId="67" fillId="27" borderId="44" xfId="0" applyFont="1" applyFill="1" applyBorder="1" applyAlignment="1">
      <alignment horizontal="center" vertical="center" wrapText="1"/>
    </xf>
    <xf numFmtId="49" fontId="0" fillId="0" borderId="27" xfId="0" applyNumberForma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49" fontId="0" fillId="0" borderId="27" xfId="0" applyNumberFormat="1" applyBorder="1" applyAlignment="1" applyProtection="1">
      <alignment horizontal="center" wrapText="1"/>
      <protection locked="0"/>
    </xf>
    <xf numFmtId="49" fontId="0" fillId="0" borderId="43" xfId="0" applyNumberFormat="1" applyBorder="1" applyAlignment="1" applyProtection="1">
      <alignment horizontal="center" wrapText="1"/>
      <protection locked="0"/>
    </xf>
    <xf numFmtId="49" fontId="0" fillId="0" borderId="44" xfId="0" applyNumberFormat="1" applyBorder="1" applyAlignment="1" applyProtection="1">
      <alignment horizontal="center" wrapText="1"/>
      <protection locked="0"/>
    </xf>
    <xf numFmtId="0" fontId="112" fillId="0" borderId="49" xfId="0" applyFont="1" applyBorder="1" applyAlignment="1">
      <alignment horizontal="right"/>
    </xf>
    <xf numFmtId="3" fontId="0" fillId="0" borderId="27" xfId="0" applyNumberFormat="1" applyBorder="1" applyAlignment="1" applyProtection="1">
      <alignment horizontal="center"/>
      <protection locked="0"/>
    </xf>
    <xf numFmtId="3" fontId="0" fillId="0" borderId="44" xfId="0" applyNumberForma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3" xfId="0" applyNumberFormat="1" applyBorder="1" applyAlignment="1" applyProtection="1">
      <alignment horizontal="center"/>
      <protection locked="0"/>
    </xf>
    <xf numFmtId="15" fontId="125" fillId="0" borderId="10" xfId="58" applyNumberFormat="1" applyFont="1" applyFill="1" applyBorder="1" applyAlignment="1" applyProtection="1">
      <alignment horizontal="center"/>
      <protection locked="0"/>
    </xf>
    <xf numFmtId="15" fontId="129" fillId="0" borderId="10" xfId="58" applyNumberFormat="1" applyFill="1" applyBorder="1" applyAlignment="1" applyProtection="1">
      <alignment horizontal="center"/>
      <protection locked="0"/>
    </xf>
    <xf numFmtId="49" fontId="67" fillId="23" borderId="113" xfId="0" applyNumberFormat="1" applyFont="1" applyFill="1" applyBorder="1" applyAlignment="1" applyProtection="1">
      <alignment horizontal="center" vertical="center" wrapText="1"/>
      <protection locked="0"/>
    </xf>
    <xf numFmtId="49" fontId="2" fillId="23" borderId="121" xfId="0" applyNumberFormat="1" applyFont="1" applyFill="1" applyBorder="1" applyAlignment="1" applyProtection="1">
      <alignment horizontal="left" vertical="center" wrapText="1"/>
      <protection locked="0"/>
    </xf>
    <xf numFmtId="49" fontId="67" fillId="23" borderId="104" xfId="0" applyNumberFormat="1" applyFont="1" applyFill="1" applyBorder="1" applyAlignment="1" applyProtection="1">
      <alignment horizontal="left" vertical="center" wrapText="1"/>
      <protection locked="0"/>
    </xf>
    <xf numFmtId="49" fontId="67" fillId="23" borderId="122" xfId="0" applyNumberFormat="1" applyFont="1" applyFill="1" applyBorder="1" applyAlignment="1" applyProtection="1">
      <alignment horizontal="left" vertical="center" wrapText="1"/>
      <protection locked="0"/>
    </xf>
    <xf numFmtId="49" fontId="67" fillId="23" borderId="98" xfId="0" applyNumberFormat="1" applyFont="1" applyFill="1" applyBorder="1" applyAlignment="1" applyProtection="1">
      <alignment horizontal="left" vertical="center" wrapText="1"/>
      <protection locked="0"/>
    </xf>
    <xf numFmtId="49" fontId="67" fillId="23" borderId="99"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2" borderId="44" xfId="0" applyNumberFormat="1" applyFont="1" applyFill="1" applyBorder="1" applyAlignment="1" applyProtection="1">
      <alignment horizontal="center" vertical="center" wrapText="1"/>
      <protection locked="0"/>
    </xf>
    <xf numFmtId="0" fontId="84" fillId="0" borderId="126" xfId="0" applyFont="1" applyBorder="1" applyAlignment="1">
      <alignment horizontal="right"/>
    </xf>
    <xf numFmtId="0" fontId="121" fillId="0" borderId="126" xfId="0" applyFont="1" applyBorder="1"/>
    <xf numFmtId="49" fontId="14" fillId="0" borderId="135" xfId="0" applyNumberFormat="1" applyFont="1" applyBorder="1" applyAlignment="1">
      <alignment horizontal="center"/>
    </xf>
    <xf numFmtId="49" fontId="14" fillId="0" borderId="10" xfId="0" applyNumberFormat="1" applyFont="1" applyBorder="1" applyAlignment="1">
      <alignment horizontal="center"/>
    </xf>
    <xf numFmtId="9" fontId="33" fillId="0" borderId="110" xfId="56" applyFont="1" applyFill="1" applyBorder="1" applyAlignment="1" applyProtection="1">
      <alignment horizontal="center" vertical="center"/>
    </xf>
    <xf numFmtId="9" fontId="33" fillId="0" borderId="111" xfId="56" applyFont="1" applyFill="1" applyBorder="1" applyAlignment="1" applyProtection="1">
      <alignment horizontal="center" vertical="center"/>
    </xf>
    <xf numFmtId="9" fontId="33" fillId="0" borderId="112" xfId="56" applyFont="1" applyFill="1" applyBorder="1" applyAlignment="1" applyProtection="1">
      <alignment horizontal="center" vertical="center"/>
    </xf>
    <xf numFmtId="0" fontId="0" fillId="33" borderId="115" xfId="0" applyFill="1" applyBorder="1" applyAlignment="1">
      <alignment horizontal="center"/>
    </xf>
    <xf numFmtId="0" fontId="0" fillId="33" borderId="116" xfId="0" applyFill="1" applyBorder="1" applyAlignment="1">
      <alignment horizontal="center"/>
    </xf>
    <xf numFmtId="0" fontId="0" fillId="33" borderId="117" xfId="0" applyFill="1" applyBorder="1" applyAlignment="1">
      <alignment horizontal="center"/>
    </xf>
    <xf numFmtId="0" fontId="67" fillId="0" borderId="108" xfId="0" applyFont="1" applyBorder="1" applyAlignment="1">
      <alignment horizontal="center" vertical="center" wrapText="1"/>
    </xf>
    <xf numFmtId="0" fontId="67" fillId="0" borderId="109" xfId="0" applyFont="1" applyBorder="1" applyAlignment="1">
      <alignment horizontal="center" vertical="center" wrapText="1"/>
    </xf>
    <xf numFmtId="49" fontId="67" fillId="0" borderId="44" xfId="0" applyNumberFormat="1" applyFont="1" applyBorder="1" applyAlignment="1">
      <alignment horizontal="center" vertical="center" wrapText="1"/>
    </xf>
    <xf numFmtId="0" fontId="67" fillId="0" borderId="107" xfId="0" applyFont="1" applyBorder="1" applyAlignment="1">
      <alignment horizontal="center" vertical="center" wrapText="1"/>
    </xf>
    <xf numFmtId="0" fontId="131" fillId="22" borderId="108" xfId="0" applyFont="1" applyFill="1" applyBorder="1" applyAlignment="1" applyProtection="1">
      <alignment horizontal="center" vertical="center" wrapText="1"/>
      <protection locked="0"/>
    </xf>
    <xf numFmtId="0" fontId="131" fillId="22" borderId="44" xfId="0" applyFont="1" applyFill="1" applyBorder="1" applyAlignment="1" applyProtection="1">
      <alignment horizontal="center" vertical="center" wrapText="1"/>
      <protection locked="0"/>
    </xf>
    <xf numFmtId="0" fontId="67" fillId="23" borderId="109" xfId="0" applyFont="1" applyFill="1" applyBorder="1" applyAlignment="1" applyProtection="1">
      <alignment horizontal="center" vertical="center" wrapText="1"/>
      <protection locked="0"/>
    </xf>
    <xf numFmtId="49" fontId="67" fillId="23" borderId="44" xfId="0" applyNumberFormat="1" applyFont="1" applyFill="1" applyBorder="1" applyAlignment="1" applyProtection="1">
      <alignment horizontal="center" vertical="center" wrapText="1"/>
      <protection locked="0"/>
    </xf>
    <xf numFmtId="49" fontId="67" fillId="23" borderId="107" xfId="0" applyNumberFormat="1" applyFont="1" applyFill="1" applyBorder="1" applyAlignment="1" applyProtection="1">
      <alignment horizontal="center" vertical="center" wrapText="1"/>
      <protection locked="0"/>
    </xf>
    <xf numFmtId="0" fontId="67" fillId="27" borderId="132" xfId="0" applyFont="1" applyFill="1" applyBorder="1" applyAlignment="1">
      <alignment horizontal="left" vertical="center" wrapText="1"/>
    </xf>
    <xf numFmtId="0" fontId="67" fillId="27" borderId="43" xfId="0" applyFont="1" applyFill="1" applyBorder="1" applyAlignment="1">
      <alignment horizontal="left" vertical="center" wrapText="1"/>
    </xf>
    <xf numFmtId="0" fontId="67" fillId="27" borderId="133" xfId="0" applyFont="1" applyFill="1" applyBorder="1" applyAlignment="1">
      <alignment horizontal="left" vertical="center" wrapText="1"/>
    </xf>
    <xf numFmtId="49" fontId="67" fillId="23" borderId="121" xfId="0" applyNumberFormat="1" applyFont="1" applyFill="1" applyBorder="1" applyAlignment="1" applyProtection="1">
      <alignment horizontal="left" vertical="center" wrapText="1"/>
      <protection locked="0"/>
    </xf>
    <xf numFmtId="49" fontId="67" fillId="23" borderId="123"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4" xfId="0" applyNumberFormat="1" applyFont="1" applyFill="1" applyBorder="1" applyAlignment="1" applyProtection="1">
      <alignment horizontal="left" vertical="center" wrapText="1"/>
      <protection locked="0"/>
    </xf>
    <xf numFmtId="0" fontId="67" fillId="27" borderId="108" xfId="0" applyFont="1" applyFill="1" applyBorder="1" applyAlignment="1">
      <alignment horizontal="center" vertical="center" wrapText="1"/>
    </xf>
    <xf numFmtId="49" fontId="2" fillId="23" borderId="104" xfId="0" applyNumberFormat="1" applyFont="1" applyFill="1" applyBorder="1" applyAlignment="1" applyProtection="1">
      <alignment horizontal="left" vertical="center" wrapText="1"/>
      <protection locked="0"/>
    </xf>
    <xf numFmtId="49" fontId="2" fillId="23" borderId="122" xfId="0" applyNumberFormat="1" applyFont="1" applyFill="1" applyBorder="1" applyAlignment="1" applyProtection="1">
      <alignment horizontal="left" vertical="center" wrapText="1"/>
      <protection locked="0"/>
    </xf>
    <xf numFmtId="49" fontId="2" fillId="23" borderId="98" xfId="0" applyNumberFormat="1" applyFont="1" applyFill="1" applyBorder="1" applyAlignment="1" applyProtection="1">
      <alignment horizontal="left" vertical="center" wrapText="1"/>
      <protection locked="0"/>
    </xf>
    <xf numFmtId="49" fontId="2" fillId="23" borderId="99" xfId="0" applyNumberFormat="1" applyFont="1" applyFill="1" applyBorder="1" applyAlignment="1" applyProtection="1">
      <alignment horizontal="left" vertical="center" wrapText="1"/>
      <protection locked="0"/>
    </xf>
    <xf numFmtId="49" fontId="2" fillId="23" borderId="103" xfId="0" applyNumberFormat="1" applyFont="1" applyFill="1" applyBorder="1" applyAlignment="1" applyProtection="1">
      <alignment horizontal="left" vertical="center" wrapText="1"/>
      <protection locked="0"/>
    </xf>
    <xf numFmtId="0" fontId="0" fillId="19" borderId="136" xfId="0" applyFill="1" applyBorder="1" applyAlignment="1">
      <alignment horizontal="center" vertical="center" textRotation="90" wrapText="1"/>
    </xf>
    <xf numFmtId="49" fontId="67" fillId="0" borderId="98" xfId="0" applyNumberFormat="1" applyFont="1" applyBorder="1" applyAlignment="1">
      <alignment horizontal="left" vertical="center" wrapText="1"/>
    </xf>
    <xf numFmtId="0" fontId="67" fillId="0" borderId="99" xfId="0" applyFont="1" applyBorder="1" applyAlignment="1">
      <alignment horizontal="left" vertical="center" wrapText="1"/>
    </xf>
    <xf numFmtId="0" fontId="67" fillId="0" borderId="103" xfId="0" applyFont="1" applyBorder="1" applyAlignment="1">
      <alignment horizontal="left" vertical="center" wrapText="1"/>
    </xf>
    <xf numFmtId="0" fontId="67" fillId="0" borderId="118" xfId="0" applyFont="1" applyBorder="1" applyAlignment="1">
      <alignment horizontal="left" vertical="center" wrapText="1"/>
    </xf>
    <xf numFmtId="0" fontId="67" fillId="0" borderId="119" xfId="0" applyFont="1" applyBorder="1" applyAlignment="1">
      <alignment horizontal="left" vertical="center" wrapText="1"/>
    </xf>
    <xf numFmtId="0" fontId="67" fillId="0" borderId="120" xfId="0" applyFont="1" applyBorder="1" applyAlignment="1">
      <alignment horizontal="left" vertical="center" wrapText="1"/>
    </xf>
    <xf numFmtId="0" fontId="67" fillId="0" borderId="129" xfId="0" applyFont="1" applyBorder="1" applyAlignment="1">
      <alignment horizontal="left" vertical="center" wrapText="1"/>
    </xf>
    <xf numFmtId="0" fontId="67" fillId="0" borderId="130" xfId="0" applyFont="1" applyBorder="1" applyAlignment="1">
      <alignment horizontal="left" vertical="center" wrapText="1"/>
    </xf>
    <xf numFmtId="0" fontId="67" fillId="0" borderId="131" xfId="0" applyFont="1" applyBorder="1" applyAlignment="1">
      <alignment horizontal="left" vertical="center" wrapText="1"/>
    </xf>
    <xf numFmtId="0" fontId="67" fillId="0" borderId="132" xfId="0" applyFont="1" applyBorder="1" applyAlignment="1">
      <alignment horizontal="left" vertical="center" wrapText="1"/>
    </xf>
    <xf numFmtId="0" fontId="67" fillId="0" borderId="43" xfId="0" applyFont="1" applyBorder="1" applyAlignment="1">
      <alignment horizontal="left" vertical="center" wrapText="1"/>
    </xf>
    <xf numFmtId="0" fontId="67" fillId="0" borderId="133" xfId="0" applyFont="1" applyBorder="1" applyAlignment="1">
      <alignment horizontal="left" vertical="center" wrapText="1"/>
    </xf>
    <xf numFmtId="43" fontId="105" fillId="32" borderId="0" xfId="39" applyFont="1" applyFill="1" applyAlignment="1">
      <alignment horizontal="center" vertical="center"/>
    </xf>
    <xf numFmtId="43" fontId="24" fillId="24" borderId="40" xfId="58" applyFont="1" applyFill="1" applyBorder="1" applyAlignment="1" applyProtection="1">
      <alignment horizontal="center"/>
    </xf>
    <xf numFmtId="43" fontId="33" fillId="24" borderId="0" xfId="50" applyFont="1" applyFill="1" applyAlignment="1">
      <alignment horizontal="center" vertical="center" wrapText="1"/>
    </xf>
    <xf numFmtId="173" fontId="24" fillId="24" borderId="40" xfId="58" applyNumberFormat="1" applyFont="1" applyFill="1" applyBorder="1" applyAlignment="1" applyProtection="1">
      <alignment horizontal="center" vertical="center"/>
    </xf>
    <xf numFmtId="43" fontId="1" fillId="0" borderId="40" xfId="58" applyFont="1" applyBorder="1" applyAlignment="1" applyProtection="1">
      <alignment horizontal="right"/>
    </xf>
    <xf numFmtId="43" fontId="1" fillId="0" borderId="40" xfId="58" applyFont="1" applyFill="1" applyBorder="1" applyAlignment="1" applyProtection="1">
      <alignment horizontal="right"/>
    </xf>
    <xf numFmtId="43" fontId="20" fillId="0" borderId="0" xfId="50" applyFont="1" applyAlignment="1">
      <alignment horizontal="right" vertical="center"/>
    </xf>
    <xf numFmtId="43" fontId="24" fillId="24" borderId="0" xfId="50" applyFont="1" applyFill="1" applyAlignment="1">
      <alignment horizontal="center" vertical="center" wrapText="1"/>
    </xf>
    <xf numFmtId="43" fontId="115" fillId="31" borderId="40" xfId="58" applyFont="1" applyFill="1" applyBorder="1" applyAlignment="1" applyProtection="1">
      <alignment horizontal="center"/>
    </xf>
    <xf numFmtId="15" fontId="24" fillId="24" borderId="40" xfId="58" applyNumberFormat="1" applyFont="1" applyFill="1" applyBorder="1" applyAlignment="1" applyProtection="1">
      <alignment horizontal="center"/>
    </xf>
    <xf numFmtId="0" fontId="0" fillId="0" borderId="40" xfId="0" applyBorder="1"/>
    <xf numFmtId="0" fontId="34" fillId="22" borderId="27" xfId="0" applyFont="1" applyFill="1" applyBorder="1" applyAlignment="1" applyProtection="1">
      <alignment horizontal="left" wrapText="1"/>
      <protection locked="0"/>
    </xf>
    <xf numFmtId="0" fontId="0" fillId="0" borderId="43" xfId="0" applyBorder="1" applyAlignment="1" applyProtection="1">
      <alignment horizontal="left" wrapText="1"/>
      <protection locked="0"/>
    </xf>
    <xf numFmtId="0" fontId="0" fillId="0" borderId="44" xfId="0" applyBorder="1" applyAlignment="1" applyProtection="1">
      <alignment horizontal="left" wrapText="1"/>
      <protection locked="0"/>
    </xf>
    <xf numFmtId="0" fontId="116" fillId="0" borderId="144" xfId="0" applyFont="1" applyBorder="1" applyAlignment="1">
      <alignment horizontal="left" wrapText="1"/>
    </xf>
    <xf numFmtId="0" fontId="116" fillId="0" borderId="145" xfId="0" applyFont="1" applyBorder="1" applyAlignment="1">
      <alignment horizontal="left" wrapText="1"/>
    </xf>
    <xf numFmtId="0" fontId="116" fillId="0" borderId="146" xfId="0" applyFont="1" applyBorder="1" applyAlignment="1">
      <alignment horizontal="left" wrapText="1"/>
    </xf>
    <xf numFmtId="0" fontId="116" fillId="0" borderId="147" xfId="0" applyFont="1" applyBorder="1" applyAlignment="1">
      <alignment horizontal="left" wrapText="1"/>
    </xf>
    <xf numFmtId="43" fontId="14" fillId="0" borderId="0" xfId="0" applyNumberFormat="1" applyFont="1" applyAlignment="1">
      <alignment horizontal="center" wrapText="1"/>
    </xf>
    <xf numFmtId="43" fontId="28" fillId="0" borderId="0" xfId="0" applyNumberFormat="1" applyFont="1" applyAlignment="1">
      <alignment horizontal="right"/>
    </xf>
    <xf numFmtId="15" fontId="28" fillId="0" borderId="0" xfId="0" applyNumberFormat="1" applyFont="1" applyAlignment="1">
      <alignment horizontal="right"/>
    </xf>
    <xf numFmtId="43" fontId="14" fillId="0" borderId="0" xfId="0" applyNumberFormat="1" applyFont="1" applyAlignment="1">
      <alignment horizontal="center"/>
    </xf>
    <xf numFmtId="43" fontId="28" fillId="0" borderId="0" xfId="0" applyNumberFormat="1" applyFont="1" applyAlignment="1">
      <alignment horizontal="left"/>
    </xf>
    <xf numFmtId="43" fontId="15" fillId="31" borderId="0" xfId="58" applyFont="1" applyFill="1" applyBorder="1" applyAlignment="1" applyProtection="1">
      <alignment horizontal="center"/>
    </xf>
    <xf numFmtId="0" fontId="109" fillId="0" borderId="0" xfId="0" applyFont="1" applyAlignment="1">
      <alignment horizontal="center"/>
    </xf>
    <xf numFmtId="43" fontId="108" fillId="0" borderId="115" xfId="0" applyNumberFormat="1" applyFont="1" applyBorder="1" applyAlignment="1">
      <alignment horizontal="center" vertical="center" wrapText="1"/>
    </xf>
    <xf numFmtId="43" fontId="108" fillId="0" borderId="116" xfId="0" applyNumberFormat="1" applyFont="1" applyBorder="1" applyAlignment="1">
      <alignment horizontal="center" vertical="center" wrapText="1"/>
    </xf>
    <xf numFmtId="43" fontId="108" fillId="0" borderId="117" xfId="0" applyNumberFormat="1" applyFont="1" applyBorder="1" applyAlignment="1">
      <alignment horizontal="center" vertical="center" wrapText="1"/>
    </xf>
    <xf numFmtId="0" fontId="0" fillId="0" borderId="148" xfId="0" applyBorder="1" applyAlignment="1">
      <alignment horizontal="center"/>
    </xf>
    <xf numFmtId="0" fontId="0" fillId="0" borderId="62" xfId="0" applyBorder="1" applyAlignment="1">
      <alignment horizontal="center"/>
    </xf>
    <xf numFmtId="0" fontId="30" fillId="22" borderId="27"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43" fontId="61" fillId="32" borderId="0" xfId="48" applyFont="1" applyFill="1" applyAlignment="1">
      <alignment horizontal="center" vertical="center"/>
    </xf>
    <xf numFmtId="0" fontId="85" fillId="0" borderId="0" xfId="0" applyFont="1" applyAlignment="1">
      <alignment horizontal="left" wrapText="1"/>
    </xf>
    <xf numFmtId="0" fontId="0" fillId="0" borderId="43" xfId="0" applyBorder="1" applyAlignment="1">
      <alignment horizontal="left" wrapText="1"/>
    </xf>
    <xf numFmtId="0" fontId="0" fillId="0" borderId="44" xfId="0" applyBorder="1" applyAlignment="1">
      <alignment horizontal="left" wrapText="1"/>
    </xf>
    <xf numFmtId="0" fontId="34" fillId="22" borderId="27" xfId="0" applyFont="1" applyFill="1" applyBorder="1" applyAlignment="1" applyProtection="1">
      <alignment horizontal="left" vertical="top" wrapText="1"/>
      <protection locked="0"/>
    </xf>
    <xf numFmtId="0" fontId="34" fillId="22" borderId="43"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14" fillId="0" borderId="0" xfId="0" applyFont="1" applyAlignment="1">
      <alignment horizontal="center"/>
    </xf>
    <xf numFmtId="0" fontId="28" fillId="0" borderId="10" xfId="0" applyFont="1" applyBorder="1" applyAlignment="1">
      <alignment vertical="center" wrapText="1"/>
    </xf>
    <xf numFmtId="9" fontId="28" fillId="0" borderId="27" xfId="56" applyFont="1" applyBorder="1" applyAlignment="1" applyProtection="1">
      <alignment horizontal="center" vertical="center" wrapText="1"/>
    </xf>
    <xf numFmtId="9" fontId="28" fillId="0" borderId="43" xfId="56" applyFont="1" applyBorder="1" applyAlignment="1" applyProtection="1">
      <alignment horizontal="center" vertical="center" wrapText="1"/>
    </xf>
    <xf numFmtId="9" fontId="28" fillId="0" borderId="44" xfId="56" applyFont="1" applyBorder="1" applyAlignment="1" applyProtection="1">
      <alignment horizontal="center" vertical="center" wrapText="1"/>
    </xf>
    <xf numFmtId="9" fontId="28" fillId="0" borderId="10" xfId="56" applyFont="1" applyBorder="1" applyAlignment="1" applyProtection="1">
      <alignment horizontal="center" vertical="center" wrapText="1"/>
    </xf>
    <xf numFmtId="49" fontId="28" fillId="0" borderId="10" xfId="0" applyNumberFormat="1" applyFont="1" applyBorder="1" applyAlignment="1">
      <alignment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3" xfId="0"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4" fillId="0" borderId="104" xfId="0" applyFont="1" applyBorder="1" applyAlignment="1">
      <alignment horizontal="left" vertical="center"/>
    </xf>
    <xf numFmtId="174" fontId="130" fillId="0" borderId="43" xfId="0" applyNumberFormat="1" applyFont="1" applyBorder="1" applyAlignment="1">
      <alignment horizontal="center" vertical="center" wrapText="1"/>
    </xf>
    <xf numFmtId="174" fontId="130" fillId="0" borderId="44" xfId="0" applyNumberFormat="1" applyFont="1" applyBorder="1" applyAlignment="1">
      <alignment horizontal="center" vertical="center" wrapText="1"/>
    </xf>
    <xf numFmtId="0" fontId="130" fillId="0" borderId="43" xfId="0" applyFont="1" applyBorder="1" applyAlignment="1">
      <alignment horizontal="center" vertical="center" wrapText="1"/>
    </xf>
    <xf numFmtId="0" fontId="130" fillId="0" borderId="44"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4"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4" xfId="56" applyFont="1" applyFill="1" applyBorder="1" applyAlignment="1" applyProtection="1">
      <alignment horizontal="center" vertical="center" wrapText="1"/>
    </xf>
    <xf numFmtId="0" fontId="33" fillId="0" borderId="99" xfId="0" applyFont="1" applyBorder="1" applyAlignment="1">
      <alignment horizontal="center"/>
    </xf>
    <xf numFmtId="0" fontId="34" fillId="0" borderId="10" xfId="0" applyFont="1" applyBorder="1" applyAlignment="1">
      <alignment horizontal="center" vertical="center" wrapText="1"/>
    </xf>
    <xf numFmtId="0" fontId="34" fillId="0" borderId="27"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20" borderId="149" xfId="0" applyFont="1" applyFill="1" applyBorder="1" applyAlignment="1" applyProtection="1">
      <alignment horizontal="left"/>
      <protection locked="0"/>
    </xf>
    <xf numFmtId="0" fontId="34" fillId="20" borderId="0" xfId="0" applyFont="1" applyFill="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3"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0" fontId="34" fillId="20" borderId="0" xfId="0" applyFont="1" applyFill="1" applyAlignment="1">
      <alignment horizontal="center" vertical="center" wrapText="1"/>
    </xf>
    <xf numFmtId="0" fontId="28" fillId="0" borderId="27" xfId="0" applyFont="1" applyBorder="1" applyAlignment="1">
      <alignment vertical="center" wrapText="1"/>
    </xf>
    <xf numFmtId="0" fontId="28" fillId="0" borderId="43" xfId="0" applyFont="1" applyBorder="1" applyAlignment="1">
      <alignment vertical="center" wrapText="1"/>
    </xf>
    <xf numFmtId="0" fontId="28" fillId="0" borderId="44" xfId="0" applyFont="1" applyBorder="1" applyAlignment="1">
      <alignment vertical="center" wrapText="1"/>
    </xf>
    <xf numFmtId="9" fontId="28" fillId="35" borderId="27" xfId="56" applyFont="1" applyFill="1" applyBorder="1" applyAlignment="1" applyProtection="1">
      <alignment horizontal="center" vertical="center" wrapText="1"/>
    </xf>
    <xf numFmtId="9" fontId="28" fillId="35" borderId="43" xfId="56" applyFont="1" applyFill="1" applyBorder="1" applyAlignment="1" applyProtection="1">
      <alignment horizontal="center" vertical="center" wrapText="1"/>
    </xf>
    <xf numFmtId="9" fontId="28" fillId="35" borderId="44" xfId="56" applyFont="1" applyFill="1" applyBorder="1" applyAlignment="1" applyProtection="1">
      <alignment horizontal="center" vertical="center" wrapText="1"/>
    </xf>
    <xf numFmtId="0" fontId="34" fillId="20" borderId="41" xfId="0" applyFont="1" applyFill="1" applyBorder="1" applyAlignment="1" applyProtection="1">
      <alignment horizontal="left"/>
      <protection locked="0"/>
    </xf>
    <xf numFmtId="49" fontId="28" fillId="0" borderId="27" xfId="0" applyNumberFormat="1" applyFont="1" applyBorder="1" applyAlignment="1">
      <alignment vertical="center" wrapText="1"/>
    </xf>
    <xf numFmtId="49" fontId="28" fillId="0" borderId="43" xfId="0" applyNumberFormat="1" applyFont="1" applyBorder="1" applyAlignment="1">
      <alignment vertical="center" wrapText="1"/>
    </xf>
    <xf numFmtId="49" fontId="28" fillId="0" borderId="44" xfId="0" applyNumberFormat="1" applyFont="1" applyBorder="1" applyAlignment="1">
      <alignment vertical="center" wrapText="1"/>
    </xf>
    <xf numFmtId="43" fontId="109" fillId="0" borderId="0" xfId="0" applyNumberFormat="1" applyFont="1" applyAlignment="1">
      <alignment horizontal="center"/>
    </xf>
    <xf numFmtId="43" fontId="15" fillId="31" borderId="0" xfId="59" applyFont="1" applyFill="1" applyBorder="1" applyAlignment="1" applyProtection="1">
      <alignment horizontal="center"/>
    </xf>
    <xf numFmtId="0" fontId="2" fillId="22" borderId="150" xfId="0" applyFont="1" applyFill="1" applyBorder="1" applyAlignment="1" applyProtection="1">
      <alignment horizontal="center" vertical="top" wrapText="1"/>
      <protection locked="0"/>
    </xf>
    <xf numFmtId="0" fontId="2" fillId="22" borderId="151" xfId="0" applyFont="1" applyFill="1" applyBorder="1" applyAlignment="1" applyProtection="1">
      <alignment horizontal="center" vertical="top" wrapText="1"/>
      <protection locked="0"/>
    </xf>
    <xf numFmtId="0" fontId="2" fillId="22" borderId="152" xfId="0" applyFont="1" applyFill="1" applyBorder="1" applyAlignment="1" applyProtection="1">
      <alignment horizontal="center" vertical="top" wrapText="1"/>
      <protection locked="0"/>
    </xf>
    <xf numFmtId="0" fontId="78" fillId="0" borderId="0" xfId="0" applyFont="1" applyAlignment="1">
      <alignment horizontal="center"/>
    </xf>
    <xf numFmtId="0" fontId="78" fillId="0" borderId="169" xfId="0" applyFont="1" applyBorder="1" applyAlignment="1">
      <alignment horizontal="center"/>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9" fontId="2" fillId="0" borderId="182" xfId="56" applyFont="1" applyFill="1" applyBorder="1" applyAlignment="1" applyProtection="1">
      <alignment horizontal="left" vertical="center" wrapText="1"/>
    </xf>
    <xf numFmtId="0" fontId="2" fillId="0" borderId="171" xfId="56" applyNumberFormat="1" applyFont="1" applyFill="1" applyBorder="1" applyAlignment="1" applyProtection="1">
      <alignment horizontal="left" vertical="center" wrapText="1"/>
    </xf>
    <xf numFmtId="0" fontId="2" fillId="0" borderId="183" xfId="56" applyNumberFormat="1" applyFont="1" applyFill="1" applyBorder="1" applyAlignment="1" applyProtection="1">
      <alignment horizontal="left" vertical="center" wrapText="1"/>
    </xf>
    <xf numFmtId="0" fontId="60" fillId="22" borderId="197" xfId="0" applyFont="1" applyFill="1" applyBorder="1" applyAlignment="1">
      <alignment horizontal="center" vertical="center"/>
    </xf>
    <xf numFmtId="0" fontId="60" fillId="22" borderId="198" xfId="0" applyFont="1" applyFill="1" applyBorder="1" applyAlignment="1">
      <alignment horizontal="center" vertical="center"/>
    </xf>
    <xf numFmtId="0" fontId="60" fillId="22" borderId="199" xfId="0" applyFont="1" applyFill="1" applyBorder="1" applyAlignment="1">
      <alignment horizontal="center" vertical="center"/>
    </xf>
    <xf numFmtId="0" fontId="80" fillId="0" borderId="200" xfId="0" applyFont="1" applyBorder="1" applyAlignment="1">
      <alignment horizontal="left" vertical="center" wrapText="1"/>
    </xf>
    <xf numFmtId="0" fontId="80" fillId="0" borderId="201" xfId="0" applyFont="1" applyBorder="1" applyAlignment="1">
      <alignment horizontal="left" vertical="center" wrapText="1"/>
    </xf>
    <xf numFmtId="0" fontId="80" fillId="0" borderId="202" xfId="0" applyFont="1" applyBorder="1" applyAlignment="1">
      <alignment horizontal="left" vertical="center" wrapText="1"/>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2" fillId="22" borderId="155" xfId="0" applyFont="1" applyFill="1" applyBorder="1" applyAlignment="1" applyProtection="1">
      <alignment horizontal="center" vertical="top" wrapText="1"/>
      <protection locked="0"/>
    </xf>
    <xf numFmtId="0" fontId="80" fillId="0" borderId="177" xfId="0" applyFont="1" applyBorder="1" applyAlignment="1">
      <alignment horizontal="left" vertical="top" wrapText="1"/>
    </xf>
    <xf numFmtId="0" fontId="80" fillId="0" borderId="178" xfId="0" applyFont="1" applyBorder="1" applyAlignment="1">
      <alignment horizontal="left" vertical="top" wrapText="1"/>
    </xf>
    <xf numFmtId="0" fontId="80" fillId="0" borderId="193" xfId="0" applyFont="1" applyBorder="1" applyAlignment="1">
      <alignment horizontal="left" vertical="top" wrapText="1"/>
    </xf>
    <xf numFmtId="0" fontId="80" fillId="0" borderId="194" xfId="0" applyFont="1" applyBorder="1" applyAlignment="1">
      <alignment horizontal="left" vertical="top" wrapText="1"/>
    </xf>
    <xf numFmtId="0" fontId="80" fillId="0" borderId="187" xfId="0" applyFont="1" applyBorder="1" applyAlignment="1">
      <alignment horizontal="left" vertical="top" wrapText="1"/>
    </xf>
    <xf numFmtId="0" fontId="2" fillId="0" borderId="182" xfId="56" applyNumberFormat="1" applyFont="1" applyFill="1" applyBorder="1" applyAlignment="1" applyProtection="1">
      <alignment horizontal="left" vertical="center" wrapText="1"/>
    </xf>
    <xf numFmtId="0" fontId="80" fillId="0" borderId="195" xfId="0" applyFont="1" applyBorder="1" applyAlignment="1">
      <alignment horizontal="left" vertical="top" wrapText="1"/>
    </xf>
    <xf numFmtId="0" fontId="80" fillId="0" borderId="196" xfId="0" applyFont="1" applyBorder="1" applyAlignment="1">
      <alignment horizontal="left" vertical="top" wrapText="1"/>
    </xf>
    <xf numFmtId="0" fontId="2" fillId="22" borderId="184" xfId="0" applyFont="1" applyFill="1" applyBorder="1" applyAlignment="1" applyProtection="1">
      <alignment horizontal="center" vertical="top" wrapText="1"/>
      <protection locked="0"/>
    </xf>
    <xf numFmtId="0" fontId="2" fillId="22" borderId="185" xfId="0" applyFont="1" applyFill="1" applyBorder="1" applyAlignment="1" applyProtection="1">
      <alignment horizontal="center" vertical="top" wrapText="1"/>
      <protection locked="0"/>
    </xf>
    <xf numFmtId="0" fontId="2" fillId="22" borderId="186" xfId="0" applyFont="1" applyFill="1" applyBorder="1" applyAlignment="1" applyProtection="1">
      <alignment horizontal="center" vertical="top" wrapText="1"/>
      <protection locked="0"/>
    </xf>
    <xf numFmtId="0" fontId="79" fillId="19" borderId="12" xfId="0" applyFont="1" applyFill="1" applyBorder="1" applyAlignment="1">
      <alignment horizontal="center" vertical="center"/>
    </xf>
    <xf numFmtId="49" fontId="2" fillId="25" borderId="170" xfId="0" applyNumberFormat="1" applyFont="1" applyFill="1" applyBorder="1" applyAlignment="1" applyProtection="1">
      <alignment horizontal="center" vertical="center"/>
      <protection locked="0"/>
    </xf>
    <xf numFmtId="49" fontId="2" fillId="25" borderId="171" xfId="0" applyNumberFormat="1" applyFont="1" applyFill="1" applyBorder="1" applyAlignment="1" applyProtection="1">
      <alignment horizontal="center" vertical="center"/>
      <protection locked="0"/>
    </xf>
    <xf numFmtId="49" fontId="2" fillId="25" borderId="172"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0" fontId="123" fillId="24" borderId="188" xfId="0" applyFont="1" applyFill="1" applyBorder="1" applyAlignment="1">
      <alignment horizontal="center" vertical="center"/>
    </xf>
    <xf numFmtId="0" fontId="123" fillId="24" borderId="189" xfId="0" applyFont="1" applyFill="1" applyBorder="1" applyAlignment="1">
      <alignment horizontal="center" vertical="center"/>
    </xf>
    <xf numFmtId="0" fontId="0" fillId="0" borderId="189" xfId="0" applyBorder="1" applyAlignment="1">
      <alignment horizontal="center" vertical="center"/>
    </xf>
    <xf numFmtId="0" fontId="123" fillId="24" borderId="190" xfId="0" applyFont="1" applyFill="1" applyBorder="1" applyAlignment="1">
      <alignment horizontal="center" vertical="center"/>
    </xf>
    <xf numFmtId="0" fontId="123" fillId="24" borderId="191" xfId="0" applyFont="1" applyFill="1" applyBorder="1" applyAlignment="1">
      <alignment horizontal="center" vertical="center"/>
    </xf>
    <xf numFmtId="0" fontId="123" fillId="24" borderId="192" xfId="0" applyFont="1" applyFill="1" applyBorder="1" applyAlignment="1">
      <alignment horizontal="center" vertical="center"/>
    </xf>
    <xf numFmtId="0" fontId="60" fillId="25" borderId="156" xfId="0" applyFont="1" applyFill="1" applyBorder="1" applyAlignment="1">
      <alignment horizontal="center" vertical="center"/>
    </xf>
    <xf numFmtId="0" fontId="60" fillId="25" borderId="157" xfId="0" applyFont="1" applyFill="1" applyBorder="1" applyAlignment="1">
      <alignment horizontal="center" vertical="center"/>
    </xf>
    <xf numFmtId="0" fontId="60" fillId="25" borderId="158" xfId="0" applyFont="1" applyFill="1" applyBorder="1" applyAlignment="1">
      <alignment horizontal="center" vertical="center"/>
    </xf>
    <xf numFmtId="0" fontId="2" fillId="24" borderId="159" xfId="0" applyFont="1" applyFill="1" applyBorder="1" applyAlignment="1" applyProtection="1">
      <alignment horizontal="center" vertical="top" wrapText="1"/>
      <protection locked="0"/>
    </xf>
    <xf numFmtId="0" fontId="2" fillId="24" borderId="160" xfId="0" applyFont="1" applyFill="1" applyBorder="1" applyAlignment="1" applyProtection="1">
      <alignment horizontal="center" vertical="top" wrapText="1"/>
      <protection locked="0"/>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2" fillId="24" borderId="164" xfId="0" applyFont="1" applyFill="1" applyBorder="1" applyAlignment="1" applyProtection="1">
      <alignment horizontal="center" vertical="top" wrapText="1"/>
      <protection locked="0"/>
    </xf>
    <xf numFmtId="0" fontId="78" fillId="0" borderId="168" xfId="0" applyFont="1" applyBorder="1" applyAlignment="1">
      <alignment horizontal="center"/>
    </xf>
    <xf numFmtId="49" fontId="2" fillId="25" borderId="173"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0" fontId="80" fillId="0" borderId="175" xfId="0" applyFont="1" applyBorder="1" applyAlignment="1">
      <alignment horizontal="left" vertical="top" wrapText="1"/>
    </xf>
    <xf numFmtId="0" fontId="80" fillId="0" borderId="176" xfId="0" applyFont="1" applyBorder="1" applyAlignment="1">
      <alignment horizontal="left" vertical="top" wrapText="1"/>
    </xf>
    <xf numFmtId="0" fontId="21" fillId="0" borderId="209" xfId="0" applyFont="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36" xfId="0" applyFont="1" applyBorder="1" applyAlignment="1" applyProtection="1">
      <alignment horizontal="left"/>
      <protection locked="0"/>
    </xf>
    <xf numFmtId="0" fontId="21" fillId="0" borderId="229" xfId="0" applyFont="1" applyBorder="1" applyAlignment="1" applyProtection="1">
      <alignment horizontal="left"/>
      <protection locked="0"/>
    </xf>
    <xf numFmtId="0" fontId="77" fillId="21" borderId="13" xfId="53" applyFont="1" applyFill="1" applyBorder="1" applyAlignment="1">
      <alignment horizontal="center" vertical="center" wrapText="1"/>
    </xf>
    <xf numFmtId="0" fontId="77" fillId="21" borderId="203" xfId="53" applyFont="1" applyFill="1" applyBorder="1" applyAlignment="1">
      <alignment horizontal="center" vertical="center" wrapText="1"/>
    </xf>
    <xf numFmtId="43" fontId="15" fillId="31" borderId="0" xfId="60" applyFont="1" applyFill="1" applyBorder="1" applyAlignment="1" applyProtection="1">
      <alignment horizontal="center"/>
      <protection locked="0"/>
    </xf>
    <xf numFmtId="0" fontId="21" fillId="0" borderId="208" xfId="0" applyFont="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171"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98" fillId="21" borderId="217" xfId="0" applyFont="1" applyFill="1" applyBorder="1" applyAlignment="1">
      <alignment horizontal="center" vertical="center" textRotation="90"/>
    </xf>
    <xf numFmtId="0" fontId="0" fillId="21" borderId="84" xfId="0" applyFill="1" applyBorder="1" applyAlignment="1">
      <alignment horizontal="center" vertical="center" textRotation="90"/>
    </xf>
    <xf numFmtId="0" fontId="0" fillId="21" borderId="102" xfId="0" applyFill="1" applyBorder="1" applyAlignment="1">
      <alignment horizontal="center" vertical="center" textRotation="90"/>
    </xf>
    <xf numFmtId="17" fontId="21" fillId="0" borderId="36" xfId="0" applyNumberFormat="1" applyFont="1" applyBorder="1" applyAlignment="1" applyProtection="1">
      <alignment horizontal="left"/>
      <protection locked="0"/>
    </xf>
    <xf numFmtId="0" fontId="21" fillId="0" borderId="171" xfId="0" applyFont="1" applyBorder="1" applyAlignment="1" applyProtection="1">
      <alignment horizontal="left" vertical="center" wrapText="1"/>
      <protection locked="0"/>
    </xf>
    <xf numFmtId="0" fontId="21" fillId="0" borderId="204" xfId="0" applyFont="1" applyBorder="1" applyAlignment="1" applyProtection="1">
      <alignment horizontal="left" vertical="center" wrapText="1"/>
      <protection locked="0"/>
    </xf>
    <xf numFmtId="0" fontId="21" fillId="0" borderId="207" xfId="0" applyFont="1" applyBorder="1" applyAlignment="1" applyProtection="1">
      <alignment horizontal="left"/>
      <protection locked="0"/>
    </xf>
    <xf numFmtId="0" fontId="77" fillId="21" borderId="218" xfId="53" applyFont="1" applyFill="1" applyBorder="1" applyAlignment="1">
      <alignment horizontal="center" vertical="center" wrapText="1"/>
    </xf>
    <xf numFmtId="0" fontId="77" fillId="21" borderId="219" xfId="53" applyFont="1" applyFill="1" applyBorder="1" applyAlignment="1">
      <alignment horizontal="center" vertical="center" wrapText="1"/>
    </xf>
    <xf numFmtId="0" fontId="77" fillId="21" borderId="220" xfId="53" applyFont="1" applyFill="1" applyBorder="1" applyAlignment="1">
      <alignment horizontal="center" vertical="center" wrapText="1"/>
    </xf>
    <xf numFmtId="0" fontId="21" fillId="0" borderId="208" xfId="0" applyFont="1" applyBorder="1" applyAlignment="1" applyProtection="1">
      <alignment horizontal="left" wrapText="1"/>
      <protection locked="0"/>
    </xf>
    <xf numFmtId="0" fontId="0" fillId="22" borderId="105" xfId="0" applyFill="1" applyBorder="1" applyAlignment="1" applyProtection="1">
      <alignment horizontal="center"/>
      <protection locked="0"/>
    </xf>
    <xf numFmtId="0" fontId="0" fillId="22" borderId="104"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63" xfId="0" applyFill="1" applyBorder="1" applyAlignment="1" applyProtection="1">
      <alignment horizontal="center"/>
      <protection locked="0"/>
    </xf>
    <xf numFmtId="0" fontId="0" fillId="22" borderId="99" xfId="0" applyFill="1" applyBorder="1" applyAlignment="1" applyProtection="1">
      <alignment horizontal="center"/>
      <protection locked="0"/>
    </xf>
    <xf numFmtId="0" fontId="0" fillId="22" borderId="101" xfId="0" applyFill="1" applyBorder="1" applyAlignment="1" applyProtection="1">
      <alignment horizontal="center"/>
      <protection locked="0"/>
    </xf>
    <xf numFmtId="0" fontId="21" fillId="0" borderId="211" xfId="0" applyFont="1" applyBorder="1" applyAlignment="1" applyProtection="1">
      <alignment horizontal="left" vertical="top" wrapText="1"/>
      <protection locked="0"/>
    </xf>
    <xf numFmtId="0" fontId="21" fillId="0" borderId="212" xfId="0" applyFont="1" applyBorder="1" applyAlignment="1" applyProtection="1">
      <alignment horizontal="left" vertical="top" wrapText="1"/>
      <protection locked="0"/>
    </xf>
    <xf numFmtId="0" fontId="21" fillId="0" borderId="213" xfId="0" applyFont="1" applyBorder="1" applyAlignment="1" applyProtection="1">
      <alignment horizontal="left" vertical="top" wrapText="1"/>
      <protection locked="0"/>
    </xf>
    <xf numFmtId="0" fontId="21" fillId="0" borderId="214" xfId="0" applyFont="1" applyBorder="1" applyAlignment="1" applyProtection="1">
      <alignment horizontal="left" vertical="top" wrapText="1"/>
      <protection locked="0"/>
    </xf>
    <xf numFmtId="0" fontId="21" fillId="0" borderId="180" xfId="0" applyFont="1" applyBorder="1" applyAlignment="1" applyProtection="1">
      <alignment horizontal="left" vertical="top" wrapText="1"/>
      <protection locked="0"/>
    </xf>
    <xf numFmtId="0" fontId="21" fillId="0" borderId="215" xfId="0" applyFont="1" applyBorder="1" applyAlignment="1" applyProtection="1">
      <alignment horizontal="left" vertical="top" wrapText="1"/>
      <protection locked="0"/>
    </xf>
    <xf numFmtId="0" fontId="77" fillId="21" borderId="216" xfId="53" applyFont="1" applyFill="1" applyBorder="1" applyAlignment="1">
      <alignment horizontal="center" vertical="center" wrapText="1"/>
    </xf>
    <xf numFmtId="0" fontId="33" fillId="0" borderId="0" xfId="0" applyFont="1" applyAlignment="1">
      <alignment horizontal="center"/>
    </xf>
    <xf numFmtId="0" fontId="21" fillId="0" borderId="221" xfId="0" applyFont="1" applyBorder="1" applyAlignment="1" applyProtection="1">
      <alignment horizontal="left"/>
      <protection locked="0"/>
    </xf>
    <xf numFmtId="0" fontId="21" fillId="0" borderId="223" xfId="0" applyFont="1" applyBorder="1" applyAlignment="1" applyProtection="1">
      <alignment horizontal="left" vertical="top" wrapText="1"/>
      <protection locked="0"/>
    </xf>
    <xf numFmtId="0" fontId="21" fillId="0" borderId="224" xfId="0" applyFont="1" applyBorder="1" applyAlignment="1" applyProtection="1">
      <alignment horizontal="left" vertical="top" wrapText="1"/>
      <protection locked="0"/>
    </xf>
    <xf numFmtId="0" fontId="21" fillId="0" borderId="225" xfId="0" applyFont="1" applyBorder="1" applyAlignment="1" applyProtection="1">
      <alignment horizontal="left" vertical="top" wrapText="1"/>
      <protection locked="0"/>
    </xf>
    <xf numFmtId="0" fontId="21" fillId="0" borderId="226" xfId="0" applyFont="1" applyBorder="1" applyAlignment="1" applyProtection="1">
      <alignment horizontal="left" vertical="top" wrapText="1"/>
      <protection locked="0"/>
    </xf>
    <xf numFmtId="0" fontId="21" fillId="0" borderId="228"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206" xfId="0" applyFont="1" applyBorder="1" applyAlignment="1" applyProtection="1">
      <alignment horizontal="left"/>
      <protection locked="0"/>
    </xf>
    <xf numFmtId="0" fontId="21" fillId="0" borderId="205" xfId="0" applyFont="1" applyBorder="1" applyAlignment="1" applyProtection="1">
      <alignment horizontal="left" vertical="center" wrapText="1"/>
      <protection locked="0"/>
    </xf>
    <xf numFmtId="0" fontId="21" fillId="0" borderId="206" xfId="0" applyFont="1" applyBorder="1" applyAlignment="1" applyProtection="1">
      <alignment horizontal="left" vertical="center" wrapText="1"/>
      <protection locked="0"/>
    </xf>
    <xf numFmtId="43" fontId="17" fillId="32" borderId="0" xfId="39" applyFont="1" applyFill="1" applyAlignment="1">
      <alignment horizontal="center" vertical="center"/>
    </xf>
    <xf numFmtId="1" fontId="0" fillId="20" borderId="246" xfId="0" applyNumberFormat="1" applyFill="1" applyBorder="1" applyAlignment="1">
      <alignment horizontal="center" vertical="center"/>
    </xf>
    <xf numFmtId="1" fontId="0" fillId="0" borderId="246" xfId="0" applyNumberFormat="1" applyBorder="1" applyAlignment="1">
      <alignment horizontal="center" vertical="center"/>
    </xf>
    <xf numFmtId="166" fontId="129" fillId="0" borderId="59" xfId="28" applyNumberFormat="1" applyFont="1" applyFill="1" applyBorder="1" applyProtection="1"/>
    <xf numFmtId="1" fontId="132" fillId="0" borderId="145" xfId="0" applyNumberFormat="1" applyFont="1" applyFill="1" applyBorder="1" applyAlignment="1">
      <alignment horizontal="center" vertical="center"/>
    </xf>
    <xf numFmtId="9" fontId="141" fillId="22" borderId="246" xfId="66" applyFont="1" applyFill="1" applyBorder="1" applyAlignment="1" applyProtection="1">
      <alignment horizontal="left" vertical="center" wrapText="1"/>
      <protection locked="0"/>
    </xf>
    <xf numFmtId="0" fontId="143" fillId="0" borderId="27" xfId="0" applyFont="1" applyBorder="1" applyAlignment="1" applyProtection="1">
      <alignment horizontal="justify" vertical="center" wrapText="1"/>
      <protection locked="0"/>
    </xf>
    <xf numFmtId="0" fontId="142" fillId="0" borderId="43" xfId="0" applyFont="1" applyBorder="1" applyAlignment="1" applyProtection="1">
      <alignment horizontal="justify" vertical="center" wrapText="1"/>
      <protection locked="0"/>
    </xf>
    <xf numFmtId="0" fontId="142" fillId="0" borderId="44" xfId="0" applyFont="1" applyBorder="1" applyAlignment="1" applyProtection="1">
      <alignment horizontal="justify" vertical="center" wrapText="1"/>
      <protection locked="0"/>
    </xf>
    <xf numFmtId="0" fontId="143" fillId="0" borderId="27" xfId="0" applyFont="1" applyBorder="1" applyAlignment="1" applyProtection="1">
      <alignment horizontal="left" vertical="center" wrapText="1"/>
      <protection locked="0"/>
    </xf>
    <xf numFmtId="0" fontId="143" fillId="0" borderId="43" xfId="0" applyFont="1" applyBorder="1" applyAlignment="1" applyProtection="1">
      <alignment horizontal="left" vertical="center" wrapText="1"/>
      <protection locked="0"/>
    </xf>
    <xf numFmtId="0" fontId="143" fillId="0" borderId="44" xfId="0" applyFont="1" applyBorder="1" applyAlignment="1" applyProtection="1">
      <alignment horizontal="left" vertical="center" wrapText="1"/>
      <protection locked="0"/>
    </xf>
    <xf numFmtId="0" fontId="143" fillId="0" borderId="27" xfId="0" applyFont="1" applyBorder="1" applyAlignment="1" applyProtection="1">
      <alignment vertical="center" wrapText="1"/>
      <protection locked="0"/>
    </xf>
    <xf numFmtId="0" fontId="143" fillId="0" borderId="43" xfId="0" applyFont="1" applyBorder="1" applyAlignment="1" applyProtection="1">
      <alignment vertical="center" wrapText="1"/>
      <protection locked="0"/>
    </xf>
    <xf numFmtId="0" fontId="143" fillId="0" borderId="44" xfId="0" applyFont="1" applyBorder="1" applyAlignment="1" applyProtection="1">
      <alignment vertical="center" wrapText="1"/>
      <protection locked="0"/>
    </xf>
  </cellXfs>
  <cellStyles count="7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Comma 3" xfId="65"/>
    <cellStyle name="Comma 4" xfId="64"/>
    <cellStyle name="Currency" xfId="69" builtinId="4"/>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10" xfId="67"/>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Percent 2" xfId="68"/>
    <cellStyle name="Percent 3" xfId="66"/>
    <cellStyle name="Title" xfId="57"/>
    <cellStyle name="Título 3 3" xfId="58"/>
    <cellStyle name="Título 3 3_Prototipo" xfId="59"/>
    <cellStyle name="Título 3 3_PrototipoRep1" xfId="60"/>
    <cellStyle name="Título 3 7" xfId="61"/>
    <cellStyle name="Warning Text" xfId="62"/>
  </cellStyles>
  <dxfs count="132">
    <dxf>
      <fill>
        <patternFill>
          <bgColor rgb="FFFF000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11"/>
        </patternFill>
      </fill>
    </dxf>
    <dxf>
      <font>
        <condense val="0"/>
        <extend val="0"/>
        <color indexed="9"/>
      </font>
      <fill>
        <patternFill>
          <bgColor indexed="63"/>
        </patternFill>
      </fill>
    </dxf>
    <dxf>
      <font>
        <condense val="0"/>
        <extend val="0"/>
        <color indexed="9"/>
      </font>
      <fill>
        <patternFill>
          <bgColor indexed="63"/>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ill>
        <patternFill>
          <bgColor indexed="42"/>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Entry'!$C$33:$P$33</c:f>
              <c:numCache>
                <c:formatCode>#,##0</c:formatCode>
                <c:ptCount val="14"/>
                <c:pt idx="0">
                  <c:v>1311877.7506327322</c:v>
                </c:pt>
                <c:pt idx="1">
                  <c:v>3307629.5248998655</c:v>
                </c:pt>
                <c:pt idx="2">
                  <c:v>4724666.5874601696</c:v>
                </c:pt>
                <c:pt idx="3">
                  <c:v>5846772.2842788845</c:v>
                </c:pt>
                <c:pt idx="4">
                  <c:v>7120800.4255423145</c:v>
                </c:pt>
                <c:pt idx="5">
                  <c:v>9132649.5841180738</c:v>
                </c:pt>
                <c:pt idx="6">
                  <c:v>10028696.72663838</c:v>
                </c:pt>
                <c:pt idx="7">
                  <c:v>11000764.014583569</c:v>
                </c:pt>
                <c:pt idx="8">
                  <c:v>12355442.17014087</c:v>
                </c:pt>
                <c:pt idx="9">
                  <c:v>14301902.925413707</c:v>
                </c:pt>
                <c:pt idx="10">
                  <c:v>15058985.757104531</c:v>
                </c:pt>
                <c:pt idx="11">
                  <c:v>15817486.734585581</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Entry'!$C$34:$P$34</c:f>
              <c:numCache>
                <c:formatCode>#,##0</c:formatCode>
                <c:ptCount val="14"/>
                <c:pt idx="0">
                  <c:v>1427622.3</c:v>
                </c:pt>
                <c:pt idx="1">
                  <c:v>1427622.3</c:v>
                </c:pt>
                <c:pt idx="2">
                  <c:v>1427622.3</c:v>
                </c:pt>
                <c:pt idx="3">
                  <c:v>1427622.3</c:v>
                </c:pt>
                <c:pt idx="4">
                  <c:v>1427622.3</c:v>
                </c:pt>
                <c:pt idx="5">
                  <c:v>1427622.3</c:v>
                </c:pt>
                <c:pt idx="6">
                  <c:v>1427622.3</c:v>
                </c:pt>
                <c:pt idx="7">
                  <c:v>1427622.3</c:v>
                </c:pt>
                <c:pt idx="8">
                  <c:v>1427622.3</c:v>
                </c:pt>
                <c:pt idx="9">
                  <c:v>1427622.3</c:v>
                </c:pt>
                <c:pt idx="10">
                  <c:v>1427622.3</c:v>
                </c:pt>
                <c:pt idx="11">
                  <c:v>1427622.3</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239314960"/>
        <c:axId val="239317680"/>
      </c:barChart>
      <c:catAx>
        <c:axId val="23931496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39317680"/>
        <c:crosses val="autoZero"/>
        <c:auto val="1"/>
        <c:lblAlgn val="ctr"/>
        <c:lblOffset val="100"/>
        <c:tickLblSkip val="1"/>
        <c:tickMarkSkip val="1"/>
        <c:noMultiLvlLbl val="0"/>
      </c:catAx>
      <c:valAx>
        <c:axId val="2393176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3931496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Entry'!$G$124</c:f>
              <c:strCache>
                <c:ptCount val="1"/>
                <c:pt idx="0">
                  <c:v>Target</c:v>
                </c:pt>
              </c:strCache>
            </c:strRef>
          </c:tx>
          <c:spPr>
            <a:solidFill>
              <a:srgbClr val="0066CC"/>
            </a:solidFill>
            <a:ln w="25400">
              <a:noFill/>
            </a:ln>
          </c:spPr>
          <c:invertIfNegative val="0"/>
          <c:val>
            <c:numRef>
              <c:f>'Data Entry'!$H$124:$S$124</c:f>
              <c:numCache>
                <c:formatCode>#,##0</c:formatCode>
                <c:ptCount val="12"/>
                <c:pt idx="0" formatCode="_(* #,##0_);_(* \(#,##0\);_(* &quot;-&quot;??_);_(@_)">
                  <c:v>5040</c:v>
                </c:pt>
                <c:pt idx="1">
                  <c:v>5460</c:v>
                </c:pt>
                <c:pt idx="2">
                  <c:v>5880</c:v>
                </c:pt>
                <c:pt idx="3">
                  <c:v>6720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Entry'!$G$125</c:f>
              <c:strCache>
                <c:ptCount val="1"/>
                <c:pt idx="0">
                  <c:v>Achieved </c:v>
                </c:pt>
              </c:strCache>
            </c:strRef>
          </c:tx>
          <c:spPr>
            <a:solidFill>
              <a:srgbClr val="00CCFF"/>
            </a:solidFill>
            <a:ln w="12700">
              <a:solidFill>
                <a:srgbClr val="000000"/>
              </a:solidFill>
              <a:prstDash val="solid"/>
            </a:ln>
          </c:spPr>
          <c:invertIfNegative val="0"/>
          <c:val>
            <c:numRef>
              <c:f>'Data Entry'!$H$125:$S$125</c:f>
              <c:numCache>
                <c:formatCode>_(* #,##0_);_(* \(#,##0\);_(* "-"??_);_(@_)</c:formatCode>
                <c:ptCount val="12"/>
                <c:pt idx="0">
                  <c:v>6133</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420055952"/>
        <c:axId val="420049968"/>
      </c:barChart>
      <c:catAx>
        <c:axId val="42005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20049968"/>
        <c:crosses val="autoZero"/>
        <c:auto val="1"/>
        <c:lblAlgn val="ctr"/>
        <c:lblOffset val="100"/>
        <c:tickLblSkip val="1"/>
        <c:tickMarkSkip val="1"/>
        <c:noMultiLvlLbl val="0"/>
      </c:catAx>
      <c:valAx>
        <c:axId val="4200499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20055952"/>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formatCode="_(* #,##0_);_(* \(#,##0\);_(* &quot;-&quot;??_);_(@_)">
                  <c:v>8793.75</c:v>
                </c:pt>
                <c:pt idx="1">
                  <c:v>17587.5</c:v>
                </c:pt>
                <c:pt idx="2">
                  <c:v>26381.25</c:v>
                </c:pt>
                <c:pt idx="3">
                  <c:v>35175</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10262</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420058128"/>
        <c:axId val="420056496"/>
      </c:barChart>
      <c:catAx>
        <c:axId val="420058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20056496"/>
        <c:crosses val="autoZero"/>
        <c:auto val="1"/>
        <c:lblAlgn val="ctr"/>
        <c:lblOffset val="100"/>
        <c:tickLblSkip val="1"/>
        <c:tickMarkSkip val="1"/>
        <c:noMultiLvlLbl val="0"/>
      </c:catAx>
      <c:valAx>
        <c:axId val="4200564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2005812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1311877.7506327322</c:v>
                </c:pt>
                <c:pt idx="1">
                  <c:v>3307629.5248998655</c:v>
                </c:pt>
                <c:pt idx="2">
                  <c:v>4724666.5874601696</c:v>
                </c:pt>
                <c:pt idx="3">
                  <c:v>5846772.2842788845</c:v>
                </c:pt>
                <c:pt idx="4">
                  <c:v>7120800.4255423145</c:v>
                </c:pt>
                <c:pt idx="5">
                  <c:v>9132649.5841180738</c:v>
                </c:pt>
                <c:pt idx="6">
                  <c:v>10028696.72663838</c:v>
                </c:pt>
                <c:pt idx="7">
                  <c:v>11000764.014583569</c:v>
                </c:pt>
                <c:pt idx="8">
                  <c:v>12355442.17014087</c:v>
                </c:pt>
                <c:pt idx="9">
                  <c:v>14301902.925413707</c:v>
                </c:pt>
                <c:pt idx="10">
                  <c:v>15058985.757104531</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1427622.3</c:v>
                </c:pt>
                <c:pt idx="1">
                  <c:v>1427622.3</c:v>
                </c:pt>
                <c:pt idx="2">
                  <c:v>1427622.3</c:v>
                </c:pt>
                <c:pt idx="3">
                  <c:v>1427622.3</c:v>
                </c:pt>
                <c:pt idx="4">
                  <c:v>1427622.3</c:v>
                </c:pt>
                <c:pt idx="5">
                  <c:v>1427622.3</c:v>
                </c:pt>
                <c:pt idx="6">
                  <c:v>1427622.3</c:v>
                </c:pt>
                <c:pt idx="7">
                  <c:v>1427622.3</c:v>
                </c:pt>
                <c:pt idx="8">
                  <c:v>1427622.3</c:v>
                </c:pt>
                <c:pt idx="9">
                  <c:v>1427622.3</c:v>
                </c:pt>
                <c:pt idx="10">
                  <c:v>1427622.3</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420050512"/>
        <c:axId val="420059760"/>
      </c:areaChart>
      <c:catAx>
        <c:axId val="420050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20059760"/>
        <c:crosses val="autoZero"/>
        <c:auto val="1"/>
        <c:lblAlgn val="ctr"/>
        <c:lblOffset val="100"/>
        <c:tickLblSkip val="8"/>
        <c:tickMarkSkip val="1"/>
        <c:noMultiLvlLbl val="0"/>
      </c:catAx>
      <c:valAx>
        <c:axId val="42005976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2005051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Entry'!$C$51:$C$54</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Entry'!$D$51:$D$54</c:f>
              <c:numCache>
                <c:formatCode>#,##0</c:formatCode>
                <c:ptCount val="4"/>
                <c:pt idx="0">
                  <c:v>1427622.3</c:v>
                </c:pt>
                <c:pt idx="1">
                  <c:v>1104719.8219746989</c:v>
                </c:pt>
                <c:pt idx="2">
                  <c:v>21288.53</c:v>
                </c:pt>
                <c:pt idx="3">
                  <c:v>20417.351724148171</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239319856"/>
        <c:axId val="239318768"/>
      </c:barChart>
      <c:catAx>
        <c:axId val="2393198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9318768"/>
        <c:crossesAt val="0"/>
        <c:auto val="1"/>
        <c:lblAlgn val="ctr"/>
        <c:lblOffset val="100"/>
        <c:noMultiLvlLbl val="0"/>
      </c:catAx>
      <c:valAx>
        <c:axId val="23931876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931985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Entry'!$B$39:$B$39</c:f>
              <c:strCache>
                <c:ptCount val="1"/>
                <c:pt idx="0">
                  <c:v>Treatment, care and support</c:v>
                </c:pt>
              </c:strCache>
            </c:strRef>
          </c:cat>
          <c:val>
            <c:numRef>
              <c:f>'Data Entry'!$C$39:$C$39</c:f>
              <c:numCache>
                <c:formatCode>_(* #,##0.00_);_(* \(#,##0.00\);_(* "-"??_);_(@_)</c:formatCode>
                <c:ptCount val="1"/>
                <c:pt idx="0">
                  <c:v>68449.018500000006</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Entry'!$B$39:$B$39</c:f>
              <c:strCache>
                <c:ptCount val="1"/>
                <c:pt idx="0">
                  <c:v>Treatment, care and support</c:v>
                </c:pt>
              </c:strCache>
            </c:strRef>
          </c:cat>
          <c:val>
            <c:numRef>
              <c:f>'Data Entry'!$D$39:$D$39</c:f>
              <c:numCache>
                <c:formatCode>_(* #,##0.00_);_(* \(#,##0.00\);_(* "-"??_);_(@_)</c:formatCode>
                <c:ptCount val="1"/>
                <c:pt idx="0">
                  <c:v>76050.974552393396</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238209536"/>
        <c:axId val="420049424"/>
      </c:barChart>
      <c:catAx>
        <c:axId val="23820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20049424"/>
        <c:crosses val="autoZero"/>
        <c:auto val="1"/>
        <c:lblAlgn val="ctr"/>
        <c:lblOffset val="100"/>
        <c:tickMarkSkip val="1"/>
        <c:noMultiLvlLbl val="0"/>
      </c:catAx>
      <c:valAx>
        <c:axId val="4200494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3820953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Entry'!$C$77</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Entry'!$C$78</c:f>
              <c:numCache>
                <c:formatCode>General</c:formatCode>
                <c:ptCount val="1"/>
                <c:pt idx="0">
                  <c:v>17</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420057584"/>
        <c:axId val="420059216"/>
      </c:barChart>
      <c:barChart>
        <c:barDir val="bar"/>
        <c:grouping val="percentStacked"/>
        <c:varyColors val="0"/>
        <c:ser>
          <c:idx val="1"/>
          <c:order val="1"/>
          <c:tx>
            <c:strRef>
              <c:f>'Data Entry'!$D$77</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Entry'!$D$78</c:f>
              <c:numCache>
                <c:formatCode>General</c:formatCode>
                <c:ptCount val="1"/>
                <c:pt idx="0">
                  <c:v>17</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Entry'!$E$77</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420057040"/>
        <c:axId val="420063024"/>
      </c:barChart>
      <c:catAx>
        <c:axId val="420057584"/>
        <c:scaling>
          <c:orientation val="minMax"/>
        </c:scaling>
        <c:delete val="1"/>
        <c:axPos val="l"/>
        <c:majorTickMark val="out"/>
        <c:minorTickMark val="none"/>
        <c:tickLblPos val="nextTo"/>
        <c:crossAx val="420059216"/>
        <c:crosses val="autoZero"/>
        <c:auto val="1"/>
        <c:lblAlgn val="ctr"/>
        <c:lblOffset val="100"/>
        <c:noMultiLvlLbl val="0"/>
      </c:catAx>
      <c:valAx>
        <c:axId val="4200592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0057584"/>
        <c:crosses val="max"/>
        <c:crossBetween val="between"/>
      </c:valAx>
      <c:catAx>
        <c:axId val="420057040"/>
        <c:scaling>
          <c:orientation val="minMax"/>
        </c:scaling>
        <c:delete val="1"/>
        <c:axPos val="l"/>
        <c:majorTickMark val="out"/>
        <c:minorTickMark val="none"/>
        <c:tickLblPos val="nextTo"/>
        <c:crossAx val="420063024"/>
        <c:crosses val="autoZero"/>
        <c:auto val="0"/>
        <c:lblAlgn val="ctr"/>
        <c:lblOffset val="100"/>
        <c:noMultiLvlLbl val="0"/>
      </c:catAx>
      <c:valAx>
        <c:axId val="420063024"/>
        <c:scaling>
          <c:orientation val="minMax"/>
        </c:scaling>
        <c:delete val="0"/>
        <c:axPos val="b"/>
        <c:numFmt formatCode="0%" sourceLinked="1"/>
        <c:majorTickMark val="none"/>
        <c:minorTickMark val="none"/>
        <c:tickLblPos val="none"/>
        <c:spPr>
          <a:ln w="3175">
            <a:solidFill>
              <a:srgbClr val="000000"/>
            </a:solidFill>
            <a:prstDash val="solid"/>
          </a:ln>
        </c:spPr>
        <c:crossAx val="420057040"/>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Entry'!$C$82</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Entry'!$C$83</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Entry'!$D$82</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Entry'!$D$83</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Entry'!$E$82</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Entry'!$E$83</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Entry'!$F$82</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Entry'!$F$83</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Entry'!$G$82</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Entry'!$G$83</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420051600"/>
        <c:axId val="420048336"/>
      </c:barChart>
      <c:catAx>
        <c:axId val="420051600"/>
        <c:scaling>
          <c:orientation val="minMax"/>
        </c:scaling>
        <c:delete val="0"/>
        <c:axPos val="b"/>
        <c:majorTickMark val="none"/>
        <c:minorTickMark val="none"/>
        <c:tickLblPos val="none"/>
        <c:spPr>
          <a:ln w="3175">
            <a:solidFill>
              <a:srgbClr val="000000"/>
            </a:solidFill>
            <a:prstDash val="solid"/>
          </a:ln>
        </c:spPr>
        <c:crossAx val="420048336"/>
        <c:crosses val="autoZero"/>
        <c:auto val="0"/>
        <c:lblAlgn val="ctr"/>
        <c:lblOffset val="100"/>
        <c:tickMarkSkip val="1"/>
        <c:noMultiLvlLbl val="0"/>
      </c:catAx>
      <c:valAx>
        <c:axId val="420048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005160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Entry'!$D$70</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Entry'!$B$71:$B$72</c:f>
            </c:multiLvlStrRef>
          </c:cat>
          <c:val>
            <c:numRef>
              <c:f>'Data Entry'!$D$71:$D$72</c:f>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Entry'!$E$70</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Entry'!$B$71:$B$72</c:f>
            </c:multiLvlStrRef>
          </c:cat>
          <c:val>
            <c:numRef>
              <c:f>'Data Entry'!$E$71:$E$72</c:f>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Entry'!$F$70</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Entry'!$B$71:$B$72</c:f>
            </c:multiLvlStrRef>
          </c:cat>
          <c:val>
            <c:numRef>
              <c:f>'Data Entry'!$F$71:$F$72</c:f>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420051056"/>
        <c:axId val="420052144"/>
      </c:barChart>
      <c:catAx>
        <c:axId val="4200510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0052144"/>
        <c:crosses val="autoZero"/>
        <c:auto val="1"/>
        <c:lblAlgn val="ctr"/>
        <c:lblOffset val="100"/>
        <c:tickLblSkip val="1"/>
        <c:tickMarkSkip val="1"/>
        <c:noMultiLvlLbl val="0"/>
      </c:catAx>
      <c:valAx>
        <c:axId val="42005214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0051056"/>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Entry'!$D$87</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Entry'!$B$88:$B$89</c:f>
              <c:strCache>
                <c:ptCount val="2"/>
                <c:pt idx="0">
                  <c:v>SSR to SR</c:v>
                </c:pt>
                <c:pt idx="1">
                  <c:v>SRs to PR</c:v>
                </c:pt>
              </c:strCache>
            </c:strRef>
          </c:cat>
          <c:val>
            <c:numRef>
              <c:f>'Data Entry'!$D$88:$D$89</c:f>
              <c:numCache>
                <c:formatCode>0</c:formatCode>
                <c:ptCount val="2"/>
                <c:pt idx="0">
                  <c:v>11</c:v>
                </c:pt>
                <c:pt idx="1">
                  <c:v>27</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Entry'!$E$87</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Entry'!$B$88:$B$89</c:f>
              <c:strCache>
                <c:ptCount val="2"/>
                <c:pt idx="0">
                  <c:v>SSR to SR</c:v>
                </c:pt>
                <c:pt idx="1">
                  <c:v>SRs to PR</c:v>
                </c:pt>
              </c:strCache>
            </c:strRef>
          </c:cat>
          <c:val>
            <c:numRef>
              <c:f>'Data Entry'!$E$88:$E$89</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420052688"/>
        <c:axId val="420053232"/>
      </c:barChart>
      <c:catAx>
        <c:axId val="420052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0053232"/>
        <c:crosses val="autoZero"/>
        <c:auto val="1"/>
        <c:lblAlgn val="ctr"/>
        <c:lblOffset val="100"/>
        <c:noMultiLvlLbl val="0"/>
      </c:catAx>
      <c:valAx>
        <c:axId val="42005323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005268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Entry'!$B$97</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Entry'!$C$97:$P$97</c:f>
              <c:numCache>
                <c:formatCode>#,##0</c:formatCode>
                <c:ptCount val="14"/>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Entry'!$B$98</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Entry'!$C$98:$P$98</c:f>
              <c:numCache>
                <c:formatCode>#,##0</c:formatCode>
                <c:ptCount val="14"/>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Entry'!$B$99</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Entry'!$C$99:$P$99</c:f>
              <c:numCache>
                <c:formatCode>#,##0</c:formatCode>
                <c:ptCount val="14"/>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420063568"/>
        <c:axId val="420048880"/>
      </c:lineChart>
      <c:catAx>
        <c:axId val="420063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20048880"/>
        <c:crosses val="autoZero"/>
        <c:auto val="1"/>
        <c:lblAlgn val="ctr"/>
        <c:lblOffset val="100"/>
        <c:tickLblSkip val="1"/>
        <c:tickMarkSkip val="1"/>
        <c:noMultiLvlLbl val="0"/>
      </c:catAx>
      <c:valAx>
        <c:axId val="4200488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20063568"/>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cat>
            <c:strRef>
              <c:f>'Data Entry'!$H$118:$S$118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#,##0</c:formatCode>
                <c:ptCount val="12"/>
                <c:pt idx="0" formatCode="_(* #,##0_);_(* \(#,##0\);_(* &quot;-&quot;??_);_(@_)">
                  <c:v>2312.5</c:v>
                </c:pt>
                <c:pt idx="1">
                  <c:v>4625</c:v>
                </c:pt>
                <c:pt idx="2">
                  <c:v>6937.5</c:v>
                </c:pt>
                <c:pt idx="3" formatCode="_(* #,##0_);_(* \(#,##0\);_(* &quot;-&quot;??_);_(@_)">
                  <c:v>9250</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cat>
            <c:strRef>
              <c:f>'Data Entry'!$H$118:$S$118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_(* #,##0_);_(* \(#,##0\);_(* "-"??_);_(@_)</c:formatCode>
                <c:ptCount val="12"/>
                <c:pt idx="0">
                  <c:v>2575</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420055408"/>
        <c:axId val="420053776"/>
      </c:barChart>
      <c:catAx>
        <c:axId val="420055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20053776"/>
        <c:crosses val="autoZero"/>
        <c:auto val="1"/>
        <c:lblAlgn val="ctr"/>
        <c:lblOffset val="100"/>
        <c:tickLblSkip val="1"/>
        <c:tickMarkSkip val="1"/>
        <c:noMultiLvlLbl val="0"/>
      </c:catAx>
      <c:valAx>
        <c:axId val="4200537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20055408"/>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15</xdr:col>
      <xdr:colOff>497898</xdr:colOff>
      <xdr:row>34</xdr:row>
      <xdr:rowOff>49071</xdr:rowOff>
    </xdr:from>
    <xdr:to>
      <xdr:col>15</xdr:col>
      <xdr:colOff>497898</xdr:colOff>
      <xdr:row>40</xdr:row>
      <xdr:rowOff>303071</xdr:rowOff>
    </xdr:to>
    <xdr:cxnSp macro="">
      <xdr:nvCxnSpPr>
        <xdr:cNvPr id="4254007" name="AutoShape 100">
          <a:extLst>
            <a:ext uri="{FF2B5EF4-FFF2-40B4-BE49-F238E27FC236}">
              <a16:creationId xmlns="" xmlns:a16="http://schemas.microsoft.com/office/drawing/2014/main" id="{00000000-0008-0000-0200-000037E94000}"/>
            </a:ext>
          </a:extLst>
        </xdr:cNvPr>
        <xdr:cNvCxnSpPr>
          <a:cxnSpLocks noChangeShapeType="1"/>
        </xdr:cNvCxnSpPr>
      </xdr:nvCxnSpPr>
      <xdr:spPr bwMode="auto">
        <a:xfrm rot="5400000">
          <a:off x="16645659" y="6951810"/>
          <a:ext cx="3310659"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101600</xdr:rowOff>
    </xdr:from>
    <xdr:to>
      <xdr:col>4</xdr:col>
      <xdr:colOff>1219200</xdr:colOff>
      <xdr:row>45</xdr:row>
      <xdr:rowOff>101600</xdr:rowOff>
    </xdr:to>
    <xdr:cxnSp macro="">
      <xdr:nvCxnSpPr>
        <xdr:cNvPr id="4254008" name="AutoShape 101">
          <a:extLst>
            <a:ext uri="{FF2B5EF4-FFF2-40B4-BE49-F238E27FC236}">
              <a16:creationId xmlns=""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 xmlns:a16="http://schemas.microsoft.com/office/drawing/2014/main" id="{00000000-0008-0000-0400-00000A945300}"/>
            </a:ext>
          </a:extLst>
        </xdr:cNvPr>
        <xdr:cNvGrpSpPr>
          <a:grpSpLocks/>
        </xdr:cNvGrpSpPr>
      </xdr:nvGrpSpPr>
      <xdr:grpSpPr bwMode="auto">
        <a:xfrm>
          <a:off x="4102100" y="2147455"/>
          <a:ext cx="3644900" cy="2143044"/>
          <a:chOff x="410" y="229"/>
          <a:chExt cx="366" cy="231"/>
        </a:xfrm>
      </xdr:grpSpPr>
      <xdr:graphicFrame macro="">
        <xdr:nvGraphicFramePr>
          <xdr:cNvPr id="5477390" name="Chart 31">
            <a:extLst>
              <a:ext uri="{FF2B5EF4-FFF2-40B4-BE49-F238E27FC236}">
                <a16:creationId xmlns=""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 xmlns:a16="http://schemas.microsoft.com/office/drawing/2014/main" id="{00000000-0008-0000-0400-00000B945300}"/>
            </a:ext>
          </a:extLst>
        </xdr:cNvPr>
        <xdr:cNvGrpSpPr>
          <a:grpSpLocks/>
        </xdr:cNvGrpSpPr>
      </xdr:nvGrpSpPr>
      <xdr:grpSpPr bwMode="auto">
        <a:xfrm>
          <a:off x="0" y="4699000"/>
          <a:ext cx="4064000" cy="2178313"/>
          <a:chOff x="0" y="505"/>
          <a:chExt cx="407" cy="245"/>
        </a:xfrm>
      </xdr:grpSpPr>
      <xdr:graphicFrame macro="">
        <xdr:nvGraphicFramePr>
          <xdr:cNvPr id="5477388" name="Chart 34">
            <a:extLst>
              <a:ext uri="{FF2B5EF4-FFF2-40B4-BE49-F238E27FC236}">
                <a16:creationId xmlns=""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36</xdr:row>
      <xdr:rowOff>254000</xdr:rowOff>
    </xdr:to>
    <xdr:graphicFrame macro="">
      <xdr:nvGraphicFramePr>
        <xdr:cNvPr id="3897098" name="Chart 1091">
          <a:extLst>
            <a:ext uri="{FF2B5EF4-FFF2-40B4-BE49-F238E27FC236}">
              <a16:creationId xmlns=""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 xmlns:a16="http://schemas.microsoft.com/office/drawing/2014/main"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 xmlns:a16="http://schemas.microsoft.com/office/drawing/2014/main"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 xmlns:a16="http://schemas.microsoft.com/office/drawing/2014/main"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 xmlns:a16="http://schemas.microsoft.com/office/drawing/2014/main"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amashvili/OneDrive/2023-2025%20grant/PF%202023-2025/GEO-C-NCDC_PF_for%20grant%20making_13June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view - Section A"/>
      <sheetName val="Version history"/>
      <sheetName val="Impact Indicators - Section B "/>
      <sheetName val="update Helper"/>
      <sheetName val="Setup"/>
      <sheetName val="Impact Indicator Target Update"/>
      <sheetName val="Reference Records"/>
      <sheetName val="Outcome Indicators - Section C "/>
      <sheetName val="Coverage Indicators - Section D"/>
      <sheetName val=" Disaggregation - Section E "/>
      <sheetName val="WPTM - Section F"/>
      <sheetName val="Print View"/>
      <sheetName val="Reference records(soft deleted)"/>
      <sheetName val="Disaggregation Records"/>
      <sheetName val="Disaggregation Data"/>
      <sheetName val="Account Role"/>
      <sheetName val="apttusmetadata"/>
    </sheetNames>
    <sheetDataSet>
      <sheetData sheetId="0"/>
      <sheetData sheetId="1"/>
      <sheetData sheetId="2"/>
      <sheetData sheetId="3"/>
      <sheetData sheetId="4"/>
      <sheetData sheetId="5"/>
      <sheetData sheetId="6"/>
      <sheetData sheetId="7">
        <row r="79">
          <cell r="A79" t="str">
            <v>[Module (Name)]</v>
          </cell>
        </row>
        <row r="80">
          <cell r="A80" t="str">
            <v>MCI-00648</v>
          </cell>
        </row>
        <row r="81">
          <cell r="A81" t="str">
            <v>MCI-00648</v>
          </cell>
        </row>
        <row r="82">
          <cell r="A82" t="str">
            <v>MCI-00648</v>
          </cell>
        </row>
        <row r="83">
          <cell r="A83" t="str">
            <v>MCI-00648</v>
          </cell>
        </row>
        <row r="84">
          <cell r="A84" t="str">
            <v>MCI-00648</v>
          </cell>
        </row>
        <row r="85">
          <cell r="A85" t="str">
            <v>MCI-00648</v>
          </cell>
        </row>
        <row r="86">
          <cell r="A86" t="str">
            <v>MCI-00648</v>
          </cell>
        </row>
        <row r="87">
          <cell r="A87" t="str">
            <v>MCI-00648</v>
          </cell>
        </row>
        <row r="88">
          <cell r="A88" t="str">
            <v>MCI-00648</v>
          </cell>
        </row>
        <row r="89">
          <cell r="A89" t="str">
            <v>MCI-00648</v>
          </cell>
        </row>
        <row r="90">
          <cell r="A90" t="str">
            <v>MCI-00648</v>
          </cell>
        </row>
        <row r="91">
          <cell r="A91" t="str">
            <v>MCI-00648</v>
          </cell>
        </row>
        <row r="92">
          <cell r="A92" t="str">
            <v>MCI-00648</v>
          </cell>
        </row>
        <row r="93">
          <cell r="A93" t="str">
            <v>MCI-00648</v>
          </cell>
        </row>
        <row r="94">
          <cell r="A94" t="str">
            <v>MCI-00648</v>
          </cell>
        </row>
        <row r="95">
          <cell r="A95" t="str">
            <v>MCI-00648</v>
          </cell>
        </row>
        <row r="96">
          <cell r="A96" t="str">
            <v>MCI-00649</v>
          </cell>
        </row>
        <row r="97">
          <cell r="A97" t="str">
            <v>MCI-00649</v>
          </cell>
        </row>
        <row r="98">
          <cell r="A98" t="str">
            <v>MCI-00649</v>
          </cell>
        </row>
        <row r="99">
          <cell r="A99" t="str">
            <v>MCI-00649</v>
          </cell>
        </row>
        <row r="100">
          <cell r="A100" t="str">
            <v>MCI-00650</v>
          </cell>
        </row>
        <row r="101">
          <cell r="A101" t="str">
            <v>MCI-00650</v>
          </cell>
        </row>
        <row r="102">
          <cell r="A102" t="str">
            <v>MCI-00650</v>
          </cell>
        </row>
        <row r="103">
          <cell r="A103" t="str">
            <v>MCI-00650</v>
          </cell>
        </row>
        <row r="104">
          <cell r="A104" t="str">
            <v>MCI-00650</v>
          </cell>
        </row>
        <row r="105">
          <cell r="A105" t="str">
            <v>MCI-00650</v>
          </cell>
        </row>
        <row r="106">
          <cell r="A106" t="str">
            <v>MCI-00650</v>
          </cell>
        </row>
        <row r="107">
          <cell r="A107" t="str">
            <v>MCI-00650</v>
          </cell>
        </row>
        <row r="108">
          <cell r="A108" t="str">
            <v>MCI-00650</v>
          </cell>
        </row>
        <row r="109">
          <cell r="A109" t="str">
            <v>MCI-00651</v>
          </cell>
        </row>
        <row r="110">
          <cell r="A110" t="str">
            <v>MCI-00651</v>
          </cell>
        </row>
        <row r="111">
          <cell r="A111" t="str">
            <v>MCI-00651</v>
          </cell>
        </row>
        <row r="112">
          <cell r="A112" t="str">
            <v>MCI-00653</v>
          </cell>
        </row>
        <row r="113">
          <cell r="A113" t="str">
            <v>MCI-00653</v>
          </cell>
        </row>
        <row r="114">
          <cell r="A114" t="str">
            <v>MCI-00653</v>
          </cell>
        </row>
        <row r="115">
          <cell r="A115" t="str">
            <v>MCI-00653</v>
          </cell>
        </row>
        <row r="116">
          <cell r="A116" t="str">
            <v>MCI-00653</v>
          </cell>
        </row>
        <row r="117">
          <cell r="A117" t="str">
            <v>MCI-00653</v>
          </cell>
        </row>
        <row r="118">
          <cell r="A118" t="str">
            <v>MCI-00653</v>
          </cell>
        </row>
        <row r="119">
          <cell r="A119" t="str">
            <v>MCI-00653</v>
          </cell>
        </row>
        <row r="120">
          <cell r="A120" t="str">
            <v>MCI-00653</v>
          </cell>
        </row>
        <row r="121">
          <cell r="A121" t="str">
            <v>MCI-00653</v>
          </cell>
        </row>
        <row r="122">
          <cell r="A122" t="str">
            <v>MCI-00654</v>
          </cell>
        </row>
        <row r="123">
          <cell r="A123" t="str">
            <v>MCI-00654</v>
          </cell>
        </row>
        <row r="124">
          <cell r="A124" t="str">
            <v>MCI-00654</v>
          </cell>
        </row>
        <row r="125">
          <cell r="A125" t="str">
            <v>MCI-00654</v>
          </cell>
        </row>
        <row r="126">
          <cell r="A126" t="str">
            <v>MCI-00654</v>
          </cell>
        </row>
        <row r="127">
          <cell r="A127" t="str">
            <v>MCI-00654</v>
          </cell>
        </row>
        <row r="128">
          <cell r="A128" t="str">
            <v>MCI-00654</v>
          </cell>
        </row>
        <row r="129">
          <cell r="A129" t="str">
            <v>MCI-00654</v>
          </cell>
        </row>
        <row r="130">
          <cell r="A130" t="str">
            <v>MCI-00656</v>
          </cell>
        </row>
        <row r="131">
          <cell r="A131" t="str">
            <v>MCI-00656</v>
          </cell>
        </row>
        <row r="132">
          <cell r="A132" t="str">
            <v>MCI-00656</v>
          </cell>
        </row>
        <row r="133">
          <cell r="A133" t="str">
            <v>MCI-00656</v>
          </cell>
        </row>
        <row r="134">
          <cell r="A134" t="str">
            <v>MCI-00661</v>
          </cell>
        </row>
        <row r="135">
          <cell r="A135" t="str">
            <v>MCI-00661</v>
          </cell>
        </row>
        <row r="136">
          <cell r="A136" t="str">
            <v>MCI-00661</v>
          </cell>
        </row>
        <row r="137">
          <cell r="A137" t="str">
            <v>MCI-00661</v>
          </cell>
        </row>
        <row r="138">
          <cell r="A138" t="str">
            <v>MCI-00661</v>
          </cell>
        </row>
        <row r="139">
          <cell r="A139" t="str">
            <v>MCI-00662</v>
          </cell>
        </row>
        <row r="140">
          <cell r="A140" t="str">
            <v>MCI-00662</v>
          </cell>
        </row>
        <row r="141">
          <cell r="A141" t="str">
            <v>MCI-00662</v>
          </cell>
        </row>
        <row r="142">
          <cell r="A142" t="str">
            <v>MCI-00662</v>
          </cell>
        </row>
        <row r="143">
          <cell r="A143" t="str">
            <v>MCI-00662</v>
          </cell>
        </row>
        <row r="144">
          <cell r="A144" t="str">
            <v>MCI-00663</v>
          </cell>
        </row>
        <row r="145">
          <cell r="A145" t="str">
            <v>MCI-00663</v>
          </cell>
        </row>
        <row r="146">
          <cell r="A146" t="str">
            <v>MCI-00663</v>
          </cell>
        </row>
        <row r="147">
          <cell r="A147" t="str">
            <v>MCI-00664</v>
          </cell>
        </row>
        <row r="148">
          <cell r="A148" t="str">
            <v>MCI-00664</v>
          </cell>
        </row>
        <row r="149">
          <cell r="A149" t="str">
            <v>MCI-00664</v>
          </cell>
        </row>
        <row r="150">
          <cell r="A150" t="str">
            <v>MCI-00664</v>
          </cell>
        </row>
        <row r="151">
          <cell r="A151" t="str">
            <v>MCI-00665</v>
          </cell>
        </row>
        <row r="152">
          <cell r="A152" t="str">
            <v>MCI-00666</v>
          </cell>
        </row>
        <row r="153">
          <cell r="A153" t="str">
            <v>MCI-00667</v>
          </cell>
        </row>
        <row r="154">
          <cell r="A154" t="str">
            <v>MCI-00667</v>
          </cell>
        </row>
        <row r="155">
          <cell r="A155" t="str">
            <v>MCI-00668</v>
          </cell>
        </row>
      </sheetData>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J4" sqref="J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78" t="str">
        <f>+'Grant Detail'!B3:J3</f>
        <v>Dashboard:  Georgia - HIVAIDS / TB</v>
      </c>
      <c r="C2" s="478"/>
      <c r="D2" s="478"/>
      <c r="E2" s="478"/>
      <c r="F2" s="478"/>
      <c r="G2" s="478"/>
      <c r="H2" s="478"/>
      <c r="I2" s="478"/>
      <c r="J2" s="478"/>
      <c r="K2" s="478"/>
      <c r="L2" s="478"/>
      <c r="M2" s="1"/>
      <c r="N2" s="1"/>
      <c r="O2" s="1"/>
    </row>
    <row r="4" spans="2:15" ht="21">
      <c r="B4" s="479" t="str">
        <f>+IF('Data Entry'!G6="Please Select", "",'Data Entry'!G6) &amp;"  "&amp;+IF('Data Entry'!G8="Please Select", "", 'Data Entry'!G8&amp;",  ")&amp;+IF('Data Entry'!I8="Please Select","",'Data Entry'!I8)</f>
        <v>HIVAIDS / TB  NFM,  Phase 3</v>
      </c>
      <c r="C4" s="479"/>
      <c r="D4" s="479"/>
      <c r="E4" s="480"/>
      <c r="F4" s="180"/>
      <c r="G4" s="180"/>
      <c r="H4" s="179" t="str">
        <f>+'Data Entry'!B6&amp;" "&amp;+'Data Entry'!C6</f>
        <v>Grant No.: GEO-C-NCDC</v>
      </c>
      <c r="I4" s="179"/>
      <c r="J4" s="179"/>
      <c r="K4" s="180"/>
      <c r="L4" s="180"/>
    </row>
    <row r="22" spans="2:12" ht="26.25">
      <c r="B22" s="481" t="s">
        <v>400</v>
      </c>
      <c r="C22" s="482"/>
      <c r="D22" s="482"/>
      <c r="E22" s="482"/>
      <c r="F22" s="482"/>
      <c r="G22" s="482"/>
      <c r="H22" s="482"/>
      <c r="I22" s="482"/>
      <c r="J22" s="482"/>
      <c r="K22" s="482"/>
      <c r="L22" s="482"/>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3" ht="25.5" customHeight="1"/>
    <row r="3" spans="2:13" ht="36">
      <c r="B3" s="895" t="str">
        <f>'Grant Detail'!B3:J3</f>
        <v>Dashboard:  Georgia - HIVAIDS / TB</v>
      </c>
      <c r="C3" s="895"/>
      <c r="D3" s="895"/>
      <c r="E3" s="895"/>
      <c r="F3" s="895"/>
      <c r="G3" s="895"/>
      <c r="H3" s="895"/>
      <c r="I3" s="1"/>
    </row>
    <row r="6" spans="2:13" ht="18.75">
      <c r="B6" s="884" t="s">
        <v>316</v>
      </c>
      <c r="C6" s="884"/>
      <c r="D6" s="884"/>
      <c r="E6" s="884"/>
      <c r="F6" s="884"/>
      <c r="G6" s="884"/>
      <c r="H6" s="884"/>
    </row>
    <row r="8" spans="2:13" ht="18.75">
      <c r="B8" s="48" t="s">
        <v>32</v>
      </c>
      <c r="C8" s="48" t="s">
        <v>35</v>
      </c>
      <c r="D8" s="48" t="s">
        <v>36</v>
      </c>
      <c r="E8" s="48" t="s">
        <v>41</v>
      </c>
      <c r="F8" s="48" t="s">
        <v>284</v>
      </c>
      <c r="G8" s="48" t="s">
        <v>264</v>
      </c>
      <c r="H8" s="48" t="s">
        <v>291</v>
      </c>
      <c r="I8" s="48" t="s">
        <v>87</v>
      </c>
      <c r="J8" s="48" t="s">
        <v>128</v>
      </c>
    </row>
    <row r="9" spans="2:13">
      <c r="B9" s="67" t="s">
        <v>369</v>
      </c>
      <c r="C9" s="67" t="s">
        <v>369</v>
      </c>
      <c r="D9" s="67" t="s">
        <v>369</v>
      </c>
      <c r="E9" s="67" t="s">
        <v>369</v>
      </c>
      <c r="F9" s="67" t="s">
        <v>369</v>
      </c>
      <c r="G9" s="67" t="s">
        <v>369</v>
      </c>
      <c r="H9" s="67" t="s">
        <v>369</v>
      </c>
      <c r="I9" s="325" t="s">
        <v>369</v>
      </c>
      <c r="J9" s="67" t="s">
        <v>369</v>
      </c>
    </row>
    <row r="10" spans="2:13">
      <c r="B10" s="43" t="s">
        <v>27</v>
      </c>
      <c r="C10" s="43" t="s">
        <v>18</v>
      </c>
      <c r="D10" s="43" t="s">
        <v>16</v>
      </c>
      <c r="E10" s="43" t="s">
        <v>17</v>
      </c>
      <c r="F10" s="43" t="s">
        <v>105</v>
      </c>
      <c r="G10" s="43" t="s">
        <v>43</v>
      </c>
      <c r="H10" s="46" t="s">
        <v>48</v>
      </c>
      <c r="I10" s="20" t="s">
        <v>297</v>
      </c>
      <c r="J10" s="67" t="s">
        <v>129</v>
      </c>
    </row>
    <row r="11" spans="2:13">
      <c r="B11" s="43" t="s">
        <v>33</v>
      </c>
      <c r="C11" s="43" t="s">
        <v>13</v>
      </c>
      <c r="D11" s="43" t="s">
        <v>19</v>
      </c>
      <c r="E11" s="43" t="s">
        <v>15</v>
      </c>
      <c r="F11" s="43" t="s">
        <v>106</v>
      </c>
      <c r="G11" s="43" t="s">
        <v>44</v>
      </c>
      <c r="H11" s="46" t="s">
        <v>49</v>
      </c>
      <c r="I11" s="20" t="s">
        <v>298</v>
      </c>
      <c r="J11" s="67" t="s">
        <v>130</v>
      </c>
    </row>
    <row r="12" spans="2:13">
      <c r="B12" s="43" t="s">
        <v>34</v>
      </c>
      <c r="D12" s="43" t="s">
        <v>22</v>
      </c>
      <c r="E12" s="43" t="s">
        <v>23</v>
      </c>
      <c r="F12" s="43" t="s">
        <v>107</v>
      </c>
      <c r="G12" s="43" t="s">
        <v>45</v>
      </c>
      <c r="H12" s="46" t="s">
        <v>50</v>
      </c>
      <c r="I12" s="20" t="s">
        <v>299</v>
      </c>
      <c r="J12" s="67" t="s">
        <v>131</v>
      </c>
      <c r="M12" s="158"/>
    </row>
    <row r="13" spans="2:13">
      <c r="B13" s="43" t="s">
        <v>83</v>
      </c>
      <c r="D13" s="43" t="s">
        <v>24</v>
      </c>
      <c r="E13" s="44"/>
      <c r="F13" s="43" t="s">
        <v>108</v>
      </c>
      <c r="G13" s="43" t="s">
        <v>46</v>
      </c>
      <c r="H13" s="46" t="s">
        <v>51</v>
      </c>
      <c r="I13" s="20" t="s">
        <v>300</v>
      </c>
      <c r="J13" s="67" t="s">
        <v>132</v>
      </c>
      <c r="M13" s="158"/>
    </row>
    <row r="14" spans="2:13">
      <c r="B14" s="43" t="s">
        <v>84</v>
      </c>
      <c r="D14" s="43" t="s">
        <v>37</v>
      </c>
      <c r="F14" s="43" t="s">
        <v>120</v>
      </c>
      <c r="G14" s="43" t="s">
        <v>47</v>
      </c>
      <c r="H14" s="46" t="s">
        <v>52</v>
      </c>
      <c r="I14" s="20" t="s">
        <v>269</v>
      </c>
      <c r="J14" s="67" t="s">
        <v>133</v>
      </c>
      <c r="M14" s="158"/>
    </row>
    <row r="15" spans="2:13">
      <c r="D15" s="43" t="s">
        <v>38</v>
      </c>
      <c r="F15" s="43" t="s">
        <v>121</v>
      </c>
      <c r="H15" s="46" t="s">
        <v>53</v>
      </c>
      <c r="I15" s="20" t="s">
        <v>70</v>
      </c>
      <c r="J15" s="67" t="s">
        <v>134</v>
      </c>
      <c r="M15" s="158"/>
    </row>
    <row r="16" spans="2:13">
      <c r="D16" s="43" t="s">
        <v>39</v>
      </c>
      <c r="F16" s="43" t="s">
        <v>122</v>
      </c>
      <c r="H16" s="46" t="s">
        <v>54</v>
      </c>
      <c r="I16" s="20" t="s">
        <v>71</v>
      </c>
      <c r="J16" s="67" t="s">
        <v>135</v>
      </c>
      <c r="M16" s="158"/>
    </row>
    <row r="17" spans="4:13">
      <c r="D17" s="43" t="s">
        <v>40</v>
      </c>
      <c r="F17" s="43" t="s">
        <v>123</v>
      </c>
      <c r="H17" s="46" t="s">
        <v>55</v>
      </c>
      <c r="I17" s="20" t="s">
        <v>72</v>
      </c>
      <c r="J17" s="67" t="s">
        <v>136</v>
      </c>
      <c r="M17" s="158"/>
    </row>
    <row r="18" spans="4:13">
      <c r="D18" s="43" t="s">
        <v>14</v>
      </c>
      <c r="F18" s="43" t="s">
        <v>124</v>
      </c>
      <c r="H18" s="46" t="s">
        <v>56</v>
      </c>
      <c r="I18" s="20" t="s">
        <v>73</v>
      </c>
      <c r="J18" s="67" t="s">
        <v>137</v>
      </c>
      <c r="M18" s="158"/>
    </row>
    <row r="19" spans="4:13">
      <c r="D19" s="329" t="s">
        <v>365</v>
      </c>
      <c r="F19" s="43" t="s">
        <v>125</v>
      </c>
      <c r="H19" s="46" t="s">
        <v>57</v>
      </c>
      <c r="I19" s="20" t="s">
        <v>74</v>
      </c>
      <c r="J19" s="67" t="s">
        <v>138</v>
      </c>
      <c r="M19" s="158"/>
    </row>
    <row r="20" spans="4:13">
      <c r="D20" s="45"/>
      <c r="F20" s="43" t="s">
        <v>126</v>
      </c>
      <c r="H20" s="46" t="s">
        <v>261</v>
      </c>
      <c r="I20" s="20" t="s">
        <v>75</v>
      </c>
      <c r="J20" s="67" t="s">
        <v>139</v>
      </c>
    </row>
    <row r="21" spans="4:13">
      <c r="D21" s="47"/>
      <c r="F21" s="43" t="s">
        <v>285</v>
      </c>
      <c r="H21" s="47"/>
      <c r="I21" s="20" t="s">
        <v>77</v>
      </c>
      <c r="J21" s="67" t="s">
        <v>140</v>
      </c>
    </row>
    <row r="22" spans="4:13">
      <c r="H22" s="47"/>
      <c r="I22" s="20" t="s">
        <v>78</v>
      </c>
      <c r="J22" s="67" t="s">
        <v>141</v>
      </c>
    </row>
    <row r="23" spans="4:13">
      <c r="I23" s="20" t="s">
        <v>76</v>
      </c>
      <c r="J23" s="67" t="s">
        <v>142</v>
      </c>
    </row>
    <row r="24" spans="4:13">
      <c r="I24" s="20" t="s">
        <v>307</v>
      </c>
      <c r="J24" s="67" t="s">
        <v>143</v>
      </c>
    </row>
    <row r="25" spans="4:13">
      <c r="I25" s="32"/>
      <c r="J25" s="67" t="s">
        <v>144</v>
      </c>
    </row>
    <row r="26" spans="4:13">
      <c r="I26" s="20" t="s">
        <v>311</v>
      </c>
      <c r="J26" s="67" t="s">
        <v>145</v>
      </c>
    </row>
    <row r="27" spans="4:13">
      <c r="I27" s="20" t="s">
        <v>306</v>
      </c>
      <c r="J27" s="67" t="s">
        <v>146</v>
      </c>
    </row>
    <row r="28" spans="4:13">
      <c r="I28" s="32"/>
      <c r="J28" s="67" t="s">
        <v>147</v>
      </c>
    </row>
    <row r="29" spans="4:13">
      <c r="I29" s="32"/>
      <c r="J29" s="67" t="s">
        <v>148</v>
      </c>
    </row>
    <row r="30" spans="4:13">
      <c r="I30" s="32"/>
      <c r="J30" s="67" t="s">
        <v>149</v>
      </c>
    </row>
    <row r="31" spans="4:13">
      <c r="J31" s="67" t="s">
        <v>150</v>
      </c>
    </row>
    <row r="32" spans="4:13">
      <c r="J32" s="67" t="s">
        <v>151</v>
      </c>
    </row>
    <row r="33" spans="10:10">
      <c r="J33" s="67" t="s">
        <v>152</v>
      </c>
    </row>
    <row r="34" spans="10:10">
      <c r="J34" s="67" t="s">
        <v>153</v>
      </c>
    </row>
    <row r="35" spans="10:10">
      <c r="J35" s="67" t="s">
        <v>154</v>
      </c>
    </row>
    <row r="36" spans="10:10">
      <c r="J36" s="67" t="s">
        <v>154</v>
      </c>
    </row>
    <row r="37" spans="10:10">
      <c r="J37" s="67" t="s">
        <v>155</v>
      </c>
    </row>
    <row r="38" spans="10:10">
      <c r="J38" s="67" t="s">
        <v>156</v>
      </c>
    </row>
    <row r="39" spans="10:10">
      <c r="J39" s="67" t="s">
        <v>157</v>
      </c>
    </row>
    <row r="40" spans="10:10">
      <c r="J40" s="67" t="s">
        <v>158</v>
      </c>
    </row>
    <row r="41" spans="10:10">
      <c r="J41" s="67" t="s">
        <v>159</v>
      </c>
    </row>
    <row r="42" spans="10:10">
      <c r="J42" s="67" t="s">
        <v>160</v>
      </c>
    </row>
    <row r="43" spans="10:10">
      <c r="J43" s="67" t="s">
        <v>161</v>
      </c>
    </row>
    <row r="44" spans="10:10">
      <c r="J44" s="67" t="s">
        <v>162</v>
      </c>
    </row>
    <row r="45" spans="10:10">
      <c r="J45" s="67" t="s">
        <v>163</v>
      </c>
    </row>
    <row r="46" spans="10:10">
      <c r="J46" s="67" t="s">
        <v>164</v>
      </c>
    </row>
    <row r="47" spans="10:10">
      <c r="J47" s="67" t="s">
        <v>165</v>
      </c>
    </row>
    <row r="48" spans="10:10">
      <c r="J48" s="67" t="s">
        <v>166</v>
      </c>
    </row>
    <row r="49" spans="10:10">
      <c r="J49" s="67" t="s">
        <v>167</v>
      </c>
    </row>
    <row r="50" spans="10:10">
      <c r="J50" s="67" t="s">
        <v>168</v>
      </c>
    </row>
    <row r="51" spans="10:10">
      <c r="J51" s="67" t="s">
        <v>169</v>
      </c>
    </row>
    <row r="52" spans="10:10">
      <c r="J52" s="67" t="s">
        <v>170</v>
      </c>
    </row>
    <row r="53" spans="10:10">
      <c r="J53" s="67" t="s">
        <v>171</v>
      </c>
    </row>
    <row r="54" spans="10:10">
      <c r="J54" s="67" t="s">
        <v>172</v>
      </c>
    </row>
    <row r="55" spans="10:10">
      <c r="J55" s="67" t="s">
        <v>173</v>
      </c>
    </row>
    <row r="56" spans="10:10">
      <c r="J56" s="67" t="s">
        <v>174</v>
      </c>
    </row>
    <row r="57" spans="10:10">
      <c r="J57" s="67" t="s">
        <v>175</v>
      </c>
    </row>
    <row r="58" spans="10:10">
      <c r="J58" s="67" t="s">
        <v>176</v>
      </c>
    </row>
    <row r="59" spans="10:10">
      <c r="J59" s="67" t="s">
        <v>177</v>
      </c>
    </row>
    <row r="60" spans="10:10">
      <c r="J60" s="67" t="s">
        <v>178</v>
      </c>
    </row>
    <row r="61" spans="10:10">
      <c r="J61" s="67" t="s">
        <v>179</v>
      </c>
    </row>
    <row r="62" spans="10:10">
      <c r="J62" s="67" t="s">
        <v>180</v>
      </c>
    </row>
    <row r="63" spans="10:10">
      <c r="J63" s="67" t="s">
        <v>181</v>
      </c>
    </row>
    <row r="64" spans="10:10">
      <c r="J64" s="67" t="s">
        <v>182</v>
      </c>
    </row>
    <row r="65" spans="10:10">
      <c r="J65" s="67" t="s">
        <v>183</v>
      </c>
    </row>
    <row r="66" spans="10:10">
      <c r="J66" s="67" t="s">
        <v>184</v>
      </c>
    </row>
    <row r="67" spans="10:10">
      <c r="J67" s="67" t="s">
        <v>185</v>
      </c>
    </row>
    <row r="68" spans="10:10">
      <c r="J68" s="67" t="s">
        <v>186</v>
      </c>
    </row>
    <row r="69" spans="10:10">
      <c r="J69" s="67" t="s">
        <v>187</v>
      </c>
    </row>
    <row r="70" spans="10:10">
      <c r="J70" s="67" t="s">
        <v>188</v>
      </c>
    </row>
    <row r="71" spans="10:10">
      <c r="J71" s="67" t="s">
        <v>189</v>
      </c>
    </row>
    <row r="72" spans="10:10">
      <c r="J72" s="67" t="s">
        <v>190</v>
      </c>
    </row>
    <row r="73" spans="10:10">
      <c r="J73" s="67" t="s">
        <v>191</v>
      </c>
    </row>
    <row r="74" spans="10:10">
      <c r="J74" s="67" t="s">
        <v>192</v>
      </c>
    </row>
    <row r="75" spans="10:10">
      <c r="J75" s="67" t="s">
        <v>193</v>
      </c>
    </row>
    <row r="76" spans="10:10">
      <c r="J76" s="67" t="s">
        <v>194</v>
      </c>
    </row>
    <row r="77" spans="10:10">
      <c r="J77" s="67" t="s">
        <v>195</v>
      </c>
    </row>
    <row r="78" spans="10:10">
      <c r="J78" s="67" t="s">
        <v>196</v>
      </c>
    </row>
    <row r="79" spans="10:10">
      <c r="J79" s="67" t="s">
        <v>197</v>
      </c>
    </row>
    <row r="80" spans="10:10">
      <c r="J80" s="67" t="s">
        <v>198</v>
      </c>
    </row>
    <row r="81" spans="10:10">
      <c r="J81" s="67" t="s">
        <v>199</v>
      </c>
    </row>
    <row r="82" spans="10:10">
      <c r="J82" s="67" t="s">
        <v>200</v>
      </c>
    </row>
    <row r="83" spans="10:10">
      <c r="J83" s="67" t="s">
        <v>201</v>
      </c>
    </row>
    <row r="84" spans="10:10">
      <c r="J84" s="67" t="s">
        <v>202</v>
      </c>
    </row>
    <row r="85" spans="10:10">
      <c r="J85" s="67" t="s">
        <v>203</v>
      </c>
    </row>
    <row r="86" spans="10:10">
      <c r="J86" s="67" t="s">
        <v>204</v>
      </c>
    </row>
    <row r="87" spans="10:10">
      <c r="J87" s="67" t="s">
        <v>205</v>
      </c>
    </row>
    <row r="88" spans="10:10">
      <c r="J88" s="67" t="s">
        <v>206</v>
      </c>
    </row>
    <row r="89" spans="10:10">
      <c r="J89" s="67" t="s">
        <v>207</v>
      </c>
    </row>
    <row r="90" spans="10:10">
      <c r="J90" s="67" t="s">
        <v>208</v>
      </c>
    </row>
    <row r="91" spans="10:10">
      <c r="J91" s="67" t="s">
        <v>209</v>
      </c>
    </row>
    <row r="92" spans="10:10">
      <c r="J92" s="67" t="s">
        <v>210</v>
      </c>
    </row>
    <row r="93" spans="10:10">
      <c r="J93" s="67" t="s">
        <v>211</v>
      </c>
    </row>
    <row r="94" spans="10:10">
      <c r="J94" s="67" t="s">
        <v>212</v>
      </c>
    </row>
    <row r="95" spans="10:10">
      <c r="J95" s="67" t="s">
        <v>213</v>
      </c>
    </row>
    <row r="96" spans="10:10">
      <c r="J96" s="67" t="s">
        <v>214</v>
      </c>
    </row>
    <row r="97" spans="10:10">
      <c r="J97" s="67" t="s">
        <v>215</v>
      </c>
    </row>
    <row r="98" spans="10:10">
      <c r="J98" s="67" t="s">
        <v>216</v>
      </c>
    </row>
    <row r="99" spans="10:10">
      <c r="J99" s="67" t="s">
        <v>217</v>
      </c>
    </row>
    <row r="100" spans="10:10">
      <c r="J100" s="67" t="s">
        <v>218</v>
      </c>
    </row>
    <row r="101" spans="10:10">
      <c r="J101" s="67" t="s">
        <v>219</v>
      </c>
    </row>
    <row r="102" spans="10:10">
      <c r="J102" s="67" t="s">
        <v>220</v>
      </c>
    </row>
    <row r="103" spans="10:10">
      <c r="J103" s="67" t="s">
        <v>221</v>
      </c>
    </row>
    <row r="104" spans="10:10">
      <c r="J104" s="67" t="s">
        <v>222</v>
      </c>
    </row>
    <row r="105" spans="10:10">
      <c r="J105" s="67" t="s">
        <v>223</v>
      </c>
    </row>
    <row r="106" spans="10:10">
      <c r="J106" s="67" t="s">
        <v>224</v>
      </c>
    </row>
    <row r="107" spans="10:10">
      <c r="J107" s="67" t="s">
        <v>225</v>
      </c>
    </row>
    <row r="108" spans="10:10">
      <c r="J108" s="67" t="s">
        <v>226</v>
      </c>
    </row>
    <row r="109" spans="10:10">
      <c r="J109" s="67" t="s">
        <v>227</v>
      </c>
    </row>
    <row r="110" spans="10:10">
      <c r="J110" s="67" t="s">
        <v>228</v>
      </c>
    </row>
    <row r="111" spans="10:10">
      <c r="J111" s="67" t="s">
        <v>80</v>
      </c>
    </row>
    <row r="112" spans="10:10">
      <c r="J112" s="67" t="s">
        <v>229</v>
      </c>
    </row>
    <row r="113" spans="10:10">
      <c r="J113" s="67" t="s">
        <v>230</v>
      </c>
    </row>
    <row r="114" spans="10:10">
      <c r="J114" s="67" t="s">
        <v>231</v>
      </c>
    </row>
    <row r="115" spans="10:10">
      <c r="J115" s="67" t="s">
        <v>232</v>
      </c>
    </row>
    <row r="116" spans="10:10">
      <c r="J116" s="67" t="s">
        <v>233</v>
      </c>
    </row>
    <row r="117" spans="10:10">
      <c r="J117" s="67" t="s">
        <v>234</v>
      </c>
    </row>
    <row r="118" spans="10:10">
      <c r="J118" s="67" t="s">
        <v>235</v>
      </c>
    </row>
    <row r="119" spans="10:10">
      <c r="J119" s="67" t="s">
        <v>236</v>
      </c>
    </row>
    <row r="120" spans="10:10">
      <c r="J120" s="67" t="s">
        <v>237</v>
      </c>
    </row>
    <row r="121" spans="10:10">
      <c r="J121" s="67" t="s">
        <v>238</v>
      </c>
    </row>
    <row r="122" spans="10:10">
      <c r="J122" s="67" t="s">
        <v>239</v>
      </c>
    </row>
    <row r="123" spans="10:10">
      <c r="J123" s="67" t="s">
        <v>240</v>
      </c>
    </row>
    <row r="124" spans="10:10">
      <c r="J124" s="67" t="s">
        <v>241</v>
      </c>
    </row>
    <row r="125" spans="10:10">
      <c r="J125" s="67" t="s">
        <v>242</v>
      </c>
    </row>
    <row r="126" spans="10:10">
      <c r="J126" s="67" t="s">
        <v>243</v>
      </c>
    </row>
    <row r="127" spans="10:10">
      <c r="J127" s="67" t="s">
        <v>244</v>
      </c>
    </row>
    <row r="128" spans="10:10">
      <c r="J128" s="67" t="s">
        <v>245</v>
      </c>
    </row>
    <row r="129" spans="10:10">
      <c r="J129" s="67" t="s">
        <v>246</v>
      </c>
    </row>
    <row r="130" spans="10:10">
      <c r="J130" s="67" t="s">
        <v>247</v>
      </c>
    </row>
    <row r="131" spans="10:10">
      <c r="J131" s="67" t="s">
        <v>248</v>
      </c>
    </row>
    <row r="132" spans="10:10">
      <c r="J132" s="67" t="s">
        <v>249</v>
      </c>
    </row>
    <row r="133" spans="10:10">
      <c r="J133" s="67" t="s">
        <v>250</v>
      </c>
    </row>
    <row r="134" spans="10:10">
      <c r="J134" s="67" t="s">
        <v>251</v>
      </c>
    </row>
    <row r="135" spans="10:10">
      <c r="J135" s="67" t="s">
        <v>252</v>
      </c>
    </row>
    <row r="136" spans="10:10">
      <c r="J136" s="67" t="s">
        <v>253</v>
      </c>
    </row>
    <row r="137" spans="10:10">
      <c r="J137" s="67" t="s">
        <v>254</v>
      </c>
    </row>
    <row r="138" spans="10:10">
      <c r="J138" s="67" t="s">
        <v>255</v>
      </c>
    </row>
    <row r="139" spans="10:10">
      <c r="J139" s="67" t="s">
        <v>256</v>
      </c>
    </row>
    <row r="140" spans="10:10">
      <c r="J140" s="67" t="s">
        <v>257</v>
      </c>
    </row>
    <row r="141" spans="10:10">
      <c r="J141" s="67" t="s">
        <v>258</v>
      </c>
    </row>
    <row r="142" spans="10:10">
      <c r="J142" s="67" t="s">
        <v>259</v>
      </c>
    </row>
    <row r="143" spans="10:10">
      <c r="J143" s="67" t="s">
        <v>260</v>
      </c>
    </row>
    <row r="144" spans="10:10">
      <c r="J144" s="32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36" activePane="bottomLeft" state="frozen"/>
      <selection activeCell="E22" sqref="E22"/>
      <selection pane="bottomLeft" activeCell="B33" sqref="B33:D3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customWidth="1"/>
    <col min="15" max="15" width="3"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5" ht="34.5" customHeight="1"/>
    <row r="2" spans="2:15" ht="36" customHeight="1">
      <c r="B2" s="564" t="str">
        <f>+"Dashboard: "&amp;" "&amp;+IF('Data Entry'!C4="Please Select","",'Data Entry'!C4&amp;" - ")&amp;+IF('Data Entry'!G6="Please Select","",'Data Entry'!G6)</f>
        <v>Dashboard:  Georgia - HIVAIDS / TB</v>
      </c>
      <c r="C2" s="564"/>
      <c r="D2" s="564"/>
      <c r="E2" s="564"/>
      <c r="F2" s="564"/>
      <c r="G2" s="564"/>
      <c r="H2" s="564"/>
      <c r="I2" s="564"/>
      <c r="J2" s="564"/>
      <c r="K2" s="564"/>
      <c r="L2" s="564"/>
      <c r="M2" s="564"/>
    </row>
    <row r="3" spans="2:15" ht="15.75" customHeight="1">
      <c r="B3" s="171"/>
      <c r="C3" s="171"/>
      <c r="D3" s="171"/>
      <c r="E3" s="171"/>
      <c r="F3" s="171"/>
      <c r="G3" s="171"/>
      <c r="H3" s="171"/>
      <c r="I3" s="171"/>
      <c r="J3" s="171"/>
      <c r="K3" s="172"/>
      <c r="L3" s="172"/>
    </row>
    <row r="5" spans="2:15" ht="23.25">
      <c r="B5" s="547" t="s">
        <v>281</v>
      </c>
      <c r="C5" s="547"/>
      <c r="D5" s="547"/>
      <c r="E5" s="547"/>
      <c r="F5" s="547"/>
      <c r="G5" s="547"/>
      <c r="H5" s="547"/>
      <c r="I5" s="547"/>
      <c r="J5" s="547"/>
      <c r="K5" s="547"/>
      <c r="L5" s="547"/>
      <c r="M5" s="547"/>
      <c r="N5" s="547"/>
      <c r="O5" s="547"/>
    </row>
    <row r="7" spans="2:15" ht="21">
      <c r="B7" s="565" t="s">
        <v>270</v>
      </c>
      <c r="C7" s="566"/>
      <c r="D7" s="567"/>
      <c r="E7" s="565" t="s">
        <v>271</v>
      </c>
      <c r="F7" s="566"/>
      <c r="G7" s="566"/>
      <c r="H7" s="566"/>
      <c r="I7" s="567"/>
      <c r="J7" s="565" t="s">
        <v>272</v>
      </c>
      <c r="K7" s="566"/>
      <c r="L7" s="567"/>
      <c r="M7" s="565" t="s">
        <v>344</v>
      </c>
      <c r="N7" s="566"/>
      <c r="O7" s="567"/>
    </row>
    <row r="8" spans="2:15" ht="92.25" customHeight="1">
      <c r="B8" s="498" t="str">
        <f>+'Data Entry'!B27</f>
        <v>F1: Budget and disbursements by Global Fund</v>
      </c>
      <c r="C8" s="576"/>
      <c r="D8" s="577"/>
      <c r="E8" s="568" t="s">
        <v>388</v>
      </c>
      <c r="F8" s="569"/>
      <c r="G8" s="569"/>
      <c r="H8" s="569"/>
      <c r="I8" s="570"/>
      <c r="J8" s="509" t="s">
        <v>345</v>
      </c>
      <c r="K8" s="510"/>
      <c r="L8" s="511"/>
      <c r="M8" s="509" t="s">
        <v>389</v>
      </c>
      <c r="N8" s="510"/>
      <c r="O8" s="511"/>
    </row>
    <row r="9" spans="2:15" ht="117.75" customHeight="1">
      <c r="B9" s="498" t="str">
        <f>+'Data Entry'!B36</f>
        <v>F2: Budget and actual expenditures by Grant Objective</v>
      </c>
      <c r="C9" s="576"/>
      <c r="D9" s="577"/>
      <c r="E9" s="524" t="s">
        <v>353</v>
      </c>
      <c r="F9" s="525"/>
      <c r="G9" s="525"/>
      <c r="H9" s="525"/>
      <c r="I9" s="526"/>
      <c r="J9" s="509" t="s">
        <v>347</v>
      </c>
      <c r="K9" s="510"/>
      <c r="L9" s="511"/>
      <c r="M9" s="509" t="s">
        <v>389</v>
      </c>
      <c r="N9" s="510"/>
      <c r="O9" s="511"/>
    </row>
    <row r="10" spans="2:15" ht="152.25" customHeight="1">
      <c r="B10" s="571" t="str">
        <f>+'Data Entry'!B48</f>
        <v>F3: Disbursements and expenditures</v>
      </c>
      <c r="C10" s="574"/>
      <c r="D10" s="575"/>
      <c r="E10" s="524" t="s">
        <v>390</v>
      </c>
      <c r="F10" s="525"/>
      <c r="G10" s="525"/>
      <c r="H10" s="525"/>
      <c r="I10" s="526"/>
      <c r="J10" s="509" t="s">
        <v>354</v>
      </c>
      <c r="K10" s="510"/>
      <c r="L10" s="511"/>
      <c r="M10" s="509" t="s">
        <v>346</v>
      </c>
      <c r="N10" s="510"/>
      <c r="O10" s="511"/>
    </row>
    <row r="11" spans="2:15" ht="279.75" customHeight="1">
      <c r="B11" s="571" t="str">
        <f>+'Data Entry'!B57</f>
        <v>F4: Latest PR reporting and disbursement cycle</v>
      </c>
      <c r="C11" s="572"/>
      <c r="D11" s="573"/>
      <c r="E11" s="524" t="s">
        <v>401</v>
      </c>
      <c r="F11" s="525"/>
      <c r="G11" s="525"/>
      <c r="H11" s="525"/>
      <c r="I11" s="526"/>
      <c r="J11" s="509" t="s">
        <v>355</v>
      </c>
      <c r="K11" s="510"/>
      <c r="L11" s="511"/>
      <c r="M11" s="509" t="s">
        <v>275</v>
      </c>
      <c r="N11" s="510"/>
      <c r="O11" s="511"/>
    </row>
    <row r="12" spans="2:15">
      <c r="B12" s="578"/>
      <c r="C12" s="578"/>
      <c r="D12" s="578"/>
      <c r="E12" s="579"/>
      <c r="F12" s="579"/>
      <c r="G12" s="579"/>
      <c r="H12" s="579"/>
      <c r="I12" s="579"/>
      <c r="J12" s="579"/>
      <c r="K12" s="579"/>
      <c r="L12" s="579"/>
      <c r="M12" s="579"/>
      <c r="N12" s="579"/>
      <c r="O12" s="579"/>
    </row>
    <row r="13" spans="2:15">
      <c r="B13" s="534"/>
      <c r="C13" s="534"/>
      <c r="D13" s="534"/>
      <c r="E13" s="535"/>
      <c r="F13" s="535"/>
      <c r="G13" s="535"/>
      <c r="H13" s="535"/>
      <c r="I13" s="535"/>
      <c r="J13" s="535"/>
      <c r="K13" s="535"/>
      <c r="L13" s="535"/>
      <c r="M13" s="535"/>
      <c r="N13" s="535"/>
      <c r="O13" s="535"/>
    </row>
    <row r="14" spans="2:15">
      <c r="B14" s="534"/>
      <c r="C14" s="534"/>
      <c r="D14" s="534"/>
      <c r="E14" s="535"/>
      <c r="F14" s="535"/>
      <c r="G14" s="535"/>
      <c r="H14" s="535"/>
      <c r="I14" s="535"/>
      <c r="J14" s="535"/>
      <c r="K14" s="535"/>
      <c r="L14" s="535"/>
      <c r="M14" s="535"/>
      <c r="N14" s="535"/>
      <c r="O14" s="535"/>
    </row>
    <row r="15" spans="2:15">
      <c r="B15" s="534"/>
      <c r="C15" s="534"/>
      <c r="D15" s="534"/>
      <c r="E15" s="535"/>
      <c r="F15" s="535"/>
      <c r="G15" s="535"/>
      <c r="H15" s="535"/>
      <c r="I15" s="535"/>
      <c r="J15" s="535"/>
      <c r="K15" s="535"/>
      <c r="L15" s="535"/>
      <c r="M15" s="535"/>
      <c r="N15" s="535"/>
      <c r="O15" s="535"/>
    </row>
    <row r="16" spans="2:15" ht="23.25">
      <c r="B16" s="547" t="s">
        <v>282</v>
      </c>
      <c r="C16" s="547"/>
      <c r="D16" s="547"/>
      <c r="E16" s="547"/>
      <c r="F16" s="547"/>
      <c r="G16" s="547"/>
      <c r="H16" s="547"/>
      <c r="I16" s="547"/>
      <c r="J16" s="547"/>
      <c r="K16" s="547"/>
      <c r="L16" s="547"/>
      <c r="M16" s="547"/>
      <c r="N16" s="547"/>
      <c r="O16" s="547"/>
    </row>
    <row r="18" spans="1:15" ht="21">
      <c r="B18" s="580" t="s">
        <v>270</v>
      </c>
      <c r="C18" s="581"/>
      <c r="D18" s="582"/>
      <c r="E18" s="580" t="s">
        <v>271</v>
      </c>
      <c r="F18" s="581"/>
      <c r="G18" s="581"/>
      <c r="H18" s="581"/>
      <c r="I18" s="582"/>
      <c r="J18" s="580" t="s">
        <v>272</v>
      </c>
      <c r="K18" s="581"/>
      <c r="L18" s="582"/>
      <c r="M18" s="580" t="s">
        <v>273</v>
      </c>
      <c r="N18" s="581"/>
      <c r="O18" s="582"/>
    </row>
    <row r="19" spans="1:15" ht="114" customHeight="1">
      <c r="B19" s="498" t="str">
        <f>+'Data Entry'!B68</f>
        <v>M1: Status of Conditions Precedent (CPs) and Time Bound Actions (TBAs)</v>
      </c>
      <c r="C19" s="499"/>
      <c r="D19" s="500"/>
      <c r="E19" s="524" t="s">
        <v>280</v>
      </c>
      <c r="F19" s="525"/>
      <c r="G19" s="525"/>
      <c r="H19" s="525"/>
      <c r="I19" s="526"/>
      <c r="J19" s="509" t="s">
        <v>348</v>
      </c>
      <c r="K19" s="510"/>
      <c r="L19" s="511"/>
      <c r="M19" s="509" t="s">
        <v>349</v>
      </c>
      <c r="N19" s="510"/>
      <c r="O19" s="511"/>
    </row>
    <row r="20" spans="1:15" ht="102.75" customHeight="1">
      <c r="B20" s="498" t="str">
        <f>+'Data Entry'!B75</f>
        <v>M2: Status of key PR management positions</v>
      </c>
      <c r="C20" s="499"/>
      <c r="D20" s="500"/>
      <c r="E20" s="524" t="s">
        <v>391</v>
      </c>
      <c r="F20" s="525"/>
      <c r="G20" s="525"/>
      <c r="H20" s="525"/>
      <c r="I20" s="526"/>
      <c r="J20" s="509" t="s">
        <v>277</v>
      </c>
      <c r="K20" s="510"/>
      <c r="L20" s="511"/>
      <c r="M20" s="509" t="s">
        <v>276</v>
      </c>
      <c r="N20" s="510"/>
      <c r="O20" s="511"/>
    </row>
    <row r="21" spans="1:15" ht="111.75" customHeight="1">
      <c r="B21" s="498" t="str">
        <f>+'Data Entry'!B80</f>
        <v>M3: Contractual arrangements</v>
      </c>
      <c r="C21" s="499"/>
      <c r="D21" s="500"/>
      <c r="E21" s="527" t="s">
        <v>0</v>
      </c>
      <c r="F21" s="525"/>
      <c r="G21" s="525"/>
      <c r="H21" s="525"/>
      <c r="I21" s="526"/>
      <c r="J21" s="509" t="s">
        <v>350</v>
      </c>
      <c r="K21" s="510"/>
      <c r="L21" s="511"/>
      <c r="M21" s="509" t="s">
        <v>351</v>
      </c>
      <c r="N21" s="510"/>
      <c r="O21" s="511"/>
    </row>
    <row r="22" spans="1:15" ht="74.25" customHeight="1">
      <c r="B22" s="498" t="str">
        <f>+'Data Entry'!B85</f>
        <v>M4: Number of complete reports received on time</v>
      </c>
      <c r="C22" s="499"/>
      <c r="D22" s="500"/>
      <c r="E22" s="527" t="s">
        <v>402</v>
      </c>
      <c r="F22" s="536"/>
      <c r="G22" s="536"/>
      <c r="H22" s="536"/>
      <c r="I22" s="537"/>
      <c r="J22" s="509" t="s">
        <v>356</v>
      </c>
      <c r="K22" s="510"/>
      <c r="L22" s="511"/>
      <c r="M22" s="509" t="s">
        <v>278</v>
      </c>
      <c r="N22" s="510"/>
      <c r="O22" s="511"/>
    </row>
    <row r="23" spans="1:15" ht="207.75" customHeight="1">
      <c r="B23" s="528" t="str">
        <f>+'Data Entry'!B91</f>
        <v>M5: Budget and Procurement of health products, health equipment, medicines and pharmaceuticals</v>
      </c>
      <c r="C23" s="529"/>
      <c r="D23" s="530"/>
      <c r="E23" s="538" t="s">
        <v>357</v>
      </c>
      <c r="F23" s="539"/>
      <c r="G23" s="539"/>
      <c r="H23" s="539"/>
      <c r="I23" s="540"/>
      <c r="J23" s="518" t="s">
        <v>274</v>
      </c>
      <c r="K23" s="519"/>
      <c r="L23" s="520"/>
      <c r="M23" s="518" t="s">
        <v>279</v>
      </c>
      <c r="N23" s="519"/>
      <c r="O23" s="520"/>
    </row>
    <row r="24" spans="1:15" ht="114.75" customHeight="1">
      <c r="B24" s="531"/>
      <c r="C24" s="532"/>
      <c r="D24" s="533"/>
      <c r="E24" s="541" t="s">
        <v>352</v>
      </c>
      <c r="F24" s="542"/>
      <c r="G24" s="542"/>
      <c r="H24" s="542"/>
      <c r="I24" s="543"/>
      <c r="J24" s="521"/>
      <c r="K24" s="522"/>
      <c r="L24" s="523"/>
      <c r="M24" s="521"/>
      <c r="N24" s="522"/>
      <c r="O24" s="523"/>
    </row>
    <row r="25" spans="1:15" ht="409.5" customHeight="1">
      <c r="B25" s="498" t="str">
        <f>+'Data Entry'!B104</f>
        <v>M6: Difference between current and safety stock</v>
      </c>
      <c r="C25" s="499"/>
      <c r="D25" s="500"/>
      <c r="E25" s="506" t="s">
        <v>403</v>
      </c>
      <c r="F25" s="507"/>
      <c r="G25" s="507"/>
      <c r="H25" s="507"/>
      <c r="I25" s="508"/>
      <c r="J25" s="515" t="s">
        <v>358</v>
      </c>
      <c r="K25" s="516"/>
      <c r="L25" s="517"/>
      <c r="M25" s="512" t="s">
        <v>363</v>
      </c>
      <c r="N25" s="513"/>
      <c r="O25" s="514"/>
    </row>
    <row r="29" spans="1:15" ht="18.75">
      <c r="B29" s="202"/>
    </row>
    <row r="30" spans="1:15" ht="23.25">
      <c r="B30" s="547" t="s">
        <v>295</v>
      </c>
      <c r="C30" s="547"/>
      <c r="D30" s="547"/>
      <c r="E30" s="547"/>
      <c r="F30" s="547"/>
      <c r="G30" s="547"/>
      <c r="H30" s="547"/>
      <c r="I30" s="547"/>
      <c r="J30" s="547"/>
      <c r="K30" s="547"/>
      <c r="L30" s="547"/>
      <c r="M30" s="547"/>
      <c r="N30" s="547"/>
      <c r="O30" s="547"/>
    </row>
    <row r="32" spans="1:15" ht="28.5" customHeight="1">
      <c r="A32" s="22"/>
      <c r="B32" s="548" t="s">
        <v>342</v>
      </c>
      <c r="C32" s="549"/>
      <c r="D32" s="550"/>
      <c r="E32" s="551" t="s">
        <v>464</v>
      </c>
      <c r="F32" s="552"/>
      <c r="G32" s="552"/>
      <c r="H32" s="552"/>
      <c r="I32" s="553"/>
      <c r="J32" s="554" t="s">
        <v>272</v>
      </c>
      <c r="K32" s="552"/>
      <c r="L32" s="553"/>
      <c r="M32" s="554" t="s">
        <v>273</v>
      </c>
      <c r="N32" s="552"/>
      <c r="O32" s="553"/>
    </row>
    <row r="33" spans="1:15" ht="47.25" customHeight="1">
      <c r="A33" s="195"/>
      <c r="B33" s="907" t="s">
        <v>475</v>
      </c>
      <c r="C33" s="908"/>
      <c r="D33" s="909"/>
      <c r="E33" s="901" t="s">
        <v>478</v>
      </c>
      <c r="F33" s="902"/>
      <c r="G33" s="902"/>
      <c r="H33" s="902"/>
      <c r="I33" s="903"/>
      <c r="J33" s="495"/>
      <c r="K33" s="496"/>
      <c r="L33" s="497"/>
      <c r="M33" s="495"/>
      <c r="N33" s="496"/>
      <c r="O33" s="497"/>
    </row>
    <row r="34" spans="1:15" ht="59.25" customHeight="1">
      <c r="A34" s="195"/>
      <c r="B34" s="907" t="s">
        <v>476</v>
      </c>
      <c r="C34" s="908"/>
      <c r="D34" s="909"/>
      <c r="E34" s="901" t="s">
        <v>479</v>
      </c>
      <c r="F34" s="902"/>
      <c r="G34" s="902"/>
      <c r="H34" s="902"/>
      <c r="I34" s="903"/>
      <c r="J34" s="495"/>
      <c r="K34" s="496"/>
      <c r="L34" s="497"/>
      <c r="M34" s="495"/>
      <c r="N34" s="496"/>
      <c r="O34" s="497"/>
    </row>
    <row r="35" spans="1:15" ht="57.75" customHeight="1">
      <c r="A35" s="195"/>
      <c r="B35" s="907" t="s">
        <v>477</v>
      </c>
      <c r="C35" s="908"/>
      <c r="D35" s="909"/>
      <c r="E35" s="904" t="s">
        <v>480</v>
      </c>
      <c r="F35" s="905"/>
      <c r="G35" s="905"/>
      <c r="H35" s="905"/>
      <c r="I35" s="906"/>
      <c r="J35" s="495"/>
      <c r="K35" s="496"/>
      <c r="L35" s="497"/>
      <c r="M35" s="495"/>
      <c r="N35" s="496"/>
      <c r="O35" s="497"/>
    </row>
    <row r="36" spans="1:15" ht="9.75" customHeight="1">
      <c r="A36" s="195"/>
      <c r="B36" s="503"/>
      <c r="C36" s="504"/>
      <c r="D36" s="505"/>
      <c r="E36" s="196"/>
      <c r="F36" s="197"/>
      <c r="G36" s="197"/>
      <c r="H36" s="197"/>
      <c r="I36" s="198"/>
      <c r="J36" s="213"/>
      <c r="K36" s="214"/>
      <c r="L36" s="215"/>
      <c r="M36" s="213"/>
      <c r="N36" s="214"/>
      <c r="O36" s="215"/>
    </row>
    <row r="37" spans="1:15" ht="46.5" customHeight="1">
      <c r="A37" s="195"/>
      <c r="B37" s="483"/>
      <c r="C37" s="484"/>
      <c r="D37" s="485"/>
      <c r="E37" s="495"/>
      <c r="F37" s="501"/>
      <c r="G37" s="501"/>
      <c r="H37" s="501"/>
      <c r="I37" s="502"/>
      <c r="J37" s="208"/>
      <c r="K37" s="209"/>
      <c r="L37" s="210"/>
      <c r="M37" s="208"/>
      <c r="N37" s="209"/>
      <c r="O37" s="210"/>
    </row>
    <row r="38" spans="1:15" ht="69" customHeight="1">
      <c r="A38" s="195"/>
      <c r="B38" s="483"/>
      <c r="C38" s="484"/>
      <c r="D38" s="485"/>
      <c r="E38" s="489"/>
      <c r="F38" s="490"/>
      <c r="G38" s="490"/>
      <c r="H38" s="490"/>
      <c r="I38" s="491"/>
      <c r="J38" s="495"/>
      <c r="K38" s="496"/>
      <c r="L38" s="497"/>
      <c r="M38" s="495"/>
      <c r="N38" s="496"/>
      <c r="O38" s="497"/>
    </row>
    <row r="39" spans="1:15" ht="64.5" customHeight="1">
      <c r="A39" s="195"/>
      <c r="B39" s="483"/>
      <c r="C39" s="484"/>
      <c r="D39" s="485"/>
      <c r="E39" s="495"/>
      <c r="F39" s="496"/>
      <c r="G39" s="496"/>
      <c r="H39" s="496"/>
      <c r="I39" s="497"/>
      <c r="J39" s="208"/>
      <c r="K39" s="209"/>
      <c r="L39" s="210"/>
      <c r="M39" s="208"/>
      <c r="N39" s="209"/>
      <c r="O39" s="210"/>
    </row>
    <row r="40" spans="1:15" ht="45" customHeight="1">
      <c r="A40" s="195"/>
      <c r="B40" s="486"/>
      <c r="C40" s="487"/>
      <c r="D40" s="488"/>
      <c r="E40" s="495"/>
      <c r="F40" s="496"/>
      <c r="G40" s="496"/>
      <c r="H40" s="496"/>
      <c r="I40" s="497"/>
      <c r="J40" s="495"/>
      <c r="K40" s="496"/>
      <c r="L40" s="497"/>
      <c r="M40" s="495"/>
      <c r="N40" s="496"/>
      <c r="O40" s="497"/>
    </row>
    <row r="41" spans="1:15" ht="62.25" customHeight="1">
      <c r="A41" s="195"/>
      <c r="B41" s="483"/>
      <c r="C41" s="484"/>
      <c r="D41" s="485"/>
      <c r="E41" s="489"/>
      <c r="F41" s="490"/>
      <c r="G41" s="490"/>
      <c r="H41" s="490"/>
      <c r="I41" s="491"/>
      <c r="J41" s="495"/>
      <c r="K41" s="496"/>
      <c r="L41" s="497"/>
      <c r="M41" s="495"/>
      <c r="N41" s="496"/>
      <c r="O41" s="497"/>
    </row>
    <row r="42" spans="1:15" ht="84" customHeight="1">
      <c r="A42" s="195"/>
      <c r="B42" s="483"/>
      <c r="C42" s="484"/>
      <c r="D42" s="485"/>
      <c r="E42" s="495"/>
      <c r="F42" s="496"/>
      <c r="G42" s="496"/>
      <c r="H42" s="496"/>
      <c r="I42" s="497"/>
      <c r="J42" s="208"/>
      <c r="K42" s="209"/>
      <c r="L42" s="210"/>
      <c r="M42" s="208"/>
      <c r="N42" s="209"/>
      <c r="O42" s="210"/>
    </row>
    <row r="43" spans="1:15" ht="45" customHeight="1">
      <c r="A43" s="195"/>
      <c r="B43" s="483"/>
      <c r="C43" s="484"/>
      <c r="D43" s="485"/>
      <c r="E43" s="489"/>
      <c r="F43" s="490"/>
      <c r="G43" s="490"/>
      <c r="H43" s="490"/>
      <c r="I43" s="491"/>
      <c r="J43" s="495"/>
      <c r="K43" s="496"/>
      <c r="L43" s="497"/>
      <c r="M43" s="208"/>
      <c r="N43" s="209"/>
      <c r="O43" s="210"/>
    </row>
    <row r="44" spans="1:15" ht="64.5" customHeight="1">
      <c r="A44" s="195"/>
      <c r="B44" s="486"/>
      <c r="C44" s="487"/>
      <c r="D44" s="488"/>
      <c r="E44" s="489"/>
      <c r="F44" s="490"/>
      <c r="G44" s="490"/>
      <c r="H44" s="490"/>
      <c r="I44" s="491"/>
      <c r="J44" s="495"/>
      <c r="K44" s="496"/>
      <c r="L44" s="497"/>
      <c r="M44" s="208"/>
      <c r="N44" s="209"/>
      <c r="O44" s="210"/>
    </row>
    <row r="45" spans="1:15" ht="49.5" customHeight="1">
      <c r="B45" s="486"/>
      <c r="C45" s="487"/>
      <c r="D45" s="488"/>
      <c r="E45" s="489"/>
      <c r="F45" s="490"/>
      <c r="G45" s="490"/>
      <c r="H45" s="490"/>
      <c r="I45" s="491"/>
      <c r="J45" s="495"/>
      <c r="K45" s="496"/>
      <c r="L45" s="497"/>
      <c r="M45" s="208"/>
      <c r="N45" s="209"/>
      <c r="O45" s="210"/>
    </row>
    <row r="46" spans="1:15" ht="30" customHeight="1">
      <c r="B46" s="492"/>
      <c r="C46" s="493"/>
      <c r="D46" s="494"/>
      <c r="E46" s="199"/>
      <c r="F46" s="200"/>
      <c r="G46" s="200"/>
      <c r="H46" s="200"/>
      <c r="I46" s="201"/>
      <c r="J46" s="208"/>
      <c r="K46" s="209"/>
      <c r="L46" s="210"/>
      <c r="M46" s="208"/>
      <c r="N46" s="209"/>
      <c r="O46" s="210"/>
    </row>
    <row r="47" spans="1:15" ht="44.25" customHeight="1">
      <c r="B47" s="558" t="s">
        <v>296</v>
      </c>
      <c r="C47" s="559"/>
      <c r="D47" s="560"/>
      <c r="E47" s="561" t="s">
        <v>271</v>
      </c>
      <c r="F47" s="562"/>
      <c r="G47" s="562"/>
      <c r="H47" s="562"/>
      <c r="I47" s="563"/>
      <c r="J47" s="561" t="s">
        <v>272</v>
      </c>
      <c r="K47" s="562"/>
      <c r="L47" s="563"/>
      <c r="M47" s="561" t="s">
        <v>273</v>
      </c>
      <c r="N47" s="562"/>
      <c r="O47" s="563"/>
    </row>
    <row r="48" spans="1:15" ht="33.75" customHeight="1">
      <c r="B48" s="191"/>
      <c r="C48" s="192"/>
      <c r="D48" s="192"/>
      <c r="E48" s="186"/>
      <c r="F48" s="188"/>
      <c r="G48" s="188"/>
      <c r="H48" s="188"/>
      <c r="I48" s="188"/>
      <c r="J48" s="186"/>
      <c r="K48" s="186"/>
      <c r="L48" s="187"/>
      <c r="M48" s="185"/>
      <c r="N48" s="186"/>
      <c r="O48" s="187"/>
    </row>
    <row r="49" spans="2:15" ht="15.75" customHeight="1">
      <c r="B49" s="555" t="s">
        <v>293</v>
      </c>
      <c r="C49" s="556"/>
      <c r="D49" s="556"/>
      <c r="E49" s="556"/>
      <c r="F49" s="556"/>
      <c r="G49" s="556"/>
      <c r="H49" s="556"/>
      <c r="I49" s="556"/>
      <c r="J49" s="556"/>
      <c r="K49" s="556"/>
      <c r="L49" s="557"/>
      <c r="M49" s="544" t="s">
        <v>283</v>
      </c>
      <c r="N49" s="545"/>
      <c r="O49" s="546"/>
    </row>
    <row r="50" spans="2:15">
      <c r="D50" s="173"/>
    </row>
    <row r="52" spans="2:15">
      <c r="D52" s="173"/>
    </row>
    <row r="53" spans="2:15">
      <c r="D53" s="173"/>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H166"/>
  <sheetViews>
    <sheetView showGridLines="0" tabSelected="1" zoomScale="90" zoomScaleNormal="90" zoomScalePageLayoutView="90" workbookViewId="0">
      <selection activeCell="I66" sqref="I66"/>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5" width="15.42578125" customWidth="1"/>
    <col min="16" max="16" width="14.28515625" customWidth="1"/>
    <col min="17" max="17" width="15.42578125" customWidth="1"/>
    <col min="18" max="18" width="19.42578125" customWidth="1"/>
    <col min="19" max="19" width="16.140625" customWidth="1"/>
    <col min="20" max="20" width="16" customWidth="1"/>
    <col min="21" max="21" width="11.42578125" hidden="1" customWidth="1"/>
    <col min="22" max="22" width="15.42578125" customWidth="1"/>
    <col min="23" max="23" width="11.42578125" customWidth="1"/>
    <col min="24" max="24" width="2.28515625" customWidth="1"/>
    <col min="25" max="25" width="1.140625" customWidth="1"/>
    <col min="26" max="26" width="3.28515625" customWidth="1"/>
    <col min="27" max="27" width="17" customWidth="1"/>
    <col min="28" max="28" width="15" customWidth="1"/>
    <col min="29" max="29" width="11.42578125" customWidth="1"/>
    <col min="30" max="30" width="13.42578125" customWidth="1"/>
    <col min="31" max="31" width="16.85546875" customWidth="1"/>
    <col min="32" max="32" width="11.42578125" customWidth="1"/>
    <col min="33" max="33" width="2" customWidth="1"/>
    <col min="34" max="34" width="3.28515625" customWidth="1"/>
    <col min="35" max="35" width="2.28515625" customWidth="1"/>
    <col min="36" max="36" width="40.7109375" customWidth="1"/>
    <col min="37" max="37" width="15.42578125" customWidth="1"/>
  </cols>
  <sheetData>
    <row r="1" spans="2:15" ht="29.25" customHeight="1"/>
    <row r="2" spans="2:15" ht="15.75" customHeight="1">
      <c r="B2" s="619" t="s">
        <v>370</v>
      </c>
      <c r="C2" s="619"/>
      <c r="D2" s="619"/>
      <c r="E2" s="619"/>
      <c r="F2" s="619"/>
      <c r="G2" s="619"/>
      <c r="H2" s="619"/>
      <c r="I2" s="619"/>
      <c r="J2" s="619"/>
      <c r="K2" s="228"/>
      <c r="L2" s="228"/>
      <c r="M2" s="228"/>
      <c r="N2" s="228"/>
      <c r="O2" s="228"/>
    </row>
    <row r="3" spans="2:15" ht="4.5" customHeight="1"/>
    <row r="4" spans="2:15" ht="30.75" customHeight="1">
      <c r="B4" s="226" t="s">
        <v>25</v>
      </c>
      <c r="C4" s="640" t="s">
        <v>175</v>
      </c>
      <c r="D4" s="641"/>
      <c r="E4" s="621" t="s">
        <v>11</v>
      </c>
      <c r="F4" s="621"/>
      <c r="G4" s="642" t="s">
        <v>453</v>
      </c>
      <c r="H4" s="643"/>
      <c r="I4" s="643"/>
      <c r="J4" s="644"/>
    </row>
    <row r="5" spans="2:15" ht="3" customHeight="1">
      <c r="B5" s="226"/>
      <c r="E5" s="229"/>
      <c r="F5" s="229"/>
    </row>
    <row r="6" spans="2:15">
      <c r="B6" s="226" t="s">
        <v>116</v>
      </c>
      <c r="C6" s="617" t="s">
        <v>439</v>
      </c>
      <c r="D6" s="618"/>
      <c r="E6" s="621" t="s">
        <v>26</v>
      </c>
      <c r="F6" s="621"/>
      <c r="G6" s="251" t="s">
        <v>83</v>
      </c>
      <c r="H6" s="226" t="s">
        <v>318</v>
      </c>
      <c r="I6" s="646">
        <v>17048495.93</v>
      </c>
      <c r="J6" s="647"/>
    </row>
    <row r="7" spans="2:15" ht="3" customHeight="1">
      <c r="B7" s="226"/>
      <c r="E7" s="229"/>
      <c r="F7" s="229"/>
      <c r="H7" s="226"/>
    </row>
    <row r="8" spans="2:15">
      <c r="B8" s="226" t="s">
        <v>267</v>
      </c>
      <c r="C8" s="617" t="s">
        <v>408</v>
      </c>
      <c r="D8" s="618"/>
      <c r="E8" s="229"/>
      <c r="F8" s="226" t="s">
        <v>320</v>
      </c>
      <c r="G8" s="399" t="s">
        <v>424</v>
      </c>
      <c r="H8" s="226" t="s">
        <v>319</v>
      </c>
      <c r="I8" s="617" t="s">
        <v>454</v>
      </c>
      <c r="J8" s="618"/>
    </row>
    <row r="9" spans="2:15" ht="3" customHeight="1">
      <c r="B9" s="229"/>
      <c r="E9" s="229"/>
      <c r="F9" s="229"/>
    </row>
    <row r="10" spans="2:15">
      <c r="B10" s="226" t="s">
        <v>397</v>
      </c>
      <c r="C10" s="650">
        <v>44927</v>
      </c>
      <c r="D10" s="651"/>
      <c r="E10" s="645" t="s">
        <v>30</v>
      </c>
      <c r="F10" s="622"/>
      <c r="G10" s="617" t="s">
        <v>261</v>
      </c>
      <c r="H10" s="649"/>
      <c r="I10" s="649"/>
      <c r="J10" s="618"/>
    </row>
    <row r="11" spans="2:15" ht="5.25" customHeight="1"/>
    <row r="12" spans="2:15" ht="15" customHeight="1">
      <c r="B12" s="226" t="s">
        <v>28</v>
      </c>
      <c r="C12" s="620" t="s">
        <v>46</v>
      </c>
      <c r="D12" s="620"/>
      <c r="E12" s="645" t="s">
        <v>287</v>
      </c>
      <c r="F12" s="621"/>
      <c r="G12" s="648" t="s">
        <v>427</v>
      </c>
      <c r="H12" s="648"/>
      <c r="I12" s="648"/>
      <c r="J12" s="648"/>
    </row>
    <row r="13" spans="2:15" ht="5.25" customHeight="1"/>
    <row r="14" spans="2:15" ht="15.75" customHeight="1">
      <c r="B14" s="619" t="s">
        <v>2</v>
      </c>
      <c r="C14" s="619"/>
      <c r="D14" s="619"/>
      <c r="E14" s="619"/>
      <c r="F14" s="619"/>
      <c r="G14" s="619"/>
      <c r="H14" s="619"/>
      <c r="I14" s="619"/>
      <c r="J14" s="619"/>
    </row>
    <row r="15" spans="2:15" ht="3" customHeight="1"/>
    <row r="16" spans="2:15">
      <c r="B16" s="226" t="s">
        <v>20</v>
      </c>
      <c r="C16" s="399" t="s">
        <v>105</v>
      </c>
      <c r="D16" s="226" t="s">
        <v>321</v>
      </c>
      <c r="E16" s="230">
        <v>44927</v>
      </c>
      <c r="F16" s="227" t="s">
        <v>8</v>
      </c>
      <c r="G16" s="230">
        <v>45016</v>
      </c>
      <c r="H16" s="645" t="s">
        <v>322</v>
      </c>
      <c r="I16" s="622"/>
      <c r="J16" s="404">
        <v>45087</v>
      </c>
    </row>
    <row r="17" spans="2:34" ht="3" customHeight="1"/>
    <row r="18" spans="2:34">
      <c r="B18" s="621" t="s">
        <v>31</v>
      </c>
      <c r="C18" s="622"/>
      <c r="D18" s="623" t="s">
        <v>440</v>
      </c>
      <c r="E18" s="623"/>
      <c r="F18" s="623"/>
    </row>
    <row r="19" spans="2:34" ht="3" customHeight="1"/>
    <row r="20" spans="2:34" ht="5.25" customHeight="1"/>
    <row r="21" spans="2:34" ht="15.75" customHeight="1">
      <c r="B21" s="619" t="s">
        <v>359</v>
      </c>
      <c r="C21" s="619"/>
      <c r="D21" s="619"/>
      <c r="E21" s="619"/>
      <c r="F21" s="619"/>
      <c r="G21" s="619"/>
      <c r="H21" s="619"/>
      <c r="I21" s="619"/>
      <c r="J21" s="619"/>
    </row>
    <row r="22" spans="2:34">
      <c r="B22" s="229" t="s">
        <v>3</v>
      </c>
    </row>
    <row r="23" spans="2:34" ht="3" customHeight="1"/>
    <row r="24" spans="2:34" ht="15.75" thickBot="1">
      <c r="B24" s="226" t="s">
        <v>393</v>
      </c>
      <c r="C24" s="311"/>
      <c r="D24" s="621" t="s">
        <v>394</v>
      </c>
      <c r="E24" s="621"/>
      <c r="F24" s="312"/>
      <c r="G24" s="621" t="s">
        <v>395</v>
      </c>
      <c r="H24" s="621"/>
      <c r="I24" s="624"/>
      <c r="J24" s="625"/>
    </row>
    <row r="25" spans="2:34" ht="19.5" thickBot="1">
      <c r="B25" s="68" t="s">
        <v>393</v>
      </c>
      <c r="C25" s="69"/>
      <c r="D25" s="69"/>
      <c r="E25" s="69"/>
      <c r="F25" s="69"/>
      <c r="G25" s="69"/>
      <c r="H25" s="216"/>
      <c r="I25" s="70"/>
      <c r="J25" s="70"/>
      <c r="K25" s="216" t="s">
        <v>323</v>
      </c>
      <c r="L25" s="69"/>
      <c r="M25" s="69"/>
      <c r="N25" s="69"/>
      <c r="O25" s="69"/>
      <c r="P25" s="318"/>
      <c r="Q25" s="28"/>
      <c r="AH25" s="31"/>
    </row>
    <row r="26" spans="2:34">
      <c r="B26" s="660" t="s">
        <v>366</v>
      </c>
      <c r="C26" s="661"/>
      <c r="D26" s="328" t="s">
        <v>18</v>
      </c>
      <c r="E26" s="72"/>
      <c r="F26" s="72"/>
      <c r="G26" s="72"/>
      <c r="H26" s="72"/>
      <c r="I26" s="72"/>
      <c r="J26" s="73"/>
      <c r="K26" s="72"/>
      <c r="L26" s="72"/>
      <c r="M26" s="72"/>
      <c r="N26" s="72"/>
      <c r="O26" s="72"/>
      <c r="P26" s="28"/>
      <c r="Q26" s="28"/>
      <c r="AH26" s="31"/>
    </row>
    <row r="27" spans="2:34" ht="18.75">
      <c r="B27" s="71" t="s">
        <v>375</v>
      </c>
      <c r="C27" s="72"/>
      <c r="D27" s="72"/>
      <c r="E27" s="72"/>
      <c r="F27" s="72"/>
      <c r="G27" s="72"/>
      <c r="H27" s="72"/>
      <c r="I27" s="72"/>
      <c r="J27" s="73"/>
      <c r="K27" s="72"/>
      <c r="L27" s="72"/>
      <c r="M27" s="72"/>
      <c r="N27" s="72"/>
      <c r="O27" s="72"/>
      <c r="P27" s="28"/>
      <c r="Q27" s="28"/>
      <c r="AH27" s="31"/>
    </row>
    <row r="28" spans="2:34" ht="15.75" thickBot="1"/>
    <row r="29" spans="2:34" ht="15.75" thickBot="1">
      <c r="B29" s="584" t="s">
        <v>59</v>
      </c>
      <c r="C29" s="585"/>
      <c r="D29" s="585"/>
      <c r="E29" s="585"/>
      <c r="F29" s="585"/>
      <c r="G29" s="585"/>
      <c r="H29" s="585"/>
      <c r="I29" s="585"/>
      <c r="J29" s="585"/>
      <c r="K29" s="585"/>
      <c r="L29" s="585"/>
      <c r="M29" s="585"/>
      <c r="N29" s="586"/>
      <c r="O29" s="586"/>
      <c r="P29" s="587"/>
      <c r="R29" s="165"/>
      <c r="S29" s="166"/>
    </row>
    <row r="30" spans="2:34">
      <c r="B30" s="74" t="s">
        <v>266</v>
      </c>
      <c r="C30" s="293" t="s">
        <v>105</v>
      </c>
      <c r="D30" s="293" t="s">
        <v>106</v>
      </c>
      <c r="E30" s="293" t="s">
        <v>107</v>
      </c>
      <c r="F30" s="293" t="s">
        <v>108</v>
      </c>
      <c r="G30" s="293" t="s">
        <v>120</v>
      </c>
      <c r="H30" s="293" t="s">
        <v>121</v>
      </c>
      <c r="I30" s="293" t="s">
        <v>122</v>
      </c>
      <c r="J30" s="293" t="s">
        <v>123</v>
      </c>
      <c r="K30" s="293" t="s">
        <v>124</v>
      </c>
      <c r="L30" s="293" t="s">
        <v>125</v>
      </c>
      <c r="M30" s="293" t="s">
        <v>126</v>
      </c>
      <c r="N30" s="293" t="s">
        <v>285</v>
      </c>
      <c r="O30" s="293" t="s">
        <v>437</v>
      </c>
      <c r="P30" s="293" t="s">
        <v>438</v>
      </c>
      <c r="Q30" s="294" t="s">
        <v>4</v>
      </c>
      <c r="R30" s="165"/>
      <c r="S30" s="166"/>
    </row>
    <row r="31" spans="2:34">
      <c r="B31" s="223" t="str">
        <f>CONCATENATE("Budget (in ",'Data Entry'!$D$26,")")</f>
        <v>Budget (in $)</v>
      </c>
      <c r="C31" s="304">
        <v>1311877.7506327322</v>
      </c>
      <c r="D31" s="303">
        <v>1995751.7742671331</v>
      </c>
      <c r="E31" s="303">
        <v>1417037.0625603045</v>
      </c>
      <c r="F31" s="303">
        <v>1122105.6968187154</v>
      </c>
      <c r="G31" s="303">
        <v>1274028.14126343</v>
      </c>
      <c r="H31" s="303">
        <v>2011849.1585757597</v>
      </c>
      <c r="I31" s="303">
        <v>896047.14252030617</v>
      </c>
      <c r="J31" s="303">
        <v>972067.28794518928</v>
      </c>
      <c r="K31" s="303">
        <v>1354678.1555573018</v>
      </c>
      <c r="L31" s="303">
        <v>1946460.7552728376</v>
      </c>
      <c r="M31" s="303">
        <v>757082.83169082354</v>
      </c>
      <c r="N31" s="303">
        <v>758500.97748105123</v>
      </c>
      <c r="O31" s="303"/>
      <c r="P31" s="303"/>
      <c r="Q31" s="664">
        <f>+SUM(C35:P35)</f>
        <v>1.0882281518315584</v>
      </c>
      <c r="R31" s="165"/>
      <c r="S31" s="166"/>
    </row>
    <row r="32" spans="2:34">
      <c r="B32" s="74" t="str">
        <f>CONCATENATE("Disbursements by GF (in ", $D$26,")")</f>
        <v>Disbursements by GF (in $)</v>
      </c>
      <c r="C32" s="304">
        <f>1427622.3</f>
        <v>1427622.3</v>
      </c>
      <c r="D32" s="304"/>
      <c r="E32" s="304"/>
      <c r="F32" s="303"/>
      <c r="G32" s="304"/>
      <c r="H32" s="304"/>
      <c r="I32" s="303"/>
      <c r="J32" s="303"/>
      <c r="K32" s="303"/>
      <c r="L32" s="303"/>
      <c r="M32" s="303"/>
      <c r="N32" s="303"/>
      <c r="O32" s="303"/>
      <c r="P32" s="303"/>
      <c r="Q32" s="665"/>
      <c r="R32" s="165"/>
      <c r="S32" s="166"/>
    </row>
    <row r="33" spans="2:19">
      <c r="B33" s="75" t="s">
        <v>381</v>
      </c>
      <c r="C33" s="305">
        <f>+C31</f>
        <v>1311877.7506327322</v>
      </c>
      <c r="D33" s="305">
        <f>IF(AND(D31=0,D32=0),0,+C33+D31)</f>
        <v>3307629.5248998655</v>
      </c>
      <c r="E33" s="305">
        <f t="shared" ref="E33:M33" si="0">IF(AND(E31=0,E32=0),0,+D33+E31)</f>
        <v>4724666.5874601696</v>
      </c>
      <c r="F33" s="305">
        <f t="shared" si="0"/>
        <v>5846772.2842788845</v>
      </c>
      <c r="G33" s="305">
        <f t="shared" si="0"/>
        <v>7120800.4255423145</v>
      </c>
      <c r="H33" s="305">
        <f t="shared" si="0"/>
        <v>9132649.5841180738</v>
      </c>
      <c r="I33" s="305">
        <f t="shared" si="0"/>
        <v>10028696.72663838</v>
      </c>
      <c r="J33" s="305">
        <f t="shared" si="0"/>
        <v>11000764.014583569</v>
      </c>
      <c r="K33" s="305">
        <f t="shared" si="0"/>
        <v>12355442.17014087</v>
      </c>
      <c r="L33" s="305">
        <f t="shared" si="0"/>
        <v>14301902.925413707</v>
      </c>
      <c r="M33" s="305">
        <f t="shared" si="0"/>
        <v>15058985.757104531</v>
      </c>
      <c r="N33" s="305">
        <f>IF(AND(N31=0,N32=0),0,+M33+N31)</f>
        <v>15817486.734585581</v>
      </c>
      <c r="O33" s="305"/>
      <c r="P33" s="305"/>
      <c r="Q33" s="665"/>
      <c r="R33" s="288"/>
      <c r="S33" s="166"/>
    </row>
    <row r="34" spans="2:19" ht="15.75" thickBot="1">
      <c r="B34" s="76" t="s">
        <v>382</v>
      </c>
      <c r="C34" s="472">
        <f>+C32</f>
        <v>1427622.3</v>
      </c>
      <c r="D34" s="472">
        <f>IF(AND(D31=0,D32=0),0,+C34+D32)</f>
        <v>1427622.3</v>
      </c>
      <c r="E34" s="472">
        <f t="shared" ref="E34:M34" si="1">IF(AND(E31=0,E32=0),0,+D34+E32)</f>
        <v>1427622.3</v>
      </c>
      <c r="F34" s="472">
        <f t="shared" si="1"/>
        <v>1427622.3</v>
      </c>
      <c r="G34" s="472">
        <f>IF(AND(G31=0,G32=0),0,+F34+G32)</f>
        <v>1427622.3</v>
      </c>
      <c r="H34" s="472">
        <f t="shared" si="1"/>
        <v>1427622.3</v>
      </c>
      <c r="I34" s="472">
        <f t="shared" si="1"/>
        <v>1427622.3</v>
      </c>
      <c r="J34" s="472">
        <f t="shared" si="1"/>
        <v>1427622.3</v>
      </c>
      <c r="K34" s="472">
        <f t="shared" si="1"/>
        <v>1427622.3</v>
      </c>
      <c r="L34" s="472">
        <f t="shared" si="1"/>
        <v>1427622.3</v>
      </c>
      <c r="M34" s="472">
        <f t="shared" si="1"/>
        <v>1427622.3</v>
      </c>
      <c r="N34" s="472">
        <f>IF(AND(N31=0,N32=0),0,+M34+N32)</f>
        <v>1427622.3</v>
      </c>
      <c r="O34" s="472"/>
      <c r="P34" s="472"/>
      <c r="Q34" s="666"/>
      <c r="R34" s="288"/>
      <c r="S34" s="166"/>
    </row>
    <row r="35" spans="2:19">
      <c r="C35" s="271">
        <f>+IF(AND(C30=$C$16,C33&lt;&gt;0),C34/C33,0)</f>
        <v>1.0882281518315584</v>
      </c>
      <c r="D35" s="271">
        <f t="shared" ref="D35:P35" si="2">+IF(AND(D30=$C$16,D33&lt;&gt;0),D34/D33,0)</f>
        <v>0</v>
      </c>
      <c r="E35" s="271">
        <f t="shared" si="2"/>
        <v>0</v>
      </c>
      <c r="F35" s="271">
        <f t="shared" si="2"/>
        <v>0</v>
      </c>
      <c r="G35" s="271">
        <f t="shared" si="2"/>
        <v>0</v>
      </c>
      <c r="H35" s="271">
        <f t="shared" si="2"/>
        <v>0</v>
      </c>
      <c r="I35" s="271">
        <f t="shared" si="2"/>
        <v>0</v>
      </c>
      <c r="J35" s="271">
        <f t="shared" si="2"/>
        <v>0</v>
      </c>
      <c r="K35" s="271">
        <f t="shared" si="2"/>
        <v>0</v>
      </c>
      <c r="L35" s="271">
        <f t="shared" si="2"/>
        <v>0</v>
      </c>
      <c r="M35" s="271">
        <f t="shared" si="2"/>
        <v>0</v>
      </c>
      <c r="N35" s="271"/>
      <c r="O35" s="271"/>
      <c r="P35" s="271">
        <f t="shared" si="2"/>
        <v>0</v>
      </c>
      <c r="Q35" s="163"/>
      <c r="R35" s="168"/>
      <c r="S35" s="166"/>
    </row>
    <row r="36" spans="2:19" ht="18.75">
      <c r="B36" s="71" t="s">
        <v>374</v>
      </c>
      <c r="E36" s="282"/>
      <c r="G36" s="207"/>
      <c r="P36" s="29"/>
      <c r="Q36" s="29"/>
    </row>
    <row r="37" spans="2:19" ht="15.75" thickBot="1">
      <c r="P37" s="16"/>
      <c r="Q37" s="16"/>
    </row>
    <row r="38" spans="2:19" ht="30" customHeight="1">
      <c r="B38" s="313" t="s">
        <v>396</v>
      </c>
      <c r="C38" s="314" t="str">
        <f>CONCATENATE("Cumulative Budget (in ",'Data Entry'!$D$26,")")</f>
        <v>Cumulative Budget (in $)</v>
      </c>
      <c r="D38" s="315" t="str">
        <f>CONCATENATE("Cumulative Expenditures (in ",'Data Entry'!$D$26,")")</f>
        <v>Cumulative Expenditures (in $)</v>
      </c>
      <c r="E38" s="419"/>
      <c r="J38" s="30"/>
      <c r="K38" s="448"/>
    </row>
    <row r="39" spans="2:19" ht="29.1" customHeight="1">
      <c r="B39" s="316" t="s">
        <v>411</v>
      </c>
      <c r="C39" s="473">
        <v>68449.018500000006</v>
      </c>
      <c r="D39" s="474">
        <v>76050.974552393396</v>
      </c>
      <c r="E39" s="419"/>
      <c r="F39" s="101"/>
      <c r="I39" s="163"/>
      <c r="K39" s="437"/>
      <c r="L39" s="433"/>
      <c r="M39" s="433"/>
      <c r="N39" s="438"/>
      <c r="O39" s="438"/>
      <c r="P39" s="438"/>
      <c r="Q39" s="438"/>
      <c r="R39" s="439"/>
      <c r="S39" s="439"/>
    </row>
    <row r="40" spans="2:19">
      <c r="B40" s="316" t="s">
        <v>468</v>
      </c>
      <c r="C40" s="473">
        <v>717063.14899999998</v>
      </c>
      <c r="D40" s="474">
        <v>401308.5611202413</v>
      </c>
      <c r="E40" s="419"/>
      <c r="F40" s="101"/>
      <c r="I40" s="163"/>
      <c r="K40" s="437"/>
      <c r="L40" s="433"/>
      <c r="M40" s="433"/>
      <c r="N40" s="438"/>
      <c r="O40" s="438"/>
      <c r="P40" s="438"/>
      <c r="Q40" s="438"/>
      <c r="R40" s="439"/>
      <c r="S40" s="439"/>
    </row>
    <row r="41" spans="2:19" ht="30">
      <c r="B41" s="316" t="s">
        <v>469</v>
      </c>
      <c r="C41" s="473">
        <v>25245.35</v>
      </c>
      <c r="D41" s="474">
        <v>20303.534649822512</v>
      </c>
      <c r="E41" s="419"/>
      <c r="F41" s="101"/>
      <c r="I41" s="163"/>
      <c r="K41" s="437"/>
      <c r="L41" s="433"/>
      <c r="M41" s="433"/>
      <c r="N41" s="433"/>
      <c r="O41" s="433"/>
      <c r="P41" s="433"/>
      <c r="Q41" s="433"/>
      <c r="R41" s="439"/>
      <c r="S41" s="163"/>
    </row>
    <row r="42" spans="2:19">
      <c r="B42" s="414" t="s">
        <v>470</v>
      </c>
      <c r="C42" s="475">
        <v>13449.665000000001</v>
      </c>
      <c r="D42" s="474">
        <v>175474.78901561248</v>
      </c>
      <c r="E42" s="419"/>
      <c r="F42" s="101"/>
      <c r="I42" s="163"/>
      <c r="K42" s="437"/>
      <c r="L42" s="433"/>
      <c r="M42" s="433"/>
      <c r="N42" s="433"/>
      <c r="O42" s="433"/>
      <c r="P42" s="433"/>
      <c r="Q42" s="433"/>
      <c r="R42" s="433"/>
      <c r="S42" s="419"/>
    </row>
    <row r="43" spans="2:19" s="471" customFormat="1">
      <c r="B43" s="414" t="s">
        <v>471</v>
      </c>
      <c r="C43" s="475">
        <v>358648.239</v>
      </c>
      <c r="D43" s="474">
        <v>285128.18711199763</v>
      </c>
      <c r="E43" s="419"/>
      <c r="F43" s="101"/>
      <c r="I43" s="163"/>
      <c r="K43" s="437"/>
      <c r="L43" s="433"/>
      <c r="M43" s="433"/>
      <c r="N43" s="433"/>
      <c r="O43" s="433"/>
      <c r="P43" s="433"/>
      <c r="Q43" s="433"/>
      <c r="R43" s="433"/>
      <c r="S43" s="419"/>
    </row>
    <row r="44" spans="2:19" s="471" customFormat="1">
      <c r="B44" s="414" t="s">
        <v>412</v>
      </c>
      <c r="C44" s="475">
        <v>129022.325</v>
      </c>
      <c r="D44" s="474">
        <v>137333.7300097445</v>
      </c>
      <c r="E44" s="419"/>
      <c r="F44" s="101"/>
      <c r="I44" s="163"/>
      <c r="K44" s="437"/>
      <c r="L44" s="433"/>
      <c r="M44" s="433"/>
      <c r="N44" s="433"/>
      <c r="O44" s="433"/>
      <c r="P44" s="433"/>
      <c r="Q44" s="433"/>
      <c r="R44" s="433"/>
      <c r="S44" s="419"/>
    </row>
    <row r="45" spans="2:19" s="471" customFormat="1" ht="30.75" thickBot="1">
      <c r="B45" s="414" t="s">
        <v>472</v>
      </c>
      <c r="C45" s="473">
        <v>0</v>
      </c>
      <c r="D45" s="474">
        <v>9120.0455148871624</v>
      </c>
      <c r="E45" s="419"/>
      <c r="F45" s="101"/>
      <c r="I45" s="163"/>
      <c r="K45" s="437"/>
      <c r="L45" s="433"/>
      <c r="M45" s="433"/>
      <c r="N45" s="433"/>
      <c r="O45" s="433"/>
      <c r="P45" s="433"/>
      <c r="Q45" s="433"/>
      <c r="R45" s="433"/>
      <c r="S45" s="419"/>
    </row>
    <row r="46" spans="2:19" ht="15.75" thickBot="1">
      <c r="B46" s="317" t="s">
        <v>58</v>
      </c>
      <c r="C46" s="371">
        <f>SUM(C39:C45)</f>
        <v>1311877.7464999999</v>
      </c>
      <c r="D46" s="371">
        <f>SUM(D39:D45)</f>
        <v>1104719.8219746989</v>
      </c>
      <c r="E46" s="163"/>
      <c r="F46" s="667" t="str">
        <f ca="1">+IF((ROUND(C46,0)=ROUND(OFFSET(B33,0,RIGHT('Data Entry'!$C$16,LEN('Data Entry'!$C$16)-1),1,1),0)),"OK: Data match","Warning: Data does not match")</f>
        <v>OK: Data match</v>
      </c>
      <c r="G46" s="668"/>
      <c r="H46" s="668"/>
      <c r="I46" s="669"/>
      <c r="J46" s="163"/>
      <c r="K46" s="163"/>
      <c r="L46" s="163"/>
      <c r="M46" s="168"/>
      <c r="N46" s="168"/>
      <c r="O46" s="168"/>
      <c r="P46" s="166"/>
      <c r="Q46" s="167"/>
      <c r="R46" s="165"/>
      <c r="S46" s="101"/>
    </row>
    <row r="47" spans="2:19">
      <c r="C47" s="163"/>
      <c r="D47" s="163"/>
      <c r="E47" s="219"/>
      <c r="F47" s="163"/>
      <c r="G47" s="163"/>
      <c r="H47" s="163"/>
      <c r="I47" s="163"/>
      <c r="J47" s="163"/>
      <c r="K47" s="163"/>
      <c r="L47" s="163"/>
      <c r="M47" s="163"/>
      <c r="N47" s="163"/>
      <c r="O47" s="163"/>
      <c r="P47" s="163"/>
      <c r="Q47" s="163"/>
      <c r="R47" s="168"/>
      <c r="S47" s="166"/>
    </row>
    <row r="48" spans="2:19" ht="18.75">
      <c r="B48" s="71" t="s">
        <v>373</v>
      </c>
      <c r="R48" s="165"/>
      <c r="S48" s="166"/>
    </row>
    <row r="49" spans="2:19" ht="15.75" thickBot="1">
      <c r="F49" s="163"/>
      <c r="R49" s="165"/>
      <c r="S49" s="166"/>
    </row>
    <row r="50" spans="2:19" ht="35.25" customHeight="1">
      <c r="B50" s="235"/>
      <c r="C50" s="236" t="s">
        <v>371</v>
      </c>
      <c r="D50" s="236" t="s">
        <v>372</v>
      </c>
      <c r="E50" s="324" t="str">
        <f>CONCATENATE("Total Spent and Disbursement (in ",D26,")")</f>
        <v>Total Spent and Disbursement (in $)</v>
      </c>
      <c r="G50" s="434"/>
      <c r="H50" s="232"/>
      <c r="I50" s="224"/>
      <c r="J50" s="431"/>
      <c r="K50" s="436"/>
      <c r="L50" s="224"/>
      <c r="M50" s="15"/>
      <c r="N50" s="15"/>
      <c r="O50" s="15"/>
      <c r="P50" s="15"/>
      <c r="Q50" s="165"/>
      <c r="R50" s="166"/>
      <c r="S50" s="167">
        <f>+M33</f>
        <v>15058985.757104531</v>
      </c>
    </row>
    <row r="51" spans="2:19">
      <c r="B51" s="233" t="s">
        <v>308</v>
      </c>
      <c r="C51" s="415">
        <v>0</v>
      </c>
      <c r="D51" s="416">
        <f>C32</f>
        <v>1427622.3</v>
      </c>
      <c r="E51" s="308">
        <f>+D51+C51</f>
        <v>1427622.3</v>
      </c>
      <c r="G51" s="435"/>
      <c r="H51" s="440"/>
      <c r="I51" s="237"/>
      <c r="J51" s="430"/>
      <c r="K51" s="436"/>
      <c r="L51" s="77"/>
      <c r="M51" s="26"/>
      <c r="N51" s="26"/>
      <c r="O51" s="26"/>
      <c r="P51" s="26"/>
      <c r="Q51" s="165"/>
      <c r="R51" s="165"/>
      <c r="S51" s="165"/>
    </row>
    <row r="52" spans="2:19">
      <c r="B52" s="233" t="s">
        <v>288</v>
      </c>
      <c r="C52" s="307">
        <v>0</v>
      </c>
      <c r="D52" s="307">
        <f>D46</f>
        <v>1104719.8219746989</v>
      </c>
      <c r="E52" s="308">
        <f>+D52+C52</f>
        <v>1104719.8219746989</v>
      </c>
      <c r="G52" s="435"/>
      <c r="H52" s="442"/>
      <c r="I52" s="237"/>
      <c r="J52" s="430"/>
      <c r="K52" s="436"/>
      <c r="L52" s="77"/>
      <c r="M52" s="27"/>
      <c r="N52" s="27"/>
      <c r="O52" s="27"/>
      <c r="P52" s="27"/>
      <c r="Q52" s="165"/>
      <c r="R52" s="165"/>
      <c r="S52" s="165"/>
    </row>
    <row r="53" spans="2:19">
      <c r="B53" s="233" t="s">
        <v>428</v>
      </c>
      <c r="C53" s="306">
        <v>0</v>
      </c>
      <c r="D53" s="306">
        <v>21288.53</v>
      </c>
      <c r="E53" s="308">
        <f>+D53+C53</f>
        <v>21288.53</v>
      </c>
      <c r="F53" s="163"/>
      <c r="G53" s="440"/>
      <c r="H53" s="440"/>
      <c r="I53" s="237"/>
      <c r="J53" s="430"/>
      <c r="K53" s="429"/>
      <c r="L53" s="77"/>
      <c r="M53" s="26"/>
      <c r="N53" s="26"/>
      <c r="O53" s="26"/>
      <c r="P53" s="26"/>
    </row>
    <row r="54" spans="2:19" ht="15.75" thickBot="1">
      <c r="B54" s="234" t="s">
        <v>268</v>
      </c>
      <c r="C54" s="306">
        <v>0</v>
      </c>
      <c r="D54" s="307">
        <v>20417.351724148171</v>
      </c>
      <c r="E54" s="309">
        <f>+D54+C54</f>
        <v>20417.351724148171</v>
      </c>
      <c r="G54" s="440"/>
      <c r="H54" s="440"/>
      <c r="I54" s="440"/>
      <c r="J54" s="444"/>
      <c r="K54" s="429"/>
      <c r="L54" s="441"/>
      <c r="M54" s="27"/>
      <c r="N54" s="27"/>
      <c r="O54" s="27"/>
      <c r="P54" s="27"/>
    </row>
    <row r="55" spans="2:19" ht="15.75" customHeight="1">
      <c r="G55" s="443"/>
      <c r="H55" s="419"/>
      <c r="I55" s="419"/>
      <c r="J55" s="432"/>
      <c r="K55" s="429"/>
    </row>
    <row r="56" spans="2:19">
      <c r="D56" s="222"/>
    </row>
    <row r="57" spans="2:19" ht="18.75">
      <c r="B57" s="71" t="s">
        <v>376</v>
      </c>
    </row>
    <row r="58" spans="2:19" ht="15.75" thickBot="1"/>
    <row r="59" spans="2:19">
      <c r="B59" s="594" t="s">
        <v>343</v>
      </c>
      <c r="C59" s="595"/>
      <c r="D59" s="596"/>
    </row>
    <row r="60" spans="2:19">
      <c r="B60" s="80"/>
      <c r="C60" s="239" t="s">
        <v>60</v>
      </c>
      <c r="D60" s="240" t="s">
        <v>61</v>
      </c>
    </row>
    <row r="61" spans="2:19">
      <c r="B61" s="81" t="s">
        <v>1</v>
      </c>
      <c r="C61" s="289">
        <v>60</v>
      </c>
      <c r="D61" s="289" t="s">
        <v>423</v>
      </c>
    </row>
    <row r="62" spans="2:19">
      <c r="B62" s="238" t="s">
        <v>360</v>
      </c>
      <c r="C62" s="289">
        <v>45</v>
      </c>
      <c r="D62" s="290" t="s">
        <v>423</v>
      </c>
      <c r="H62" s="237"/>
      <c r="I62" s="237"/>
    </row>
    <row r="63" spans="2:19" ht="15.75" thickBot="1">
      <c r="B63" s="82" t="s">
        <v>361</v>
      </c>
      <c r="C63" s="291">
        <v>5</v>
      </c>
      <c r="D63" s="292">
        <v>5</v>
      </c>
      <c r="H63" s="237"/>
      <c r="I63" s="237"/>
    </row>
    <row r="65" spans="2:18" ht="15.75" thickBot="1">
      <c r="L65" s="320"/>
    </row>
    <row r="66" spans="2:18" ht="19.5" thickBot="1">
      <c r="B66" s="83" t="s">
        <v>262</v>
      </c>
      <c r="C66" s="84"/>
      <c r="D66" s="84"/>
      <c r="E66" s="84"/>
      <c r="F66" s="84"/>
      <c r="G66" s="84"/>
      <c r="H66" s="261" t="s">
        <v>301</v>
      </c>
      <c r="I66" s="84"/>
      <c r="J66" s="85"/>
      <c r="K66" s="85"/>
      <c r="L66" s="321"/>
      <c r="M66" s="322"/>
      <c r="N66" s="86"/>
      <c r="O66" s="86"/>
      <c r="P66" s="65"/>
      <c r="Q66" s="65"/>
      <c r="R66" s="65"/>
    </row>
    <row r="67" spans="2:18" ht="18.75">
      <c r="B67" s="87"/>
      <c r="C67" s="86"/>
      <c r="D67" s="86"/>
      <c r="E67" s="86"/>
      <c r="F67" s="86"/>
      <c r="G67" s="86"/>
      <c r="H67" s="86"/>
      <c r="I67" s="86"/>
      <c r="J67" s="86"/>
      <c r="K67" s="88"/>
      <c r="L67" s="88"/>
      <c r="M67" s="86"/>
      <c r="N67" s="86"/>
      <c r="O67" s="86"/>
      <c r="P67" s="65"/>
      <c r="Q67" s="65"/>
      <c r="R67" s="65"/>
    </row>
    <row r="68" spans="2:18" ht="18.75" hidden="1">
      <c r="B68" s="87" t="s">
        <v>377</v>
      </c>
      <c r="C68" s="86"/>
      <c r="D68" s="86"/>
      <c r="E68" s="86"/>
      <c r="F68" s="86"/>
      <c r="G68" s="86"/>
      <c r="H68" s="86"/>
      <c r="I68" s="86"/>
      <c r="J68" s="86"/>
      <c r="K68" s="88"/>
      <c r="L68" s="88"/>
      <c r="M68" s="86"/>
      <c r="N68" s="86"/>
      <c r="O68" s="86"/>
      <c r="P68" s="65"/>
      <c r="Q68" s="65"/>
      <c r="R68" s="65"/>
    </row>
    <row r="69" spans="2:18" hidden="1">
      <c r="C69" s="21"/>
      <c r="D69" s="21"/>
      <c r="E69" s="21"/>
      <c r="F69" s="21"/>
      <c r="G69" s="21"/>
      <c r="I69" s="21"/>
    </row>
    <row r="70" spans="2:18" ht="30" hidden="1">
      <c r="B70" s="611"/>
      <c r="C70" s="612"/>
      <c r="D70" s="90" t="s">
        <v>117</v>
      </c>
      <c r="E70" s="91" t="s">
        <v>294</v>
      </c>
      <c r="F70" s="91" t="s">
        <v>118</v>
      </c>
      <c r="G70" s="92" t="s">
        <v>58</v>
      </c>
      <c r="H70" s="248"/>
      <c r="I70" s="249"/>
    </row>
    <row r="71" spans="2:18" hidden="1">
      <c r="B71" s="662" t="s">
        <v>425</v>
      </c>
      <c r="C71" s="663"/>
      <c r="D71" s="204"/>
      <c r="E71" s="204"/>
      <c r="F71" s="204"/>
      <c r="G71" s="93">
        <f>SUM(D71:F71)</f>
        <v>0</v>
      </c>
      <c r="H71" s="231"/>
      <c r="I71" s="247"/>
      <c r="J71" s="247"/>
    </row>
    <row r="72" spans="2:18" ht="15.75" hidden="1" thickBot="1">
      <c r="B72" s="604"/>
      <c r="C72" s="605"/>
      <c r="D72" s="205"/>
      <c r="E72" s="205"/>
      <c r="F72" s="205"/>
      <c r="G72" s="94"/>
      <c r="H72" s="231"/>
    </row>
    <row r="75" spans="2:18" ht="18.75">
      <c r="B75" s="87" t="s">
        <v>378</v>
      </c>
    </row>
    <row r="76" spans="2:18" ht="15.75" thickBot="1"/>
    <row r="77" spans="2:18">
      <c r="B77" s="95"/>
      <c r="C77" s="89" t="s">
        <v>63</v>
      </c>
      <c r="D77" s="89" t="s">
        <v>81</v>
      </c>
      <c r="E77" s="96" t="s">
        <v>64</v>
      </c>
      <c r="I77" s="249"/>
    </row>
    <row r="78" spans="2:18" ht="15.75" thickBot="1">
      <c r="B78" s="372" t="s">
        <v>309</v>
      </c>
      <c r="C78" s="283">
        <v>17</v>
      </c>
      <c r="D78" s="283">
        <v>17</v>
      </c>
      <c r="E78" s="284">
        <f>+C78-D78</f>
        <v>0</v>
      </c>
      <c r="F78" s="212"/>
      <c r="G78" s="220"/>
      <c r="I78" s="247"/>
    </row>
    <row r="80" spans="2:18" ht="18.75">
      <c r="B80" s="87" t="s">
        <v>435</v>
      </c>
    </row>
    <row r="81" spans="2:16" ht="15.75" thickBot="1">
      <c r="H81" s="393"/>
      <c r="I81" s="393"/>
      <c r="J81" s="393"/>
      <c r="K81" s="393"/>
      <c r="L81" s="393"/>
      <c r="M81" s="393"/>
      <c r="N81" s="393"/>
      <c r="O81" s="393"/>
      <c r="P81" s="393"/>
    </row>
    <row r="82" spans="2:16" ht="30">
      <c r="B82" s="95"/>
      <c r="C82" s="89" t="s">
        <v>289</v>
      </c>
      <c r="D82" s="89" t="s">
        <v>67</v>
      </c>
      <c r="E82" s="89" t="s">
        <v>82</v>
      </c>
      <c r="F82" s="89" t="s">
        <v>68</v>
      </c>
      <c r="G82" s="116" t="s">
        <v>119</v>
      </c>
      <c r="H82" s="394"/>
      <c r="I82" s="395"/>
      <c r="J82" s="396"/>
      <c r="K82" s="396"/>
      <c r="L82" s="396"/>
      <c r="M82" s="396"/>
      <c r="N82" s="396"/>
      <c r="O82" s="396"/>
      <c r="P82" s="396"/>
    </row>
    <row r="83" spans="2:16" ht="15.75" thickBot="1">
      <c r="B83" s="372" t="s">
        <v>436</v>
      </c>
      <c r="C83" s="283">
        <v>9</v>
      </c>
      <c r="D83" s="283">
        <v>9</v>
      </c>
      <c r="E83" s="283">
        <v>9</v>
      </c>
      <c r="F83" s="283">
        <v>9</v>
      </c>
      <c r="G83" s="285">
        <v>9</v>
      </c>
      <c r="H83" s="397"/>
      <c r="I83" s="398"/>
      <c r="J83" s="396"/>
      <c r="K83" s="396"/>
      <c r="L83" s="396"/>
      <c r="M83" s="396"/>
      <c r="N83" s="396"/>
      <c r="O83" s="396"/>
      <c r="P83" s="396"/>
    </row>
    <row r="85" spans="2:16" ht="18.75">
      <c r="B85" s="87" t="s">
        <v>379</v>
      </c>
    </row>
    <row r="86" spans="2:16" ht="15.75" thickBot="1"/>
    <row r="87" spans="2:16">
      <c r="B87" s="95"/>
      <c r="C87" s="97" t="s">
        <v>65</v>
      </c>
      <c r="D87" s="97" t="s">
        <v>66</v>
      </c>
      <c r="E87" s="98" t="s">
        <v>286</v>
      </c>
    </row>
    <row r="88" spans="2:16">
      <c r="B88" s="373" t="s">
        <v>383</v>
      </c>
      <c r="C88" s="204">
        <v>11</v>
      </c>
      <c r="D88" s="206">
        <v>11</v>
      </c>
      <c r="E88" s="250">
        <f>C88-D88</f>
        <v>0</v>
      </c>
    </row>
    <row r="89" spans="2:16" ht="15.75" thickBot="1">
      <c r="B89" s="374" t="s">
        <v>384</v>
      </c>
      <c r="C89" s="380">
        <v>27</v>
      </c>
      <c r="D89" s="381">
        <v>27</v>
      </c>
      <c r="E89" s="382">
        <f>C89-D89</f>
        <v>0</v>
      </c>
    </row>
    <row r="91" spans="2:16" ht="18.75">
      <c r="B91" s="87" t="s">
        <v>385</v>
      </c>
    </row>
    <row r="92" spans="2:16" ht="15.75" thickBot="1"/>
    <row r="93" spans="2:16">
      <c r="B93" s="170"/>
      <c r="C93" s="295" t="s">
        <v>105</v>
      </c>
      <c r="D93" s="295" t="s">
        <v>106</v>
      </c>
      <c r="E93" s="295" t="s">
        <v>107</v>
      </c>
      <c r="F93" s="295" t="s">
        <v>108</v>
      </c>
      <c r="G93" s="295" t="s">
        <v>120</v>
      </c>
      <c r="H93" s="295" t="s">
        <v>121</v>
      </c>
      <c r="I93" s="295" t="s">
        <v>122</v>
      </c>
      <c r="J93" s="295" t="s">
        <v>123</v>
      </c>
      <c r="K93" s="295" t="s">
        <v>124</v>
      </c>
      <c r="L93" s="295" t="s">
        <v>125</v>
      </c>
      <c r="M93" s="295" t="s">
        <v>126</v>
      </c>
      <c r="N93" s="426" t="s">
        <v>285</v>
      </c>
      <c r="O93" s="296" t="s">
        <v>437</v>
      </c>
      <c r="P93" s="296" t="s">
        <v>438</v>
      </c>
    </row>
    <row r="94" spans="2:16" ht="15" customHeight="1">
      <c r="B94" s="297" t="s">
        <v>364</v>
      </c>
      <c r="C94" s="476">
        <v>556266.48976125801</v>
      </c>
      <c r="D94" s="476">
        <v>1048005.5488463492</v>
      </c>
      <c r="E94" s="476">
        <v>365520.00134000002</v>
      </c>
      <c r="F94" s="476">
        <v>155321.99999801253</v>
      </c>
      <c r="G94" s="476">
        <v>442923.89678350801</v>
      </c>
      <c r="H94" s="476">
        <v>1053500.6038364919</v>
      </c>
      <c r="I94" s="476">
        <v>0</v>
      </c>
      <c r="J94" s="476">
        <v>104489.99937999999</v>
      </c>
      <c r="K94" s="476">
        <v>603972.39934060979</v>
      </c>
      <c r="L94" s="476">
        <v>1076646.6977959303</v>
      </c>
      <c r="M94" s="476">
        <v>0</v>
      </c>
      <c r="N94" s="477">
        <v>0</v>
      </c>
      <c r="O94" s="351"/>
      <c r="P94" s="351"/>
    </row>
    <row r="95" spans="2:16" ht="15" customHeight="1">
      <c r="B95" s="297" t="s">
        <v>362</v>
      </c>
      <c r="C95" s="286">
        <v>404676.87398381502</v>
      </c>
      <c r="D95" s="286"/>
      <c r="E95" s="286"/>
      <c r="F95" s="286"/>
      <c r="G95" s="286"/>
      <c r="H95" s="286"/>
      <c r="I95" s="286"/>
      <c r="J95" s="420"/>
      <c r="K95" s="420"/>
      <c r="L95" s="286"/>
      <c r="M95" s="286"/>
      <c r="N95" s="351"/>
      <c r="O95" s="351"/>
      <c r="P95" s="351"/>
    </row>
    <row r="96" spans="2:16" ht="15" customHeight="1">
      <c r="B96" s="297" t="s">
        <v>310</v>
      </c>
      <c r="C96" s="286">
        <v>639159.84431613656</v>
      </c>
      <c r="D96" s="286"/>
      <c r="E96" s="286"/>
      <c r="F96" s="286"/>
      <c r="G96" s="286"/>
      <c r="H96" s="286"/>
      <c r="I96" s="286"/>
      <c r="J96" s="286"/>
      <c r="K96" s="286"/>
      <c r="L96" s="286"/>
      <c r="M96" s="286"/>
      <c r="N96" s="351"/>
      <c r="O96" s="351"/>
      <c r="P96" s="351"/>
    </row>
    <row r="97" spans="2:16" ht="15" customHeight="1">
      <c r="B97" s="252" t="s">
        <v>404</v>
      </c>
      <c r="C97" s="287"/>
      <c r="D97" s="287"/>
      <c r="E97" s="287"/>
      <c r="F97" s="287"/>
      <c r="G97" s="287"/>
      <c r="H97" s="287"/>
      <c r="I97" s="287"/>
      <c r="J97" s="287"/>
      <c r="K97" s="287"/>
      <c r="L97" s="287"/>
      <c r="M97" s="287"/>
      <c r="N97" s="287"/>
      <c r="O97" s="287"/>
      <c r="P97" s="287"/>
    </row>
    <row r="98" spans="2:16" ht="15" customHeight="1">
      <c r="B98" s="252" t="s">
        <v>5</v>
      </c>
      <c r="C98" s="287"/>
      <c r="D98" s="287"/>
      <c r="E98" s="287"/>
      <c r="F98" s="287"/>
      <c r="G98" s="287"/>
      <c r="H98" s="287"/>
      <c r="I98" s="287"/>
      <c r="J98" s="287"/>
      <c r="K98" s="287"/>
      <c r="L98" s="287"/>
      <c r="M98" s="287"/>
      <c r="N98" s="287"/>
      <c r="O98" s="287"/>
      <c r="P98" s="287"/>
    </row>
    <row r="99" spans="2:16" ht="15.75" thickBot="1">
      <c r="B99" s="348" t="s">
        <v>6</v>
      </c>
      <c r="C99" s="349"/>
      <c r="D99" s="350"/>
      <c r="E99" s="350"/>
      <c r="F99" s="350"/>
      <c r="G99" s="350"/>
      <c r="H99" s="350"/>
      <c r="I99" s="350"/>
      <c r="J99" s="350"/>
      <c r="K99" s="350"/>
      <c r="L99" s="350"/>
      <c r="M99" s="350"/>
      <c r="N99" s="350"/>
      <c r="O99" s="449"/>
      <c r="P99" s="350"/>
    </row>
    <row r="100" spans="2:16">
      <c r="J100" s="99"/>
      <c r="K100" s="100"/>
      <c r="M100" s="101"/>
      <c r="N100" s="101"/>
      <c r="O100" s="101"/>
    </row>
    <row r="101" spans="2:16">
      <c r="B101" t="s">
        <v>398</v>
      </c>
      <c r="J101" s="99"/>
      <c r="K101" s="100"/>
      <c r="M101" s="101"/>
      <c r="N101" s="101"/>
      <c r="O101" s="101"/>
    </row>
    <row r="102" spans="2:16">
      <c r="J102" s="99"/>
      <c r="K102" s="101"/>
      <c r="M102" s="101"/>
      <c r="N102" s="101"/>
      <c r="O102" s="101"/>
    </row>
    <row r="104" spans="2:16" ht="18.75">
      <c r="B104" s="87" t="s">
        <v>380</v>
      </c>
    </row>
    <row r="105" spans="2:16" ht="15.75" thickBot="1"/>
    <row r="106" spans="2:16" ht="90.75" customHeight="1">
      <c r="B106" s="253" t="s">
        <v>32</v>
      </c>
      <c r="C106" s="254" t="s">
        <v>79</v>
      </c>
      <c r="D106" s="256" t="s">
        <v>410</v>
      </c>
      <c r="E106" s="256" t="s">
        <v>333</v>
      </c>
      <c r="F106" s="255" t="s">
        <v>334</v>
      </c>
      <c r="G106" s="255" t="s">
        <v>335</v>
      </c>
      <c r="H106" s="256" t="s">
        <v>336</v>
      </c>
      <c r="I106" s="256" t="s">
        <v>337</v>
      </c>
      <c r="J106" s="256" t="s">
        <v>338</v>
      </c>
      <c r="K106" s="257" t="s">
        <v>339</v>
      </c>
    </row>
    <row r="107" spans="2:16">
      <c r="B107" s="457" t="s">
        <v>27</v>
      </c>
      <c r="C107" s="421" t="s">
        <v>431</v>
      </c>
      <c r="D107" s="421">
        <v>1</v>
      </c>
      <c r="E107" s="354">
        <f t="shared" ref="E107:E114" si="3">IF(ISBLANK(D107),"",D107*30)</f>
        <v>30</v>
      </c>
      <c r="F107" s="422">
        <v>3466</v>
      </c>
      <c r="G107" s="354">
        <f>E107*F107</f>
        <v>103980</v>
      </c>
      <c r="H107" s="423">
        <v>949170</v>
      </c>
      <c r="I107" s="391">
        <f t="shared" ref="I107:I114" si="4">IF(AND(G107&gt;0,H107&gt;0),H107/G107,"")</f>
        <v>9.1283900750144262</v>
      </c>
      <c r="J107" s="423">
        <v>3</v>
      </c>
      <c r="K107" s="425">
        <f>I107-J107</f>
        <v>6.1283900750144262</v>
      </c>
      <c r="L107" s="388"/>
    </row>
    <row r="108" spans="2:16">
      <c r="B108" s="458" t="s">
        <v>27</v>
      </c>
      <c r="C108" s="421" t="s">
        <v>409</v>
      </c>
      <c r="D108" s="421">
        <v>0.43</v>
      </c>
      <c r="E108" s="354">
        <f t="shared" si="3"/>
        <v>12.9</v>
      </c>
      <c r="F108" s="422">
        <v>8000</v>
      </c>
      <c r="G108" s="354">
        <f t="shared" ref="G108:G110" si="5">E108*F108</f>
        <v>103200</v>
      </c>
      <c r="H108" s="423">
        <v>1159204</v>
      </c>
      <c r="I108" s="391">
        <f t="shared" si="4"/>
        <v>11.232596899224806</v>
      </c>
      <c r="J108" s="423">
        <v>3</v>
      </c>
      <c r="K108" s="417">
        <f t="shared" ref="K108:K113" si="6">IF(AND(I108&gt;0,J108&gt;0),I108-J108,"")</f>
        <v>8.2325968992248058</v>
      </c>
      <c r="L108" s="388"/>
    </row>
    <row r="109" spans="2:16">
      <c r="B109" s="458" t="s">
        <v>27</v>
      </c>
      <c r="C109" s="421" t="s">
        <v>432</v>
      </c>
      <c r="D109" s="421">
        <f>7/30</f>
        <v>0.23333333333333334</v>
      </c>
      <c r="E109" s="354">
        <v>18</v>
      </c>
      <c r="F109" s="423">
        <f>H122+H126+H130</f>
        <v>12637.5</v>
      </c>
      <c r="G109" s="354">
        <f t="shared" si="5"/>
        <v>227475</v>
      </c>
      <c r="H109" s="423">
        <v>736554</v>
      </c>
      <c r="I109" s="391">
        <f>IF(AND(G109&gt;0,H109&gt;0),H109/G109,"")</f>
        <v>3.2379558193208045</v>
      </c>
      <c r="J109" s="423">
        <v>3</v>
      </c>
      <c r="K109" s="417">
        <f t="shared" si="6"/>
        <v>0.23795581932080445</v>
      </c>
      <c r="L109" s="388"/>
    </row>
    <row r="110" spans="2:16" ht="15.75" thickBot="1">
      <c r="B110" s="458" t="s">
        <v>27</v>
      </c>
      <c r="C110" s="421" t="s">
        <v>433</v>
      </c>
      <c r="D110" s="421">
        <v>0.23</v>
      </c>
      <c r="E110" s="353">
        <f t="shared" si="3"/>
        <v>6.9</v>
      </c>
      <c r="F110" s="423">
        <v>4277</v>
      </c>
      <c r="G110" s="354">
        <f t="shared" si="5"/>
        <v>29511.300000000003</v>
      </c>
      <c r="H110" s="424">
        <v>297932</v>
      </c>
      <c r="I110" s="392">
        <f>IF(AND(G110&gt;0,H110&gt;0),H110/G110,"")</f>
        <v>10.095522731970464</v>
      </c>
      <c r="J110" s="423">
        <v>3</v>
      </c>
      <c r="K110" s="418">
        <f t="shared" si="6"/>
        <v>7.0955227319704637</v>
      </c>
      <c r="L110" s="388"/>
    </row>
    <row r="111" spans="2:16">
      <c r="B111" s="458" t="s">
        <v>34</v>
      </c>
      <c r="C111" s="461" t="s">
        <v>455</v>
      </c>
      <c r="D111" s="462">
        <v>3</v>
      </c>
      <c r="E111" s="354">
        <f t="shared" si="3"/>
        <v>90</v>
      </c>
      <c r="F111" s="470">
        <v>94.829629629629622</v>
      </c>
      <c r="G111" s="354">
        <f>IF(AND(E111&gt;0,F111&gt;0),(F111*E111),"")</f>
        <v>8534.6666666666661</v>
      </c>
      <c r="H111" s="469">
        <v>322392</v>
      </c>
      <c r="I111" s="391">
        <f t="shared" si="4"/>
        <v>37.774410248398688</v>
      </c>
      <c r="J111" s="463">
        <v>3</v>
      </c>
      <c r="K111" s="425">
        <f t="shared" si="6"/>
        <v>34.774410248398688</v>
      </c>
    </row>
    <row r="112" spans="2:16">
      <c r="B112" s="458" t="s">
        <v>34</v>
      </c>
      <c r="C112" s="461" t="s">
        <v>456</v>
      </c>
      <c r="D112" s="462">
        <v>1</v>
      </c>
      <c r="E112" s="354">
        <f t="shared" si="3"/>
        <v>30</v>
      </c>
      <c r="F112" s="470">
        <v>14.81111111111111</v>
      </c>
      <c r="G112" s="354">
        <f>IF(AND(E112&gt;0,F112&gt;0),(F112*E112),"")</f>
        <v>444.33333333333331</v>
      </c>
      <c r="H112" s="469">
        <v>4000</v>
      </c>
      <c r="I112" s="391">
        <f t="shared" si="4"/>
        <v>9.0022505626406613</v>
      </c>
      <c r="J112" s="463">
        <v>3</v>
      </c>
      <c r="K112" s="425">
        <f t="shared" si="6"/>
        <v>6.0022505626406613</v>
      </c>
      <c r="L112" s="388"/>
    </row>
    <row r="113" spans="1:20">
      <c r="B113" s="458" t="s">
        <v>34</v>
      </c>
      <c r="C113" s="461" t="s">
        <v>457</v>
      </c>
      <c r="D113" s="462">
        <v>1</v>
      </c>
      <c r="E113" s="354">
        <f t="shared" si="3"/>
        <v>30</v>
      </c>
      <c r="F113" s="470">
        <v>111.46666666666667</v>
      </c>
      <c r="G113" s="354">
        <f>IF(AND(E113&gt;0,F113&gt;0),(F113*E113),"")</f>
        <v>3344</v>
      </c>
      <c r="H113" s="469">
        <v>95175</v>
      </c>
      <c r="I113" s="391">
        <f t="shared" si="4"/>
        <v>28.461423444976077</v>
      </c>
      <c r="J113" s="463">
        <v>3</v>
      </c>
      <c r="K113" s="425">
        <f t="shared" si="6"/>
        <v>25.461423444976077</v>
      </c>
    </row>
    <row r="114" spans="1:20" ht="15.75" thickBot="1">
      <c r="B114" s="459" t="s">
        <v>34</v>
      </c>
      <c r="C114" s="461" t="s">
        <v>458</v>
      </c>
      <c r="D114" s="462">
        <v>1</v>
      </c>
      <c r="E114" s="354">
        <f t="shared" si="3"/>
        <v>30</v>
      </c>
      <c r="F114" s="470">
        <v>148.16666666666666</v>
      </c>
      <c r="G114" s="353">
        <f>IF(AND(E114&gt;0,F114&gt;0),(F114*E114),"")</f>
        <v>4445</v>
      </c>
      <c r="H114" s="469">
        <v>89412</v>
      </c>
      <c r="I114" s="391">
        <f t="shared" si="4"/>
        <v>20.115185601799777</v>
      </c>
      <c r="J114" s="463">
        <v>3</v>
      </c>
      <c r="K114" s="898">
        <f>IF(AND(I114&gt;0,J114&gt;0),I114-J114,"")</f>
        <v>17.115185601799777</v>
      </c>
    </row>
    <row r="115" spans="1:20" ht="15.75" thickBot="1">
      <c r="G115" s="163"/>
      <c r="H115" s="393"/>
      <c r="J115" s="86"/>
      <c r="K115" s="86"/>
    </row>
    <row r="116" spans="1:20" ht="19.5" thickBot="1">
      <c r="B116" s="189" t="s">
        <v>386</v>
      </c>
      <c r="C116" s="102"/>
      <c r="D116" s="102"/>
      <c r="E116" s="103"/>
      <c r="F116" s="103"/>
      <c r="G116" s="103"/>
      <c r="H116" s="103"/>
      <c r="I116" s="190"/>
      <c r="J116" s="269"/>
      <c r="K116" s="270" t="s">
        <v>367</v>
      </c>
      <c r="L116" s="103"/>
      <c r="M116" s="269"/>
      <c r="N116" s="269"/>
      <c r="O116" s="269"/>
      <c r="P116" s="269"/>
      <c r="Q116" s="269"/>
      <c r="R116" s="319"/>
    </row>
    <row r="117" spans="1:20" ht="15.75" thickBot="1"/>
    <row r="118" spans="1:20" ht="21.75" customHeight="1">
      <c r="B118" s="608" t="s">
        <v>392</v>
      </c>
      <c r="C118" s="609"/>
      <c r="D118" s="610"/>
      <c r="E118" s="260" t="s">
        <v>324</v>
      </c>
      <c r="F118" s="225" t="s">
        <v>341</v>
      </c>
      <c r="G118" s="193"/>
      <c r="H118" s="310" t="s">
        <v>105</v>
      </c>
      <c r="I118" s="310" t="s">
        <v>106</v>
      </c>
      <c r="J118" s="310" t="s">
        <v>107</v>
      </c>
      <c r="K118" s="310" t="s">
        <v>108</v>
      </c>
      <c r="L118" s="310" t="s">
        <v>120</v>
      </c>
      <c r="M118" s="310" t="s">
        <v>121</v>
      </c>
      <c r="N118" s="310" t="s">
        <v>122</v>
      </c>
      <c r="O118" s="310" t="s">
        <v>123</v>
      </c>
      <c r="P118" s="310" t="s">
        <v>124</v>
      </c>
      <c r="Q118" s="310" t="s">
        <v>125</v>
      </c>
      <c r="R118" s="310" t="s">
        <v>126</v>
      </c>
      <c r="S118" s="310" t="s">
        <v>285</v>
      </c>
      <c r="T118" s="3"/>
    </row>
    <row r="119" spans="1:20" ht="21.75" customHeight="1">
      <c r="B119" s="365"/>
      <c r="C119" s="366"/>
      <c r="D119" s="366"/>
      <c r="E119" s="367"/>
      <c r="F119" s="368"/>
      <c r="G119" s="369"/>
      <c r="H119" s="370"/>
      <c r="I119" s="370"/>
      <c r="J119" s="370"/>
      <c r="K119" s="370"/>
      <c r="L119" s="370"/>
      <c r="M119" s="370"/>
      <c r="N119" s="370"/>
      <c r="O119" s="370"/>
      <c r="P119" s="370"/>
      <c r="Q119" s="370"/>
      <c r="R119" s="370"/>
      <c r="S119" s="370"/>
      <c r="T119" s="3"/>
    </row>
    <row r="120" spans="1:20" ht="15" customHeight="1">
      <c r="A120" s="583" t="s">
        <v>460</v>
      </c>
      <c r="B120" s="588" t="s">
        <v>415</v>
      </c>
      <c r="C120" s="589"/>
      <c r="D120" s="590"/>
      <c r="E120" s="606" t="s">
        <v>445</v>
      </c>
      <c r="F120" s="659" t="s">
        <v>114</v>
      </c>
      <c r="G120" s="194" t="s">
        <v>85</v>
      </c>
      <c r="H120" s="357">
        <f>K120/4</f>
        <v>8793.75</v>
      </c>
      <c r="I120" s="378">
        <f>K120/2</f>
        <v>17587.5</v>
      </c>
      <c r="J120" s="378">
        <f>K120/4*3</f>
        <v>26381.25</v>
      </c>
      <c r="K120" s="412">
        <v>35175</v>
      </c>
      <c r="L120" s="412"/>
      <c r="M120" s="412"/>
      <c r="N120" s="412"/>
      <c r="O120" s="412"/>
      <c r="P120" s="386"/>
      <c r="Q120" s="386"/>
      <c r="R120" s="386"/>
      <c r="S120" s="386"/>
      <c r="T120" s="3"/>
    </row>
    <row r="121" spans="1:20" ht="15" customHeight="1">
      <c r="A121" s="583"/>
      <c r="B121" s="591"/>
      <c r="C121" s="592"/>
      <c r="D121" s="593"/>
      <c r="E121" s="607"/>
      <c r="F121" s="659"/>
      <c r="G121" s="194" t="s">
        <v>86</v>
      </c>
      <c r="H121" s="361">
        <v>10262</v>
      </c>
      <c r="I121" s="400"/>
      <c r="J121" s="106"/>
      <c r="K121" s="221"/>
      <c r="L121" s="221"/>
      <c r="M121" s="106"/>
      <c r="N121" s="106"/>
      <c r="O121" s="106"/>
      <c r="P121" s="106"/>
      <c r="Q121" s="221"/>
      <c r="R121" s="221"/>
      <c r="S121" s="106"/>
      <c r="T121" s="3"/>
    </row>
    <row r="122" spans="1:20" ht="15" customHeight="1">
      <c r="A122" s="583"/>
      <c r="B122" s="599" t="s">
        <v>416</v>
      </c>
      <c r="C122" s="600"/>
      <c r="D122" s="601"/>
      <c r="E122" s="615" t="s">
        <v>417</v>
      </c>
      <c r="F122" s="613" t="s">
        <v>114</v>
      </c>
      <c r="G122" s="340" t="s">
        <v>85</v>
      </c>
      <c r="H122" s="357">
        <f>K122/4</f>
        <v>2312.5</v>
      </c>
      <c r="I122" s="378">
        <f>K122/2</f>
        <v>4625</v>
      </c>
      <c r="J122" s="378">
        <f>K122/4*3</f>
        <v>6937.5</v>
      </c>
      <c r="K122" s="357">
        <v>9250</v>
      </c>
      <c r="L122" s="413"/>
      <c r="M122" s="413"/>
      <c r="N122" s="413"/>
      <c r="O122" s="401"/>
      <c r="P122" s="401"/>
      <c r="Q122" s="389"/>
      <c r="R122" s="389"/>
      <c r="S122" s="378"/>
      <c r="T122" s="3"/>
    </row>
    <row r="123" spans="1:20" ht="15" customHeight="1">
      <c r="A123" s="583"/>
      <c r="B123" s="602"/>
      <c r="C123" s="600"/>
      <c r="D123" s="601"/>
      <c r="E123" s="616"/>
      <c r="F123" s="614"/>
      <c r="G123" s="340" t="s">
        <v>86</v>
      </c>
      <c r="H123" s="361">
        <v>2575</v>
      </c>
      <c r="I123" s="361"/>
      <c r="J123" s="361"/>
      <c r="K123" s="361"/>
      <c r="L123" s="361"/>
      <c r="M123" s="361"/>
      <c r="N123" s="361"/>
      <c r="O123" s="361"/>
      <c r="P123" s="361"/>
      <c r="Q123" s="361"/>
      <c r="R123" s="361"/>
      <c r="S123" s="361"/>
      <c r="T123" s="3"/>
    </row>
    <row r="124" spans="1:20" ht="15" customHeight="1">
      <c r="A124" s="583"/>
      <c r="B124" s="603" t="s">
        <v>447</v>
      </c>
      <c r="C124" s="592"/>
      <c r="D124" s="593"/>
      <c r="E124" s="606" t="s">
        <v>422</v>
      </c>
      <c r="F124" s="597" t="s">
        <v>114</v>
      </c>
      <c r="G124" s="194" t="s">
        <v>85</v>
      </c>
      <c r="H124" s="357">
        <v>5040</v>
      </c>
      <c r="I124" s="378">
        <v>5460</v>
      </c>
      <c r="J124" s="378">
        <v>5880</v>
      </c>
      <c r="K124" s="221">
        <v>6720</v>
      </c>
      <c r="L124" s="221"/>
      <c r="M124" s="221"/>
      <c r="N124" s="221"/>
      <c r="O124" s="221"/>
      <c r="P124" s="386"/>
      <c r="Q124" s="386"/>
      <c r="R124" s="386"/>
      <c r="S124" s="386"/>
      <c r="T124" s="3"/>
    </row>
    <row r="125" spans="1:20" ht="15" customHeight="1">
      <c r="A125" s="583"/>
      <c r="B125" s="591"/>
      <c r="C125" s="592"/>
      <c r="D125" s="593"/>
      <c r="E125" s="607"/>
      <c r="F125" s="598"/>
      <c r="G125" s="194" t="s">
        <v>86</v>
      </c>
      <c r="H125" s="361">
        <v>6133</v>
      </c>
      <c r="I125" s="400"/>
      <c r="J125" s="106"/>
      <c r="K125" s="221"/>
      <c r="L125" s="221"/>
      <c r="M125" s="106"/>
      <c r="N125" s="106"/>
      <c r="O125" s="106"/>
      <c r="P125" s="106"/>
      <c r="Q125" s="221"/>
      <c r="R125" s="221"/>
      <c r="S125" s="106"/>
      <c r="T125" s="3"/>
    </row>
    <row r="126" spans="1:20" ht="15" customHeight="1">
      <c r="B126" s="653" t="s">
        <v>413</v>
      </c>
      <c r="C126" s="654"/>
      <c r="D126" s="655"/>
      <c r="E126" s="615" t="s">
        <v>414</v>
      </c>
      <c r="F126" s="652" t="s">
        <v>114</v>
      </c>
      <c r="G126" s="340" t="s">
        <v>85</v>
      </c>
      <c r="H126" s="357">
        <f>K126/4</f>
        <v>9187.5</v>
      </c>
      <c r="I126" s="378">
        <f>K126/2</f>
        <v>18375</v>
      </c>
      <c r="J126" s="378">
        <f>K126/4*3</f>
        <v>27562.5</v>
      </c>
      <c r="K126" s="413">
        <v>36750</v>
      </c>
      <c r="L126" s="413"/>
      <c r="M126" s="413"/>
      <c r="N126" s="413"/>
      <c r="O126" s="413"/>
      <c r="P126" s="389"/>
      <c r="Q126" s="389"/>
      <c r="R126" s="389"/>
      <c r="S126" s="389"/>
      <c r="T126" s="3"/>
    </row>
    <row r="127" spans="1:20" ht="15" customHeight="1">
      <c r="B127" s="656"/>
      <c r="C127" s="657"/>
      <c r="D127" s="658"/>
      <c r="E127" s="616"/>
      <c r="F127" s="614"/>
      <c r="G127" s="340" t="s">
        <v>86</v>
      </c>
      <c r="H127" s="364">
        <v>14659</v>
      </c>
      <c r="I127" s="364"/>
      <c r="J127" s="364"/>
      <c r="K127" s="364"/>
      <c r="L127" s="364"/>
      <c r="M127" s="364"/>
      <c r="N127" s="364"/>
      <c r="O127" s="364"/>
      <c r="P127" s="364"/>
      <c r="Q127" s="364"/>
      <c r="R127" s="364"/>
      <c r="S127" s="364"/>
      <c r="T127" s="3"/>
    </row>
    <row r="128" spans="1:20" ht="15" customHeight="1">
      <c r="B128" s="626" t="s">
        <v>418</v>
      </c>
      <c r="C128" s="627"/>
      <c r="D128" s="628"/>
      <c r="E128" s="606" t="s">
        <v>443</v>
      </c>
      <c r="F128" s="597" t="s">
        <v>114</v>
      </c>
      <c r="G128" s="341" t="s">
        <v>85</v>
      </c>
      <c r="H128" s="357">
        <f>K128/4</f>
        <v>1618.75</v>
      </c>
      <c r="I128" s="378">
        <f>K128/2</f>
        <v>3237.5</v>
      </c>
      <c r="J128" s="378">
        <f>K128/4*3</f>
        <v>4856.25</v>
      </c>
      <c r="K128" s="410">
        <v>6475</v>
      </c>
      <c r="L128" s="410"/>
      <c r="M128" s="410"/>
      <c r="N128" s="410"/>
      <c r="O128" s="410"/>
      <c r="P128" s="390"/>
      <c r="Q128" s="390"/>
      <c r="R128" s="390"/>
      <c r="S128" s="390"/>
      <c r="T128" s="3"/>
    </row>
    <row r="129" spans="1:20" ht="15" customHeight="1">
      <c r="B129" s="629"/>
      <c r="C129" s="630"/>
      <c r="D129" s="631"/>
      <c r="E129" s="607"/>
      <c r="F129" s="598"/>
      <c r="G129" s="341" t="s">
        <v>86</v>
      </c>
      <c r="H129" s="364">
        <v>2139</v>
      </c>
      <c r="I129" s="403"/>
      <c r="J129" s="379"/>
      <c r="K129" s="410"/>
      <c r="L129" s="410"/>
      <c r="M129" s="342"/>
      <c r="N129" s="342"/>
      <c r="O129" s="342"/>
      <c r="P129" s="342"/>
      <c r="Q129" s="343"/>
      <c r="R129" s="343"/>
      <c r="S129" s="342"/>
      <c r="T129" s="3"/>
    </row>
    <row r="130" spans="1:20" ht="15" customHeight="1">
      <c r="B130" s="653" t="s">
        <v>419</v>
      </c>
      <c r="C130" s="654"/>
      <c r="D130" s="655"/>
      <c r="E130" s="615" t="s">
        <v>420</v>
      </c>
      <c r="F130" s="652" t="s">
        <v>114</v>
      </c>
      <c r="G130" s="340" t="s">
        <v>85</v>
      </c>
      <c r="H130" s="357">
        <f>K130/4</f>
        <v>1137.5</v>
      </c>
      <c r="I130" s="378">
        <f>K130/2</f>
        <v>2275</v>
      </c>
      <c r="J130" s="378">
        <f>K130/4*3</f>
        <v>3412.5</v>
      </c>
      <c r="K130" s="410">
        <v>4550</v>
      </c>
      <c r="L130" s="410"/>
      <c r="M130" s="342"/>
      <c r="N130" s="342"/>
      <c r="O130" s="342"/>
      <c r="P130" s="342"/>
      <c r="Q130" s="343"/>
      <c r="R130" s="343"/>
      <c r="S130" s="342"/>
      <c r="T130" s="3"/>
    </row>
    <row r="131" spans="1:20" ht="15" customHeight="1">
      <c r="B131" s="656"/>
      <c r="C131" s="657"/>
      <c r="D131" s="658"/>
      <c r="E131" s="616"/>
      <c r="F131" s="614"/>
      <c r="G131" s="340" t="s">
        <v>86</v>
      </c>
      <c r="H131" s="363">
        <v>1418</v>
      </c>
      <c r="I131" s="403"/>
      <c r="J131" s="379"/>
      <c r="K131" s="410"/>
      <c r="L131" s="410"/>
      <c r="M131" s="342"/>
      <c r="N131" s="342"/>
      <c r="O131" s="342"/>
      <c r="P131" s="342"/>
      <c r="Q131" s="343"/>
      <c r="R131" s="343"/>
      <c r="S131" s="342"/>
      <c r="T131" s="3"/>
    </row>
    <row r="132" spans="1:20" ht="15" customHeight="1">
      <c r="B132" s="626" t="s">
        <v>421</v>
      </c>
      <c r="C132" s="627"/>
      <c r="D132" s="628"/>
      <c r="E132" s="606" t="s">
        <v>444</v>
      </c>
      <c r="F132" s="659" t="s">
        <v>114</v>
      </c>
      <c r="G132" s="341" t="s">
        <v>85</v>
      </c>
      <c r="H132" s="357">
        <f>K132/4</f>
        <v>650</v>
      </c>
      <c r="I132" s="378">
        <f>K132/2</f>
        <v>1300</v>
      </c>
      <c r="J132" s="378">
        <f>K132/4*3</f>
        <v>1950</v>
      </c>
      <c r="K132" s="410">
        <v>2600</v>
      </c>
      <c r="L132" s="410"/>
      <c r="M132" s="342"/>
      <c r="N132" s="342"/>
      <c r="O132" s="342"/>
      <c r="P132" s="342"/>
      <c r="Q132" s="343"/>
      <c r="R132" s="343"/>
      <c r="S132" s="342"/>
      <c r="T132" s="3"/>
    </row>
    <row r="133" spans="1:20" ht="15" customHeight="1">
      <c r="B133" s="629"/>
      <c r="C133" s="630"/>
      <c r="D133" s="631"/>
      <c r="E133" s="607"/>
      <c r="F133" s="659"/>
      <c r="G133" s="341" t="s">
        <v>86</v>
      </c>
      <c r="H133" s="364">
        <v>961</v>
      </c>
      <c r="I133" s="403"/>
      <c r="J133" s="379"/>
      <c r="K133" s="410"/>
      <c r="L133" s="410"/>
      <c r="M133" s="342"/>
      <c r="N133" s="342"/>
      <c r="O133" s="342"/>
      <c r="P133" s="342"/>
      <c r="Q133" s="343"/>
      <c r="R133" s="343"/>
      <c r="S133" s="342"/>
      <c r="T133" s="3"/>
    </row>
    <row r="134" spans="1:20" ht="15" customHeight="1">
      <c r="B134" s="653" t="s">
        <v>429</v>
      </c>
      <c r="C134" s="687"/>
      <c r="D134" s="688"/>
      <c r="E134" s="615" t="s">
        <v>430</v>
      </c>
      <c r="F134" s="677" t="s">
        <v>114</v>
      </c>
      <c r="G134" s="340" t="s">
        <v>85</v>
      </c>
      <c r="H134" s="357">
        <f>K134/4</f>
        <v>100</v>
      </c>
      <c r="I134" s="378">
        <f>K134/2</f>
        <v>200</v>
      </c>
      <c r="J134" s="378">
        <f>K134/4*3</f>
        <v>300</v>
      </c>
      <c r="K134" s="410">
        <v>400</v>
      </c>
      <c r="L134" s="410"/>
      <c r="M134" s="342"/>
      <c r="N134" s="342"/>
      <c r="O134" s="342"/>
      <c r="P134" s="342"/>
      <c r="Q134" s="343"/>
      <c r="R134" s="343"/>
      <c r="S134" s="342"/>
      <c r="T134" s="3"/>
    </row>
    <row r="135" spans="1:20" ht="15" customHeight="1">
      <c r="B135" s="689"/>
      <c r="C135" s="690"/>
      <c r="D135" s="691"/>
      <c r="E135" s="615"/>
      <c r="F135" s="677"/>
      <c r="G135" s="340" t="s">
        <v>86</v>
      </c>
      <c r="H135" s="402">
        <v>164</v>
      </c>
      <c r="I135" s="403"/>
      <c r="J135" s="379"/>
      <c r="K135" s="410"/>
      <c r="L135" s="410"/>
      <c r="M135" s="342"/>
      <c r="N135" s="342"/>
      <c r="O135" s="342"/>
      <c r="P135" s="342"/>
      <c r="Q135" s="343"/>
      <c r="R135" s="343"/>
      <c r="S135" s="342"/>
      <c r="T135" s="3"/>
    </row>
    <row r="136" spans="1:20" ht="15" customHeight="1">
      <c r="B136" s="653" t="s">
        <v>441</v>
      </c>
      <c r="C136" s="654"/>
      <c r="D136" s="655"/>
      <c r="E136" s="615" t="s">
        <v>442</v>
      </c>
      <c r="F136" s="677" t="s">
        <v>114</v>
      </c>
      <c r="G136" s="340" t="s">
        <v>85</v>
      </c>
      <c r="H136" s="357">
        <f>K136/4</f>
        <v>17.5</v>
      </c>
      <c r="I136" s="357">
        <f>K136/2</f>
        <v>35</v>
      </c>
      <c r="J136" s="378">
        <f>K136/4*3</f>
        <v>52.5</v>
      </c>
      <c r="K136" s="410">
        <v>70</v>
      </c>
      <c r="L136" s="410"/>
      <c r="M136" s="342"/>
      <c r="N136" s="342"/>
      <c r="O136" s="342"/>
      <c r="P136" s="342"/>
      <c r="Q136" s="343"/>
      <c r="R136" s="343"/>
      <c r="S136" s="342"/>
      <c r="T136" s="3"/>
    </row>
    <row r="137" spans="1:20" ht="15" customHeight="1">
      <c r="B137" s="656"/>
      <c r="C137" s="657"/>
      <c r="D137" s="658"/>
      <c r="E137" s="616"/>
      <c r="F137" s="677"/>
      <c r="G137" s="340" t="s">
        <v>86</v>
      </c>
      <c r="H137" s="364">
        <v>15</v>
      </c>
      <c r="I137" s="403"/>
      <c r="J137" s="379"/>
      <c r="K137" s="410"/>
      <c r="L137" s="410"/>
      <c r="M137" s="342"/>
      <c r="N137" s="342"/>
      <c r="O137" s="342"/>
      <c r="P137" s="342"/>
      <c r="Q137" s="343"/>
      <c r="R137" s="343"/>
      <c r="S137" s="342"/>
      <c r="T137" s="3"/>
    </row>
    <row r="138" spans="1:20" ht="15" customHeight="1">
      <c r="B138" s="653" t="s">
        <v>465</v>
      </c>
      <c r="C138" s="654"/>
      <c r="D138" s="655"/>
      <c r="E138" s="615" t="s">
        <v>446</v>
      </c>
      <c r="F138" s="677" t="s">
        <v>114</v>
      </c>
      <c r="G138" s="340" t="s">
        <v>85</v>
      </c>
      <c r="H138" s="357">
        <f>K138/4</f>
        <v>17.5</v>
      </c>
      <c r="I138" s="357">
        <f>K138/2</f>
        <v>35</v>
      </c>
      <c r="J138" s="378">
        <f>K138/4*3</f>
        <v>52.5</v>
      </c>
      <c r="K138" s="410">
        <v>70</v>
      </c>
      <c r="L138" s="410"/>
      <c r="M138" s="342"/>
      <c r="N138" s="342"/>
      <c r="O138" s="342"/>
      <c r="P138" s="342"/>
      <c r="Q138" s="343"/>
      <c r="R138" s="343"/>
      <c r="S138" s="342"/>
      <c r="T138" s="3"/>
    </row>
    <row r="139" spans="1:20" ht="15" customHeight="1">
      <c r="B139" s="656"/>
      <c r="C139" s="657"/>
      <c r="D139" s="658"/>
      <c r="E139" s="616"/>
      <c r="F139" s="677"/>
      <c r="G139" s="340" t="s">
        <v>86</v>
      </c>
      <c r="H139" s="364">
        <v>27</v>
      </c>
      <c r="I139" s="403"/>
      <c r="J139" s="379"/>
      <c r="K139" s="410"/>
      <c r="L139" s="410"/>
      <c r="M139" s="342"/>
      <c r="N139" s="342"/>
      <c r="O139" s="342"/>
      <c r="P139" s="342"/>
      <c r="Q139" s="343"/>
      <c r="R139" s="343"/>
      <c r="S139" s="342"/>
      <c r="T139" s="3"/>
    </row>
    <row r="140" spans="1:20" ht="15" customHeight="1">
      <c r="A140" s="692" t="s">
        <v>459</v>
      </c>
      <c r="B140" s="653" t="s">
        <v>448</v>
      </c>
      <c r="C140" s="654"/>
      <c r="D140" s="655"/>
      <c r="E140" s="615" t="s">
        <v>449</v>
      </c>
      <c r="F140" s="677" t="s">
        <v>114</v>
      </c>
      <c r="G140" s="340" t="s">
        <v>85</v>
      </c>
      <c r="H140" s="357">
        <v>55</v>
      </c>
      <c r="I140" s="357">
        <v>55</v>
      </c>
      <c r="J140" s="378">
        <v>55</v>
      </c>
      <c r="K140" s="413" t="s">
        <v>466</v>
      </c>
      <c r="L140" s="378">
        <v>51</v>
      </c>
      <c r="M140" s="378">
        <v>51</v>
      </c>
      <c r="N140" s="378">
        <v>51</v>
      </c>
      <c r="O140" s="378">
        <v>52</v>
      </c>
      <c r="P140" s="378">
        <v>48</v>
      </c>
      <c r="Q140" s="378">
        <v>48</v>
      </c>
      <c r="R140" s="378">
        <v>47</v>
      </c>
      <c r="S140" s="378">
        <v>47</v>
      </c>
      <c r="T140" s="3"/>
    </row>
    <row r="141" spans="1:20" ht="15" customHeight="1">
      <c r="A141" s="583"/>
      <c r="B141" s="656"/>
      <c r="C141" s="657"/>
      <c r="D141" s="658"/>
      <c r="E141" s="616"/>
      <c r="F141" s="677"/>
      <c r="G141" s="340" t="s">
        <v>86</v>
      </c>
      <c r="H141" s="364">
        <v>30</v>
      </c>
      <c r="I141" s="403"/>
      <c r="J141" s="379"/>
      <c r="K141" s="410"/>
      <c r="L141" s="410"/>
      <c r="M141" s="342"/>
      <c r="N141" s="342"/>
      <c r="O141" s="342"/>
      <c r="P141" s="342"/>
      <c r="Q141" s="343"/>
      <c r="R141" s="343"/>
      <c r="S141" s="342"/>
      <c r="T141" s="3"/>
    </row>
    <row r="142" spans="1:20" ht="15" customHeight="1">
      <c r="A142" s="583"/>
      <c r="B142" s="653" t="s">
        <v>450</v>
      </c>
      <c r="C142" s="654"/>
      <c r="D142" s="655"/>
      <c r="E142" s="615" t="s">
        <v>451</v>
      </c>
      <c r="F142" s="677" t="s">
        <v>114</v>
      </c>
      <c r="G142" s="340" t="s">
        <v>85</v>
      </c>
      <c r="H142" s="357">
        <v>60</v>
      </c>
      <c r="I142" s="357">
        <v>60</v>
      </c>
      <c r="J142" s="378">
        <v>59</v>
      </c>
      <c r="K142" s="411">
        <v>59</v>
      </c>
      <c r="L142" s="411">
        <v>56</v>
      </c>
      <c r="M142" s="411">
        <v>56</v>
      </c>
      <c r="N142" s="411">
        <v>55</v>
      </c>
      <c r="O142" s="411">
        <v>55</v>
      </c>
      <c r="P142" s="259">
        <v>51</v>
      </c>
      <c r="Q142" s="259">
        <v>51</v>
      </c>
      <c r="R142" s="259">
        <v>51</v>
      </c>
      <c r="S142" s="259">
        <v>52</v>
      </c>
      <c r="T142" s="3"/>
    </row>
    <row r="143" spans="1:20" ht="15" customHeight="1">
      <c r="A143" s="583"/>
      <c r="B143" s="656"/>
      <c r="C143" s="657"/>
      <c r="D143" s="658"/>
      <c r="E143" s="616"/>
      <c r="F143" s="677"/>
      <c r="G143" s="340" t="s">
        <v>86</v>
      </c>
      <c r="H143" s="364">
        <v>35</v>
      </c>
      <c r="I143" s="364"/>
      <c r="J143" s="364"/>
      <c r="K143" s="364"/>
      <c r="L143" s="364"/>
      <c r="M143" s="364"/>
      <c r="N143" s="364"/>
      <c r="O143" s="364"/>
      <c r="P143" s="364"/>
      <c r="Q143" s="364"/>
      <c r="R143" s="364"/>
      <c r="S143" s="364"/>
      <c r="T143" s="3"/>
    </row>
    <row r="144" spans="1:20" ht="15" customHeight="1">
      <c r="A144" s="583"/>
      <c r="B144" s="626" t="s">
        <v>452</v>
      </c>
      <c r="C144" s="627"/>
      <c r="D144" s="628"/>
      <c r="E144" s="606" t="s">
        <v>461</v>
      </c>
      <c r="F144" s="677" t="s">
        <v>114</v>
      </c>
      <c r="G144" s="341" t="s">
        <v>85</v>
      </c>
      <c r="H144" s="375">
        <v>0.95</v>
      </c>
      <c r="I144" s="453">
        <v>0.95</v>
      </c>
      <c r="J144" s="454">
        <v>0.95</v>
      </c>
      <c r="K144" s="452">
        <v>0.95</v>
      </c>
      <c r="L144" s="375">
        <v>0.95</v>
      </c>
      <c r="M144" s="453">
        <v>0.95</v>
      </c>
      <c r="N144" s="454">
        <v>0.95</v>
      </c>
      <c r="O144" s="452">
        <v>0.95</v>
      </c>
      <c r="P144" s="375">
        <v>0.95</v>
      </c>
      <c r="Q144" s="453">
        <v>0.95</v>
      </c>
      <c r="R144" s="454">
        <v>0.95</v>
      </c>
      <c r="S144" s="452">
        <v>0.95</v>
      </c>
      <c r="T144" s="3"/>
    </row>
    <row r="145" spans="1:20" ht="15" customHeight="1">
      <c r="A145" s="583"/>
      <c r="B145" s="629"/>
      <c r="C145" s="630"/>
      <c r="D145" s="631"/>
      <c r="E145" s="607"/>
      <c r="F145" s="677"/>
      <c r="G145" s="341" t="s">
        <v>86</v>
      </c>
      <c r="H145" s="375">
        <v>0.94</v>
      </c>
      <c r="I145" s="375"/>
      <c r="J145" s="375"/>
      <c r="K145" s="375"/>
      <c r="L145" s="375"/>
      <c r="M145" s="375"/>
      <c r="N145" s="375"/>
      <c r="O145" s="375"/>
      <c r="P145" s="375"/>
      <c r="Q145" s="375"/>
      <c r="R145" s="375"/>
      <c r="S145" s="375"/>
      <c r="T145" s="3"/>
    </row>
    <row r="146" spans="1:20" ht="15" hidden="1" customHeight="1">
      <c r="B146" s="632"/>
      <c r="C146" s="633"/>
      <c r="D146" s="634"/>
      <c r="E146" s="674"/>
      <c r="F146" s="675"/>
      <c r="G146" s="341" t="s">
        <v>85</v>
      </c>
      <c r="H146" s="376"/>
      <c r="I146" s="375"/>
      <c r="J146" s="342"/>
      <c r="K146" s="387"/>
      <c r="L146" s="342"/>
      <c r="M146" s="342"/>
      <c r="N146" s="342"/>
      <c r="O146" s="342"/>
      <c r="P146" s="342"/>
      <c r="Q146" s="342"/>
      <c r="R146" s="342"/>
      <c r="S146" s="342"/>
    </row>
    <row r="147" spans="1:20" ht="15" hidden="1" customHeight="1">
      <c r="B147" s="635"/>
      <c r="C147" s="636"/>
      <c r="D147" s="637"/>
      <c r="E147" s="674"/>
      <c r="F147" s="675"/>
      <c r="G147" s="341" t="s">
        <v>86</v>
      </c>
      <c r="H147" s="377"/>
      <c r="I147" s="358"/>
      <c r="J147" s="342"/>
      <c r="K147" s="342"/>
      <c r="L147" s="342"/>
      <c r="M147" s="342"/>
      <c r="N147" s="342"/>
      <c r="O147" s="342"/>
      <c r="P147" s="342"/>
      <c r="Q147" s="342"/>
      <c r="R147" s="342"/>
      <c r="S147" s="342"/>
    </row>
    <row r="148" spans="1:20" ht="15" hidden="1" customHeight="1">
      <c r="B148" s="682"/>
      <c r="C148" s="654"/>
      <c r="D148" s="655"/>
      <c r="E148" s="616"/>
      <c r="F148" s="677"/>
      <c r="G148" s="340" t="s">
        <v>85</v>
      </c>
      <c r="H148" s="356"/>
      <c r="I148" s="355"/>
      <c r="J148" s="258"/>
      <c r="K148" s="258"/>
      <c r="L148" s="258"/>
      <c r="M148" s="258"/>
      <c r="N148" s="258"/>
      <c r="O148" s="258"/>
      <c r="P148" s="258"/>
      <c r="Q148" s="258"/>
      <c r="R148" s="258"/>
      <c r="S148" s="258"/>
    </row>
    <row r="149" spans="1:20" ht="15" hidden="1" customHeight="1" thickBot="1">
      <c r="B149" s="683"/>
      <c r="C149" s="684"/>
      <c r="D149" s="685"/>
      <c r="E149" s="676"/>
      <c r="F149" s="678"/>
      <c r="G149" s="344" t="s">
        <v>86</v>
      </c>
      <c r="H149" s="359"/>
      <c r="I149" s="360"/>
      <c r="J149" s="345"/>
      <c r="K149" s="345"/>
      <c r="L149" s="345"/>
      <c r="M149" s="345"/>
      <c r="N149" s="427"/>
      <c r="O149" s="427"/>
      <c r="P149" s="345"/>
      <c r="Q149" s="345"/>
      <c r="R149" s="345"/>
      <c r="S149" s="345"/>
    </row>
    <row r="153" spans="1:20" ht="16.5" thickBot="1">
      <c r="B153" s="262"/>
    </row>
    <row r="154" spans="1:20" ht="15.75" thickBot="1">
      <c r="B154" t="s">
        <v>399</v>
      </c>
      <c r="E154" s="260" t="s">
        <v>324</v>
      </c>
      <c r="F154" s="225" t="s">
        <v>341</v>
      </c>
      <c r="G154" s="310"/>
      <c r="H154" s="310" t="str">
        <f t="shared" ref="H154:M154" si="7">C30</f>
        <v>P1</v>
      </c>
      <c r="I154" s="310" t="str">
        <f t="shared" si="7"/>
        <v>P2</v>
      </c>
      <c r="J154" s="310" t="str">
        <f t="shared" si="7"/>
        <v>P3</v>
      </c>
      <c r="K154" s="310" t="str">
        <f t="shared" si="7"/>
        <v>P4</v>
      </c>
      <c r="L154" s="310" t="str">
        <f t="shared" si="7"/>
        <v>P5</v>
      </c>
      <c r="M154" s="310" t="str">
        <f t="shared" si="7"/>
        <v>P6</v>
      </c>
      <c r="N154" s="310" t="s">
        <v>122</v>
      </c>
      <c r="O154" s="310" t="s">
        <v>123</v>
      </c>
      <c r="P154" s="310" t="s">
        <v>124</v>
      </c>
      <c r="Q154" s="310" t="s">
        <v>125</v>
      </c>
      <c r="R154" s="310" t="s">
        <v>126</v>
      </c>
      <c r="S154" s="310" t="s">
        <v>285</v>
      </c>
    </row>
    <row r="155" spans="1:20">
      <c r="B155" s="699" t="str">
        <f>IF(ISBLANK(B120),"",(B120))</f>
        <v>Percentage of PWID that have received an HIV test during the reporting period and know their results</v>
      </c>
      <c r="C155" s="700"/>
      <c r="D155" s="701"/>
      <c r="E155" s="670" t="str">
        <f>IF(ISBLANK(E120),"",(E120))</f>
        <v>THS 3d</v>
      </c>
      <c r="F155" s="638" t="str">
        <f>IF(ISBLANK(F120),"",(F120))</f>
        <v>Yes</v>
      </c>
      <c r="G155" s="279" t="s">
        <v>85</v>
      </c>
      <c r="H155" s="347">
        <f>H120</f>
        <v>8793.75</v>
      </c>
      <c r="I155" s="347">
        <f t="shared" ref="I155:K155" si="8">I120</f>
        <v>17587.5</v>
      </c>
      <c r="J155" s="347">
        <f t="shared" si="8"/>
        <v>26381.25</v>
      </c>
      <c r="K155" s="347">
        <f t="shared" si="8"/>
        <v>35175</v>
      </c>
      <c r="L155" s="347"/>
      <c r="M155" s="347"/>
      <c r="N155" s="347"/>
      <c r="O155" s="347"/>
      <c r="P155" s="347"/>
      <c r="Q155" s="347"/>
      <c r="R155" s="347"/>
      <c r="S155" s="347"/>
    </row>
    <row r="156" spans="1:20">
      <c r="B156" s="702"/>
      <c r="C156" s="703"/>
      <c r="D156" s="704"/>
      <c r="E156" s="670"/>
      <c r="F156" s="638"/>
      <c r="G156" s="104" t="s">
        <v>86</v>
      </c>
      <c r="H156" s="326">
        <f>H121</f>
        <v>10262</v>
      </c>
      <c r="I156" s="326">
        <f t="shared" ref="I156:K156" si="9">I121</f>
        <v>0</v>
      </c>
      <c r="J156" s="326">
        <f t="shared" si="9"/>
        <v>0</v>
      </c>
      <c r="K156" s="326">
        <f t="shared" si="9"/>
        <v>0</v>
      </c>
      <c r="L156" s="326"/>
      <c r="M156" s="326"/>
      <c r="N156" s="326"/>
      <c r="O156" s="326"/>
      <c r="P156" s="326"/>
      <c r="Q156" s="326"/>
      <c r="R156" s="326"/>
      <c r="S156" s="326"/>
    </row>
    <row r="157" spans="1:20">
      <c r="B157" s="679" t="str">
        <f>IF(ISBLANK(B122),"",(B122))</f>
        <v>Percentage of MSM reached with HIV prevention programs - defined package of services</v>
      </c>
      <c r="C157" s="680"/>
      <c r="D157" s="681"/>
      <c r="E157" s="686" t="str">
        <f>IF(ISBLANK(E122),"",(E122))</f>
        <v>KP-1a</v>
      </c>
      <c r="F157" s="639" t="str">
        <f>IF(ISBLANK(F122),"",(F122))</f>
        <v>Yes</v>
      </c>
      <c r="G157" s="346" t="s">
        <v>85</v>
      </c>
      <c r="H157" s="347">
        <f>H122</f>
        <v>2312.5</v>
      </c>
      <c r="I157" s="347">
        <f t="shared" ref="I157:K157" si="10">I122</f>
        <v>4625</v>
      </c>
      <c r="J157" s="347">
        <f t="shared" si="10"/>
        <v>6937.5</v>
      </c>
      <c r="K157" s="347">
        <f t="shared" si="10"/>
        <v>9250</v>
      </c>
      <c r="L157" s="347"/>
      <c r="M157" s="347"/>
      <c r="N157" s="347"/>
      <c r="O157" s="347"/>
      <c r="P157" s="347"/>
      <c r="Q157" s="347"/>
      <c r="R157" s="347"/>
      <c r="S157" s="347"/>
    </row>
    <row r="158" spans="1:20" ht="15.75" thickBot="1">
      <c r="B158" s="679"/>
      <c r="C158" s="680"/>
      <c r="D158" s="681"/>
      <c r="E158" s="686"/>
      <c r="F158" s="639"/>
      <c r="G158" s="346" t="s">
        <v>86</v>
      </c>
      <c r="H158" s="326">
        <f>H123</f>
        <v>2575</v>
      </c>
      <c r="I158" s="326">
        <f t="shared" ref="I158:K158" si="11">I123</f>
        <v>0</v>
      </c>
      <c r="J158" s="326">
        <f t="shared" si="11"/>
        <v>0</v>
      </c>
      <c r="K158" s="326">
        <f t="shared" si="11"/>
        <v>0</v>
      </c>
      <c r="L158" s="326"/>
      <c r="M158" s="326"/>
      <c r="N158" s="326"/>
      <c r="O158" s="326"/>
      <c r="P158" s="326"/>
      <c r="Q158" s="326"/>
      <c r="R158" s="326"/>
      <c r="S158" s="326"/>
    </row>
    <row r="159" spans="1:20" ht="15" customHeight="1">
      <c r="B159" s="699" t="s">
        <v>429</v>
      </c>
      <c r="C159" s="700"/>
      <c r="D159" s="701"/>
      <c r="E159" s="670" t="s">
        <v>422</v>
      </c>
      <c r="F159" s="638" t="s">
        <v>114</v>
      </c>
      <c r="G159" s="104" t="s">
        <v>85</v>
      </c>
      <c r="H159" s="347">
        <f>H134</f>
        <v>100</v>
      </c>
      <c r="I159" s="347">
        <f t="shared" ref="I159:K159" si="12">I134</f>
        <v>200</v>
      </c>
      <c r="J159" s="347">
        <f t="shared" si="12"/>
        <v>300</v>
      </c>
      <c r="K159" s="347">
        <f t="shared" si="12"/>
        <v>400</v>
      </c>
      <c r="L159" s="347"/>
      <c r="M159" s="347"/>
      <c r="N159" s="347"/>
      <c r="O159" s="347"/>
      <c r="P159" s="347"/>
      <c r="Q159" s="347"/>
      <c r="R159" s="347"/>
      <c r="S159" s="347"/>
    </row>
    <row r="160" spans="1:20" ht="15.75" thickBot="1">
      <c r="B160" s="702"/>
      <c r="C160" s="703"/>
      <c r="D160" s="704"/>
      <c r="E160" s="671"/>
      <c r="F160" s="673"/>
      <c r="G160" s="105" t="s">
        <v>86</v>
      </c>
      <c r="H160" s="327">
        <f>H135</f>
        <v>164</v>
      </c>
      <c r="I160" s="327">
        <f t="shared" ref="I160:K160" si="13">I135</f>
        <v>0</v>
      </c>
      <c r="J160" s="327">
        <f t="shared" si="13"/>
        <v>0</v>
      </c>
      <c r="K160" s="327">
        <f t="shared" si="13"/>
        <v>0</v>
      </c>
      <c r="L160" s="327"/>
      <c r="M160" s="327"/>
      <c r="N160" s="327"/>
      <c r="O160" s="327"/>
      <c r="P160" s="327"/>
      <c r="Q160" s="327"/>
      <c r="R160" s="327"/>
      <c r="S160" s="327"/>
    </row>
    <row r="161" spans="2:19" ht="15" customHeight="1">
      <c r="B161" s="679" t="str">
        <f>B140</f>
        <v>Number of TB cases with RR-TB and/or MDR-TB notified</v>
      </c>
      <c r="C161" s="680"/>
      <c r="D161" s="681"/>
      <c r="E161" s="670" t="str">
        <f>E140</f>
        <v xml:space="preserve">MDR TB-2⁽ᴹ⁾ </v>
      </c>
      <c r="F161" s="672" t="str">
        <f>F140</f>
        <v>Yes</v>
      </c>
      <c r="G161" s="104" t="s">
        <v>85</v>
      </c>
      <c r="H161" s="347">
        <f>H140</f>
        <v>55</v>
      </c>
      <c r="I161" s="347">
        <f t="shared" ref="I161:S161" si="14">I140</f>
        <v>55</v>
      </c>
      <c r="J161" s="347">
        <f t="shared" si="14"/>
        <v>55</v>
      </c>
      <c r="K161" s="347" t="str">
        <f t="shared" si="14"/>
        <v xml:space="preserve">  </v>
      </c>
      <c r="L161" s="347">
        <f t="shared" si="14"/>
        <v>51</v>
      </c>
      <c r="M161" s="347">
        <f t="shared" si="14"/>
        <v>51</v>
      </c>
      <c r="N161" s="347">
        <f t="shared" si="14"/>
        <v>51</v>
      </c>
      <c r="O161" s="347">
        <f t="shared" si="14"/>
        <v>52</v>
      </c>
      <c r="P161" s="347">
        <f t="shared" si="14"/>
        <v>48</v>
      </c>
      <c r="Q161" s="347">
        <f t="shared" si="14"/>
        <v>48</v>
      </c>
      <c r="R161" s="347">
        <f t="shared" si="14"/>
        <v>47</v>
      </c>
      <c r="S161" s="347">
        <f t="shared" si="14"/>
        <v>47</v>
      </c>
    </row>
    <row r="162" spans="2:19" ht="15.75" thickBot="1">
      <c r="B162" s="679"/>
      <c r="C162" s="680"/>
      <c r="D162" s="681"/>
      <c r="E162" s="671"/>
      <c r="F162" s="673"/>
      <c r="G162" s="105" t="s">
        <v>86</v>
      </c>
      <c r="H162" s="327">
        <f t="shared" ref="H162:S162" si="15">H141</f>
        <v>30</v>
      </c>
      <c r="I162" s="327">
        <f t="shared" si="15"/>
        <v>0</v>
      </c>
      <c r="J162" s="327">
        <f t="shared" si="15"/>
        <v>0</v>
      </c>
      <c r="K162" s="327">
        <f t="shared" si="15"/>
        <v>0</v>
      </c>
      <c r="L162" s="327">
        <f t="shared" si="15"/>
        <v>0</v>
      </c>
      <c r="M162" s="327">
        <f t="shared" si="15"/>
        <v>0</v>
      </c>
      <c r="N162" s="327">
        <f t="shared" si="15"/>
        <v>0</v>
      </c>
      <c r="O162" s="327">
        <f t="shared" si="15"/>
        <v>0</v>
      </c>
      <c r="P162" s="327">
        <f t="shared" si="15"/>
        <v>0</v>
      </c>
      <c r="Q162" s="327">
        <f t="shared" si="15"/>
        <v>0</v>
      </c>
      <c r="R162" s="327">
        <f t="shared" si="15"/>
        <v>0</v>
      </c>
      <c r="S162" s="327">
        <f t="shared" si="15"/>
        <v>0</v>
      </c>
    </row>
    <row r="163" spans="2:19">
      <c r="B163" s="693" t="str">
        <f>B142</f>
        <v xml:space="preserve"> Number of cases with RR-TB and/or MDR-TB that began second-line treatment</v>
      </c>
      <c r="C163" s="694"/>
      <c r="D163" s="695"/>
      <c r="E163" s="670" t="str">
        <f>E142</f>
        <v>MDR TB-3⁽ᴹ⁾</v>
      </c>
      <c r="F163" s="672" t="str">
        <f>F142</f>
        <v>Yes</v>
      </c>
      <c r="G163" s="104" t="s">
        <v>85</v>
      </c>
      <c r="H163" s="347">
        <f>H142</f>
        <v>60</v>
      </c>
      <c r="I163" s="347">
        <f t="shared" ref="I163:J163" si="16">I142</f>
        <v>60</v>
      </c>
      <c r="J163" s="347">
        <f t="shared" si="16"/>
        <v>59</v>
      </c>
      <c r="K163" s="347">
        <f>K142</f>
        <v>59</v>
      </c>
      <c r="L163" s="347">
        <f t="shared" ref="L163:S163" si="17">L142</f>
        <v>56</v>
      </c>
      <c r="M163" s="347">
        <f t="shared" si="17"/>
        <v>56</v>
      </c>
      <c r="N163" s="347">
        <f t="shared" si="17"/>
        <v>55</v>
      </c>
      <c r="O163" s="347">
        <f t="shared" si="17"/>
        <v>55</v>
      </c>
      <c r="P163" s="347">
        <f t="shared" si="17"/>
        <v>51</v>
      </c>
      <c r="Q163" s="347">
        <f t="shared" si="17"/>
        <v>51</v>
      </c>
      <c r="R163" s="347">
        <f t="shared" si="17"/>
        <v>51</v>
      </c>
      <c r="S163" s="347">
        <f t="shared" si="17"/>
        <v>52</v>
      </c>
    </row>
    <row r="164" spans="2:19" ht="15.75" thickBot="1">
      <c r="B164" s="696"/>
      <c r="C164" s="697"/>
      <c r="D164" s="698"/>
      <c r="E164" s="671"/>
      <c r="F164" s="673"/>
      <c r="G164" s="105" t="s">
        <v>86</v>
      </c>
      <c r="H164" s="327">
        <f t="shared" ref="H164:S164" si="18">H143</f>
        <v>35</v>
      </c>
      <c r="I164" s="327">
        <f t="shared" si="18"/>
        <v>0</v>
      </c>
      <c r="J164" s="327">
        <f t="shared" si="18"/>
        <v>0</v>
      </c>
      <c r="K164" s="327">
        <f t="shared" si="18"/>
        <v>0</v>
      </c>
      <c r="L164" s="327">
        <f t="shared" si="18"/>
        <v>0</v>
      </c>
      <c r="M164" s="327">
        <f t="shared" si="18"/>
        <v>0</v>
      </c>
      <c r="N164" s="327">
        <f t="shared" si="18"/>
        <v>0</v>
      </c>
      <c r="O164" s="327">
        <f t="shared" si="18"/>
        <v>0</v>
      </c>
      <c r="P164" s="327">
        <f t="shared" si="18"/>
        <v>0</v>
      </c>
      <c r="Q164" s="327">
        <f t="shared" si="18"/>
        <v>0</v>
      </c>
      <c r="R164" s="327">
        <f t="shared" si="18"/>
        <v>0</v>
      </c>
      <c r="S164" s="327">
        <f t="shared" si="18"/>
        <v>0</v>
      </c>
    </row>
    <row r="165" spans="2:19" ht="15" customHeight="1">
      <c r="B165" s="679" t="str">
        <f>B144</f>
        <v xml:space="preserve"> Percentage of registered new and relapse TB patients with documented HIV status</v>
      </c>
      <c r="C165" s="680"/>
      <c r="D165" s="681"/>
      <c r="E165" s="670" t="str">
        <f>E144</f>
        <v>TB/HIV-5</v>
      </c>
      <c r="F165" s="672" t="str">
        <f>F144</f>
        <v>Yes</v>
      </c>
      <c r="G165" s="104" t="s">
        <v>85</v>
      </c>
      <c r="H165" s="460">
        <f>H144</f>
        <v>0.95</v>
      </c>
      <c r="I165" s="460">
        <f t="shared" ref="I165:S165" si="19">I144</f>
        <v>0.95</v>
      </c>
      <c r="J165" s="460">
        <f t="shared" si="19"/>
        <v>0.95</v>
      </c>
      <c r="K165" s="460">
        <f t="shared" si="19"/>
        <v>0.95</v>
      </c>
      <c r="L165" s="460">
        <f t="shared" si="19"/>
        <v>0.95</v>
      </c>
      <c r="M165" s="460">
        <f t="shared" si="19"/>
        <v>0.95</v>
      </c>
      <c r="N165" s="460">
        <f t="shared" si="19"/>
        <v>0.95</v>
      </c>
      <c r="O165" s="460">
        <f t="shared" si="19"/>
        <v>0.95</v>
      </c>
      <c r="P165" s="460">
        <f t="shared" si="19"/>
        <v>0.95</v>
      </c>
      <c r="Q165" s="460">
        <f t="shared" si="19"/>
        <v>0.95</v>
      </c>
      <c r="R165" s="460">
        <f t="shared" si="19"/>
        <v>0.95</v>
      </c>
      <c r="S165" s="460">
        <f t="shared" si="19"/>
        <v>0.95</v>
      </c>
    </row>
    <row r="166" spans="2:19" ht="15.75" thickBot="1">
      <c r="B166" s="679"/>
      <c r="C166" s="680"/>
      <c r="D166" s="681"/>
      <c r="E166" s="671"/>
      <c r="F166" s="673"/>
      <c r="G166" s="105" t="s">
        <v>86</v>
      </c>
      <c r="H166" s="467">
        <f t="shared" ref="H166:K166" si="20">H145</f>
        <v>0.94</v>
      </c>
      <c r="I166" s="467">
        <f t="shared" si="20"/>
        <v>0</v>
      </c>
      <c r="J166" s="467">
        <f t="shared" si="20"/>
        <v>0</v>
      </c>
      <c r="K166" s="467">
        <f t="shared" si="20"/>
        <v>0</v>
      </c>
      <c r="L166" s="467"/>
      <c r="M166" s="467"/>
      <c r="N166" s="468"/>
      <c r="O166" s="468"/>
      <c r="P166" s="467"/>
      <c r="Q166" s="467"/>
      <c r="R166" s="467"/>
      <c r="S166" s="467"/>
    </row>
  </sheetData>
  <mergeCells count="97">
    <mergeCell ref="A140:A145"/>
    <mergeCell ref="B163:D164"/>
    <mergeCell ref="E163:E164"/>
    <mergeCell ref="F163:F164"/>
    <mergeCell ref="B159:D160"/>
    <mergeCell ref="E159:E160"/>
    <mergeCell ref="F159:F160"/>
    <mergeCell ref="B161:D162"/>
    <mergeCell ref="E161:E162"/>
    <mergeCell ref="F161:F162"/>
    <mergeCell ref="F142:F143"/>
    <mergeCell ref="E144:E145"/>
    <mergeCell ref="F144:F145"/>
    <mergeCell ref="B155:D156"/>
    <mergeCell ref="B157:D158"/>
    <mergeCell ref="B142:D143"/>
    <mergeCell ref="B138:D139"/>
    <mergeCell ref="E138:E139"/>
    <mergeCell ref="F138:F139"/>
    <mergeCell ref="B140:D141"/>
    <mergeCell ref="E140:E141"/>
    <mergeCell ref="F140:F141"/>
    <mergeCell ref="E134:E135"/>
    <mergeCell ref="F134:F135"/>
    <mergeCell ref="B136:D137"/>
    <mergeCell ref="E136:E137"/>
    <mergeCell ref="F136:F137"/>
    <mergeCell ref="B134:D135"/>
    <mergeCell ref="E165:E166"/>
    <mergeCell ref="B126:D127"/>
    <mergeCell ref="F165:F166"/>
    <mergeCell ref="E146:E147"/>
    <mergeCell ref="F146:F147"/>
    <mergeCell ref="E148:E149"/>
    <mergeCell ref="F148:F149"/>
    <mergeCell ref="E155:E156"/>
    <mergeCell ref="E126:E127"/>
    <mergeCell ref="E142:E143"/>
    <mergeCell ref="B165:D166"/>
    <mergeCell ref="B148:D149"/>
    <mergeCell ref="E157:E158"/>
    <mergeCell ref="E128:E129"/>
    <mergeCell ref="B128:D129"/>
    <mergeCell ref="F128:F129"/>
    <mergeCell ref="B26:C26"/>
    <mergeCell ref="B71:C71"/>
    <mergeCell ref="Q31:Q34"/>
    <mergeCell ref="E120:E121"/>
    <mergeCell ref="F120:F121"/>
    <mergeCell ref="F46:I46"/>
    <mergeCell ref="F126:F127"/>
    <mergeCell ref="B130:D131"/>
    <mergeCell ref="E130:E131"/>
    <mergeCell ref="F130:F131"/>
    <mergeCell ref="B132:D133"/>
    <mergeCell ref="E132:E133"/>
    <mergeCell ref="F132:F133"/>
    <mergeCell ref="B144:D145"/>
    <mergeCell ref="B146:D147"/>
    <mergeCell ref="F155:F156"/>
    <mergeCell ref="F157:F15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18:C18"/>
    <mergeCell ref="D18:F18"/>
    <mergeCell ref="I24:J24"/>
    <mergeCell ref="B21:J21"/>
    <mergeCell ref="D24:E24"/>
    <mergeCell ref="A120:A125"/>
    <mergeCell ref="B29:P29"/>
    <mergeCell ref="B120:D121"/>
    <mergeCell ref="B59:D59"/>
    <mergeCell ref="F124:F125"/>
    <mergeCell ref="B122:D123"/>
    <mergeCell ref="B124:D125"/>
    <mergeCell ref="B72:C72"/>
    <mergeCell ref="E124:E125"/>
    <mergeCell ref="B118:D118"/>
    <mergeCell ref="B70:C70"/>
    <mergeCell ref="F122:F123"/>
    <mergeCell ref="E122:E123"/>
  </mergeCells>
  <phoneticPr fontId="30" type="noConversion"/>
  <conditionalFormatting sqref="C31 B32:E32 B34">
    <cfRule type="expression" dxfId="44" priority="18" stopIfTrue="1">
      <formula>+AND(#REF!&gt;=#REF!,#REF!&lt;=#REF!)</formula>
    </cfRule>
  </conditionalFormatting>
  <conditionalFormatting sqref="C12:D12">
    <cfRule type="cellIs" dxfId="43" priority="24" stopIfTrue="1" operator="equal">
      <formula>"C"</formula>
    </cfRule>
    <cfRule type="cellIs" dxfId="42" priority="25" stopIfTrue="1" operator="equal">
      <formula>"B2"</formula>
    </cfRule>
    <cfRule type="cellIs" dxfId="41" priority="26" stopIfTrue="1" operator="equal">
      <formula>"B1"</formula>
    </cfRule>
  </conditionalFormatting>
  <conditionalFormatting sqref="C30:P30">
    <cfRule type="cellIs" dxfId="40" priority="10" stopIfTrue="1" operator="equal">
      <formula>$C$16</formula>
    </cfRule>
  </conditionalFormatting>
  <conditionalFormatting sqref="C93:P93">
    <cfRule type="cellIs" dxfId="39" priority="22" stopIfTrue="1" operator="equal">
      <formula>$C$16</formula>
    </cfRule>
  </conditionalFormatting>
  <conditionalFormatting sqref="F46:I46">
    <cfRule type="expression" dxfId="38" priority="34" stopIfTrue="1">
      <formula>LEFT($F$46,2)="OK"</formula>
    </cfRule>
  </conditionalFormatting>
  <conditionalFormatting sqref="G32:H32">
    <cfRule type="expression" dxfId="37" priority="16" stopIfTrue="1">
      <formula>+AND(#REF!&gt;=#REF!,#REF!&lt;=#REF!)</formula>
    </cfRule>
  </conditionalFormatting>
  <conditionalFormatting sqref="G154:S154">
    <cfRule type="cellIs" dxfId="36" priority="9" stopIfTrue="1" operator="equal">
      <formula>$C$16</formula>
    </cfRule>
  </conditionalFormatting>
  <conditionalFormatting sqref="H118:S119">
    <cfRule type="cellIs" dxfId="35" priority="33" stopIfTrue="1" operator="equal">
      <formula>$C$16</formula>
    </cfRule>
  </conditionalFormatting>
  <conditionalFormatting sqref="C33:M33">
    <cfRule type="expression" dxfId="34" priority="7" stopIfTrue="1">
      <formula>+AND(#REF!&gt;=#REF!,#REF!&lt;=#REF!)</formula>
    </cfRule>
  </conditionalFormatting>
  <conditionalFormatting sqref="C34:M34">
    <cfRule type="expression" dxfId="33" priority="4" stopIfTrue="1">
      <formula>+AND(#REF!&gt;=#REF!,#REF!&lt;=#REF!)</formula>
    </cfRule>
  </conditionalFormatting>
  <conditionalFormatting sqref="N33:P33">
    <cfRule type="expression" dxfId="32" priority="2" stopIfTrue="1">
      <formula>+AND(#REF!&gt;=#REF!,#REF!&lt;=#REF!)</formula>
    </cfRule>
  </conditionalFormatting>
  <conditionalFormatting sqref="N34:P34">
    <cfRule type="expression" dxfId="31" priority="1" stopIfTrue="1">
      <formula>+AND(#REF!&gt;=#REF!,#REF!&lt;=#REF!)</formula>
    </cfRule>
  </conditionalFormatting>
  <dataValidations count="9">
    <dataValidation type="list" allowBlank="1" showInputMessage="1" showErrorMessage="1" sqref="B107:B114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7:C113">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7" max="16383" man="1"/>
  </rowBreaks>
  <ignoredErrors>
    <ignoredError sqref="E155 H154:M15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7"/>
  <sheetViews>
    <sheetView showGridLines="0" zoomScaleSheetLayoutView="100" workbookViewId="0">
      <selection activeCell="N19" sqref="N19"/>
    </sheetView>
  </sheetViews>
  <sheetFormatPr defaultColWidth="11.42578125" defaultRowHeight="15"/>
  <cols>
    <col min="1" max="1" width="21.140625" customWidth="1"/>
    <col min="2" max="2" width="12.42578125" customWidth="1"/>
    <col min="3" max="3" width="20.42578125" customWidth="1"/>
    <col min="4" max="4" width="15.28515625" customWidth="1"/>
    <col min="5" max="5" width="11.7109375" customWidth="1"/>
    <col min="6" max="6" width="10.7109375" customWidth="1"/>
    <col min="7" max="7" width="11.7109375" customWidth="1"/>
    <col min="8" max="8" width="15" customWidth="1"/>
    <col min="9" max="9" width="9.42578125" customWidth="1"/>
    <col min="10" max="10" width="13" customWidth="1"/>
    <col min="11" max="11" width="11.42578125" customWidth="1"/>
    <col min="12" max="12" width="8.140625" customWidth="1"/>
    <col min="13" max="13" width="9.7109375" customWidth="1"/>
    <col min="14" max="14" width="8.42578125" customWidth="1"/>
    <col min="15" max="15" width="7.140625" customWidth="1"/>
  </cols>
  <sheetData>
    <row r="1" spans="1:24" ht="21" customHeight="1">
      <c r="G1" s="218"/>
    </row>
    <row r="2" spans="1:24" ht="25.5" customHeight="1"/>
    <row r="3" spans="1:24" ht="36">
      <c r="B3" s="705" t="str">
        <f>+"Dashboard: "&amp;" "&amp;+IF('Data Entry'!C4="Please Select","",'Data Entry'!C4&amp;" - ")&amp;+IF('Data Entry'!G6="Please Select","",'Data Entry'!G6)</f>
        <v>Dashboard:  Georgia - HIVAIDS / TB</v>
      </c>
      <c r="C3" s="705"/>
      <c r="D3" s="705"/>
      <c r="E3" s="705"/>
      <c r="F3" s="705"/>
      <c r="G3" s="705"/>
      <c r="H3" s="705"/>
      <c r="I3" s="705"/>
      <c r="J3" s="705"/>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211" t="s">
        <v>25</v>
      </c>
      <c r="B6" s="707" t="str">
        <f>+IF('Data Entry'!C4="Please Select","",'Data Entry'!C4)</f>
        <v>Georgia</v>
      </c>
      <c r="C6" s="707"/>
      <c r="D6" s="711" t="s">
        <v>11</v>
      </c>
      <c r="E6" s="711"/>
      <c r="F6" s="712" t="str">
        <f>+'Data Entry'!G4</f>
        <v>Strengthening of HIV and Tuberculosis (TB) national systems of prevention, treatment, care and support in Georgia</v>
      </c>
      <c r="G6" s="712"/>
      <c r="H6" s="712"/>
      <c r="I6" s="712"/>
      <c r="J6" s="712"/>
      <c r="K6" s="37"/>
      <c r="L6" s="63"/>
      <c r="M6" s="37"/>
      <c r="N6" s="37"/>
      <c r="O6" s="37"/>
      <c r="P6" s="38"/>
      <c r="Q6" s="12"/>
      <c r="R6" s="12"/>
      <c r="S6" s="12"/>
      <c r="T6" s="12"/>
      <c r="U6" s="12"/>
    </row>
    <row r="7" spans="1:24" ht="8.25" customHeight="1">
      <c r="B7" s="4"/>
      <c r="C7" s="5"/>
      <c r="D7" s="5"/>
      <c r="E7" s="6"/>
      <c r="F7" s="6"/>
      <c r="G7" s="5"/>
      <c r="H7" s="5"/>
      <c r="K7" s="37"/>
      <c r="L7" s="37"/>
      <c r="M7" s="37"/>
      <c r="N7" s="37"/>
      <c r="O7" s="37"/>
      <c r="P7" s="38"/>
      <c r="Q7" s="12"/>
      <c r="R7" s="12"/>
      <c r="S7" s="12"/>
      <c r="T7" s="12"/>
      <c r="U7" s="12"/>
    </row>
    <row r="8" spans="1:24" ht="3.75" customHeight="1">
      <c r="C8" s="7"/>
      <c r="D8" s="7"/>
      <c r="E8" s="7"/>
      <c r="F8" s="7"/>
      <c r="G8" s="7"/>
      <c r="H8" s="7"/>
      <c r="I8" s="7"/>
      <c r="J8" s="7"/>
      <c r="K8" s="37"/>
      <c r="L8" s="37"/>
      <c r="M8" s="37"/>
      <c r="N8" s="37"/>
      <c r="O8" s="39"/>
      <c r="P8" s="38"/>
      <c r="Q8" s="39"/>
      <c r="R8" s="40"/>
      <c r="S8" s="12"/>
      <c r="T8" s="12"/>
      <c r="U8" s="12"/>
    </row>
    <row r="9" spans="1:24" ht="25.5" customHeight="1">
      <c r="A9" s="301" t="s">
        <v>26</v>
      </c>
      <c r="B9" s="272" t="str">
        <f>+IF('Data Entry'!G6="Please Select","",'Data Entry'!G6)</f>
        <v>HIVAIDS / TB</v>
      </c>
      <c r="C9" s="175" t="s">
        <v>325</v>
      </c>
      <c r="D9" s="273" t="str">
        <f>+'Data Entry'!C6</f>
        <v>GEO-C-NCDC</v>
      </c>
      <c r="E9" s="709" t="s">
        <v>12</v>
      </c>
      <c r="F9" s="709"/>
      <c r="G9" s="274">
        <f>+IF(ISBLANK('Data Entry'!C10),"",'Data Entry'!C10)</f>
        <v>44927</v>
      </c>
      <c r="H9" s="301" t="s">
        <v>326</v>
      </c>
      <c r="I9" s="708">
        <f>+IF(ISBLANK('Data Entry'!I6),"",'Data Entry'!I6)</f>
        <v>17048495.93</v>
      </c>
      <c r="J9" s="708"/>
      <c r="K9" s="37"/>
      <c r="L9" s="37"/>
      <c r="M9" s="37"/>
      <c r="N9" s="37"/>
      <c r="O9" s="39"/>
      <c r="P9" s="38"/>
      <c r="Q9" s="39"/>
      <c r="R9" s="40"/>
      <c r="S9" s="12"/>
      <c r="T9" s="8"/>
      <c r="U9" s="8"/>
      <c r="V9" s="7"/>
      <c r="W9" s="7"/>
      <c r="X9" s="7"/>
    </row>
    <row r="10" spans="1:24" ht="25.5" customHeight="1">
      <c r="A10" s="301" t="s">
        <v>320</v>
      </c>
      <c r="B10" s="275" t="str">
        <f>+IF('Data Entry'!G8="Please Select","",'Data Entry'!G8)</f>
        <v>NFM</v>
      </c>
      <c r="C10" s="175" t="s">
        <v>319</v>
      </c>
      <c r="D10" s="276" t="str">
        <f>+IF('Data Entry'!I8="Please Select","",'Data Entry'!I8)</f>
        <v>Phase 3</v>
      </c>
      <c r="E10" s="710" t="s">
        <v>267</v>
      </c>
      <c r="F10" s="710"/>
      <c r="G10" s="706" t="str">
        <f>+'Data Entry'!C8</f>
        <v>NCDC</v>
      </c>
      <c r="H10" s="706"/>
      <c r="I10" s="706"/>
      <c r="J10" s="706"/>
      <c r="K10" s="12"/>
      <c r="L10" s="12"/>
      <c r="M10" s="37"/>
      <c r="N10" s="12"/>
      <c r="O10" s="39"/>
      <c r="P10" s="38"/>
      <c r="Q10" s="8"/>
      <c r="R10" s="40"/>
      <c r="S10" s="12"/>
      <c r="T10" s="8"/>
      <c r="U10" s="8"/>
    </row>
    <row r="11" spans="1:24" ht="25.5" customHeight="1">
      <c r="A11" s="301" t="s">
        <v>20</v>
      </c>
      <c r="B11" s="277" t="str">
        <f>+'Data Entry'!C16</f>
        <v>P1</v>
      </c>
      <c r="C11" s="265" t="s">
        <v>265</v>
      </c>
      <c r="D11" s="278">
        <f>+IF(ISBLANK('Data Entry'!E16),"",'Data Entry'!E16)</f>
        <v>44927</v>
      </c>
      <c r="E11" s="709" t="s">
        <v>21</v>
      </c>
      <c r="F11" s="709"/>
      <c r="G11" s="278">
        <f>+IF(ISBLANK('Data Entry'!G16),"",'Data Entry'!G16)</f>
        <v>45016</v>
      </c>
      <c r="H11" s="301" t="s">
        <v>28</v>
      </c>
      <c r="I11" s="713" t="str">
        <f>+IF('Data Entry'!C12="Please Select","",'Data Entry'!C12)</f>
        <v>B2</v>
      </c>
      <c r="J11" s="713"/>
      <c r="K11" s="217"/>
      <c r="L11" s="12"/>
      <c r="M11" s="37"/>
      <c r="N11" s="12"/>
      <c r="O11" s="12"/>
      <c r="P11" s="38"/>
      <c r="Q11" s="8"/>
      <c r="R11" s="40"/>
      <c r="S11" s="12"/>
      <c r="T11" s="9"/>
      <c r="U11" s="8"/>
    </row>
    <row r="12" spans="1:24" ht="25.5" customHeight="1">
      <c r="A12" s="301" t="s">
        <v>30</v>
      </c>
      <c r="B12" s="706" t="str">
        <f>+IF('Data Entry'!G10="Please Select","",'Data Entry'!G10)</f>
        <v>UNOPS</v>
      </c>
      <c r="C12" s="706"/>
      <c r="D12" s="706"/>
      <c r="E12" s="710" t="s">
        <v>287</v>
      </c>
      <c r="F12" s="710"/>
      <c r="G12" s="706" t="str">
        <f>+'Data Entry'!G12</f>
        <v>Tatyana Vinichenko</v>
      </c>
      <c r="H12" s="706"/>
      <c r="I12" s="706"/>
      <c r="J12" s="706"/>
      <c r="K12" s="12"/>
      <c r="L12" s="12"/>
      <c r="M12" s="37"/>
      <c r="N12" s="12"/>
      <c r="O12" s="12"/>
      <c r="P12" s="38"/>
      <c r="Q12" s="8"/>
      <c r="R12" s="40"/>
      <c r="S12" s="12"/>
      <c r="T12" s="8"/>
      <c r="U12" s="41"/>
      <c r="V12" s="8"/>
      <c r="W12" s="9"/>
      <c r="X12" s="8"/>
    </row>
    <row r="13" spans="1:24" ht="25.5" customHeight="1">
      <c r="A13" s="301" t="s">
        <v>31</v>
      </c>
      <c r="B13" s="706" t="str">
        <f>+'Data Entry'!D18</f>
        <v>Tamari Kashibadze, Natalia Adamashvili, Nino Vakhania</v>
      </c>
      <c r="C13" s="706"/>
      <c r="D13" s="706"/>
      <c r="E13" s="710" t="s">
        <v>29</v>
      </c>
      <c r="F13" s="710"/>
      <c r="G13" s="714">
        <f>+IF(ISBLANK('Data Entry'!J16),"",'Data Entry'!J16)</f>
        <v>45087</v>
      </c>
      <c r="H13" s="715"/>
      <c r="I13" s="715"/>
      <c r="J13" s="715"/>
      <c r="K13" s="12"/>
      <c r="L13" s="13"/>
      <c r="M13" s="13"/>
      <c r="N13" s="13"/>
      <c r="O13" s="12"/>
      <c r="P13" s="13"/>
      <c r="Q13" s="13"/>
      <c r="R13" s="40"/>
      <c r="S13" s="12"/>
      <c r="T13" s="13"/>
      <c r="U13" s="42"/>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83"/>
      <c r="D16" s="10"/>
      <c r="E16" s="302"/>
      <c r="L16" s="10"/>
      <c r="M16" s="10"/>
      <c r="N16" s="10"/>
      <c r="O16" s="10"/>
      <c r="P16" s="10"/>
      <c r="Q16" s="10"/>
      <c r="R16" s="10"/>
      <c r="S16" s="10"/>
      <c r="T16" s="10"/>
      <c r="U16" s="10"/>
    </row>
    <row r="17" spans="1:5">
      <c r="A17" s="10"/>
      <c r="B17" s="10"/>
      <c r="C17" s="10"/>
      <c r="D17" s="10"/>
      <c r="E17" s="10"/>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0" priority="1" stopIfTrue="1" operator="equal">
      <formula>"C"</formula>
    </cfRule>
    <cfRule type="cellIs" dxfId="29" priority="2" stopIfTrue="1" operator="equal">
      <formula>"B2"</formula>
    </cfRule>
    <cfRule type="cellIs" dxfId="28"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B1:O32"/>
  <sheetViews>
    <sheetView showGridLines="0" zoomScale="110" zoomScaleNormal="110" zoomScalePageLayoutView="160" workbookViewId="0">
      <selection activeCell="L3" sqref="L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row r="2" spans="2:15" ht="27.75" customHeight="1">
      <c r="B2" s="619" t="str">
        <f>+"Dashboard:  "&amp;"  "&amp;IF(+'Data Entry'!C4="Please Select","",'Data Entry'!C4&amp;" - ")&amp;IF('Data Entry'!G6="Please Select","",'Data Entry'!G6)</f>
        <v>Dashboard:    Georgia - HIVAIDS / TB</v>
      </c>
      <c r="C2" s="619"/>
      <c r="D2" s="619"/>
      <c r="E2" s="619"/>
      <c r="F2" s="619"/>
      <c r="G2" s="619"/>
      <c r="H2" s="619"/>
      <c r="I2" s="619"/>
      <c r="J2" s="619"/>
      <c r="K2" s="619"/>
      <c r="L2" s="1"/>
      <c r="M2" s="1"/>
      <c r="N2" s="1"/>
      <c r="O2" s="1"/>
    </row>
    <row r="3" spans="2:15">
      <c r="B3" s="17" t="str">
        <f>+IF('Data Entry'!G8="Please Select","",'Data Entry'!G8)</f>
        <v>NFM</v>
      </c>
      <c r="C3" s="727" t="str">
        <f>+IF('Data Entry'!I8="Please Select","",'Data Entry'!I8)</f>
        <v>Phase 3</v>
      </c>
      <c r="D3" s="727"/>
      <c r="E3" s="726"/>
      <c r="F3" s="726"/>
      <c r="G3" s="726"/>
      <c r="H3" s="726"/>
      <c r="I3" s="724" t="str">
        <f>+'Data Entry'!B16</f>
        <v>Report Period:</v>
      </c>
      <c r="J3" s="724"/>
      <c r="K3" s="160" t="str">
        <f>+'Data Entry'!C16</f>
        <v>P1</v>
      </c>
      <c r="L3" s="64"/>
    </row>
    <row r="4" spans="2:15">
      <c r="B4" s="17" t="str">
        <f>+'Data Entry'!B12</f>
        <v>Latest Rating:</v>
      </c>
      <c r="C4" s="728" t="str">
        <f>+IF('Data Entry'!C12="Please Select","",'Data Entry'!C12)</f>
        <v>B2</v>
      </c>
      <c r="D4" s="728"/>
      <c r="E4" s="726" t="str">
        <f>+'Data Entry'!C8</f>
        <v>NCDC</v>
      </c>
      <c r="F4" s="726"/>
      <c r="G4" s="726"/>
      <c r="H4" s="726"/>
      <c r="I4" s="724" t="str">
        <f>+'Data Entry'!D16</f>
        <v>From:</v>
      </c>
      <c r="J4" s="725"/>
      <c r="K4" s="161">
        <f>+IF(ISBLANK('Data Entry'!E16),"",'Data Entry'!E16)</f>
        <v>44927</v>
      </c>
    </row>
    <row r="5" spans="2:15" ht="18.75" customHeight="1">
      <c r="B5" s="17"/>
      <c r="C5" s="17"/>
      <c r="D5" s="723" t="str">
        <f>+'Data Entry'!G4</f>
        <v>Strengthening of HIV and Tuberculosis (TB) national systems of prevention, treatment, care and support in Georgia</v>
      </c>
      <c r="E5" s="723"/>
      <c r="F5" s="723"/>
      <c r="G5" s="723"/>
      <c r="H5" s="723"/>
      <c r="I5" s="723"/>
      <c r="J5" s="17" t="str">
        <f>+'Data Entry'!F16</f>
        <v>To:</v>
      </c>
      <c r="K5" s="161">
        <f>+IF(ISBLANK('Data Entry'!G16),"",'Data Entry'!G16)</f>
        <v>45016</v>
      </c>
    </row>
    <row r="6" spans="2:15" ht="18.75">
      <c r="B6" s="16"/>
      <c r="C6" s="17"/>
      <c r="D6" s="107"/>
      <c r="E6" s="729" t="s">
        <v>62</v>
      </c>
      <c r="F6" s="729"/>
      <c r="G6" s="729"/>
      <c r="H6" s="729"/>
    </row>
    <row r="7" spans="2:15" ht="10.5" customHeight="1">
      <c r="B7" s="16"/>
      <c r="C7" s="17"/>
      <c r="D7" s="110"/>
      <c r="E7" s="111"/>
      <c r="F7" s="111"/>
      <c r="G7" s="111"/>
      <c r="H7" s="111"/>
      <c r="I7" s="109"/>
      <c r="J7" s="109"/>
      <c r="K7" s="108"/>
    </row>
    <row r="8" spans="2:15">
      <c r="B8" s="164" t="str">
        <f>+'Data Entry'!B27&amp; " - in ("&amp;'Data Entry'!D26&amp;")         "&amp;+I3&amp;" "&amp;+K3</f>
        <v>F1: Budget and disbursements by Global Fund - in ($)         Report Period: P1</v>
      </c>
      <c r="C8" s="14"/>
      <c r="H8" s="164" t="str">
        <f>+'Data Entry'!B48&amp; " - in ("&amp;'Data Entry'!D26&amp;")         "&amp;+I3&amp;" "&amp;+K3</f>
        <v>F3: Disbursements and expenditures - in ($)         Report Period: P1</v>
      </c>
    </row>
    <row r="9" spans="2:15">
      <c r="B9" s="280" t="s">
        <v>9</v>
      </c>
      <c r="C9" s="735"/>
      <c r="D9" s="717"/>
      <c r="E9" s="717"/>
      <c r="F9" s="718"/>
      <c r="H9" s="281" t="s">
        <v>9</v>
      </c>
      <c r="I9" s="716"/>
      <c r="J9" s="717"/>
      <c r="K9" s="718"/>
    </row>
    <row r="22" spans="2:11" ht="17.25" customHeight="1">
      <c r="B22" s="164" t="str">
        <f>+'Data Entry'!B36&amp; " - in ("&amp;'Data Entry'!D26&amp;")  "&amp;+I3&amp;" "&amp;+K3</f>
        <v>F2: Budget and actual expenditures by Grant Objective - in ($)  Report Period: P1</v>
      </c>
      <c r="H22" s="164" t="str">
        <f>+'Data Entry'!B57&amp;"      "&amp;+I3&amp;" "&amp;+K3</f>
        <v>F4: Latest PR reporting and disbursement cycle      Report Period: P1</v>
      </c>
    </row>
    <row r="23" spans="2:11">
      <c r="B23" s="281" t="s">
        <v>10</v>
      </c>
      <c r="C23" s="716"/>
      <c r="D23" s="717"/>
      <c r="E23" s="717"/>
      <c r="F23" s="718"/>
      <c r="G23" s="298"/>
      <c r="H23" s="281" t="s">
        <v>9</v>
      </c>
      <c r="I23" s="716"/>
      <c r="J23" s="736"/>
      <c r="K23" s="737"/>
    </row>
    <row r="24" spans="2:11" ht="15.75" thickBot="1">
      <c r="B24" s="169"/>
      <c r="C24" s="169"/>
      <c r="D24" s="169"/>
      <c r="E24" s="169"/>
      <c r="F24" s="169"/>
      <c r="G24" s="169"/>
      <c r="H24" s="169"/>
      <c r="I24" s="169"/>
      <c r="J24" s="169"/>
      <c r="K24" s="169"/>
    </row>
    <row r="25" spans="2:11" ht="29.25" customHeight="1" thickBot="1">
      <c r="G25" s="263"/>
      <c r="H25" s="730" t="s">
        <v>305</v>
      </c>
      <c r="I25" s="731"/>
      <c r="J25" s="731"/>
      <c r="K25" s="732"/>
    </row>
    <row r="26" spans="2:11" ht="24.75">
      <c r="H26" s="733"/>
      <c r="I26" s="734"/>
      <c r="J26" s="242" t="s">
        <v>60</v>
      </c>
      <c r="K26" s="243" t="s">
        <v>61</v>
      </c>
    </row>
    <row r="27" spans="2:11" ht="23.25" customHeight="1">
      <c r="G27" s="264"/>
      <c r="H27" s="719" t="str">
        <f>'Data Entry'!B61</f>
        <v>Days taken to submit final PU/DR to LFA</v>
      </c>
      <c r="I27" s="720"/>
      <c r="J27" s="244">
        <f>+'Data Entry'!C61</f>
        <v>60</v>
      </c>
      <c r="K27" s="241" t="str">
        <f>+'Data Entry'!D61</f>
        <v>N/A</v>
      </c>
    </row>
    <row r="28" spans="2:11" ht="21" customHeight="1">
      <c r="G28" s="264"/>
      <c r="H28" s="719" t="str">
        <f>'Data Entry'!B62</f>
        <v>Days taken for disbursement to reach PR</v>
      </c>
      <c r="I28" s="720"/>
      <c r="J28" s="244">
        <f>+'Data Entry'!C62</f>
        <v>45</v>
      </c>
      <c r="K28" s="241" t="str">
        <f>+'Data Entry'!D62</f>
        <v>N/A</v>
      </c>
    </row>
    <row r="29" spans="2:11" ht="21" customHeight="1" thickBot="1">
      <c r="G29" s="264"/>
      <c r="H29" s="721" t="str">
        <f>'Data Entry'!B63</f>
        <v xml:space="preserve">Days taken for disbursement to reach SRs </v>
      </c>
      <c r="I29" s="722"/>
      <c r="J29" s="245">
        <f>+'Data Entry'!C63</f>
        <v>5</v>
      </c>
      <c r="K29" s="246">
        <f>+'Data Entry'!D63</f>
        <v>5</v>
      </c>
    </row>
    <row r="31" spans="2:11">
      <c r="D31" s="184"/>
    </row>
    <row r="32" spans="2:11">
      <c r="D32" s="184"/>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C4:D4">
    <cfRule type="cellIs" dxfId="27" priority="1" stopIfTrue="1" operator="equal">
      <formula>"C"</formula>
    </cfRule>
    <cfRule type="cellIs" dxfId="26" priority="2" stopIfTrue="1" operator="equal">
      <formula>"B2"</formula>
    </cfRule>
    <cfRule type="cellIs" dxfId="25" priority="3" stopIfTrue="1" operator="equal">
      <formula>"B1"</formula>
    </cfRule>
  </conditionalFormatting>
  <conditionalFormatting sqref="K27:K29">
    <cfRule type="cellIs" dxfId="24" priority="4" stopIfTrue="1" operator="greaterThan">
      <formula>#REF!</formula>
    </cfRule>
    <cfRule type="cellIs" dxfId="23" priority="5" stopIfTrue="1" operator="between">
      <formula>#REF!</formula>
      <formula>1</formula>
    </cfRule>
    <cfRule type="cellIs" dxfId="22" priority="6" stopIfTrue="1" operator="equal">
      <formula>0</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7"/>
  <sheetViews>
    <sheetView showGridLines="0" topLeftCell="B22" zoomScaleNormal="100" zoomScalePageLayoutView="130" workbookViewId="0">
      <selection activeCell="O37" sqref="O37"/>
    </sheetView>
  </sheetViews>
  <sheetFormatPr defaultColWidth="11" defaultRowHeight="15"/>
  <cols>
    <col min="1" max="1" width="3.28515625" customWidth="1"/>
    <col min="2" max="2" width="10.42578125" customWidth="1"/>
    <col min="3" max="3" width="8.710937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7.28515625" customWidth="1"/>
    <col min="11" max="11" width="13.42578125" customWidth="1"/>
    <col min="12" max="12" width="14.140625" customWidth="1"/>
    <col min="13" max="13" width="4.28515625" customWidth="1"/>
  </cols>
  <sheetData>
    <row r="1" spans="1:16" ht="28.5" customHeight="1">
      <c r="C1" s="181"/>
      <c r="E1" s="101"/>
    </row>
    <row r="2" spans="1:16" ht="27.75" customHeight="1">
      <c r="B2" s="738" t="str">
        <f>+"Dashboard:  "&amp;"  "&amp;IF(+'Data Entry'!C4="Please Select","",'Data Entry'!C4&amp;" - ")&amp;IF('Data Entry'!G6="Please Select","",'Data Entry'!G6)</f>
        <v>Dashboard:    Georgia - HIVAIDS / TB</v>
      </c>
      <c r="C2" s="738"/>
      <c r="D2" s="738"/>
      <c r="E2" s="738"/>
      <c r="F2" s="738"/>
      <c r="G2" s="738"/>
      <c r="H2" s="738"/>
      <c r="I2" s="738"/>
      <c r="J2" s="738"/>
      <c r="K2" s="738"/>
      <c r="L2" s="738"/>
      <c r="M2" s="19"/>
      <c r="N2" s="19"/>
      <c r="O2" s="19"/>
      <c r="P2" s="19"/>
    </row>
    <row r="3" spans="1:16">
      <c r="B3" s="17" t="str">
        <f>+IF('Data Entry'!G8="Please Select","",'Data Entry'!G8)</f>
        <v>NFM</v>
      </c>
      <c r="C3" s="727" t="str">
        <f>+IF('Data Entry'!I8="Please Select","",'Data Entry'!I8)</f>
        <v>Phase 3</v>
      </c>
      <c r="D3" s="727"/>
      <c r="E3" s="726"/>
      <c r="F3" s="726"/>
      <c r="G3" s="726"/>
      <c r="H3" s="726"/>
      <c r="I3" s="726"/>
      <c r="J3" s="724" t="str">
        <f>+'Data Entry'!B16</f>
        <v>Report Period:</v>
      </c>
      <c r="K3" s="724"/>
      <c r="L3" s="160" t="s">
        <v>105</v>
      </c>
    </row>
    <row r="4" spans="1:16">
      <c r="B4" s="17" t="str">
        <f>+'Data Entry'!B12</f>
        <v>Latest Rating:</v>
      </c>
      <c r="C4" s="728" t="str">
        <f>+IF('Data Entry'!C12="Please Select","",'Data Entry'!C12)</f>
        <v>B2</v>
      </c>
      <c r="D4" s="728"/>
      <c r="E4" s="726" t="str">
        <f>+'Data Entry'!C8</f>
        <v>NCDC</v>
      </c>
      <c r="F4" s="726"/>
      <c r="G4" s="726"/>
      <c r="H4" s="726"/>
      <c r="I4" s="726"/>
      <c r="J4" s="724" t="str">
        <f>+'Data Entry'!D16</f>
        <v>From:</v>
      </c>
      <c r="K4" s="725"/>
      <c r="L4" s="161">
        <f>+IF(ISBLANK('Data Entry'!E16),"",'Data Entry'!E16)</f>
        <v>44927</v>
      </c>
    </row>
    <row r="5" spans="1:16" ht="34.5" customHeight="1">
      <c r="B5" s="17"/>
      <c r="C5" s="17"/>
      <c r="D5" s="723" t="str">
        <f>+'Data Entry'!G4</f>
        <v>Strengthening of HIV and Tuberculosis (TB) national systems of prevention, treatment, care and support in Georgia</v>
      </c>
      <c r="E5" s="723"/>
      <c r="F5" s="723"/>
      <c r="G5" s="723"/>
      <c r="H5" s="723"/>
      <c r="I5" s="723"/>
      <c r="J5" s="723"/>
      <c r="K5" s="17" t="str">
        <f>+'Data Entry'!F16</f>
        <v>To:</v>
      </c>
      <c r="L5" s="161">
        <f>+IF(ISBLANK('Data Entry'!G16),"",'Data Entry'!G16)</f>
        <v>45016</v>
      </c>
    </row>
    <row r="6" spans="1:16" ht="18.75">
      <c r="B6" s="16"/>
      <c r="C6" s="17"/>
      <c r="D6" s="18"/>
      <c r="E6" s="729" t="s">
        <v>69</v>
      </c>
      <c r="F6" s="729"/>
      <c r="G6" s="729"/>
      <c r="H6" s="729"/>
      <c r="I6" s="729"/>
    </row>
    <row r="7" spans="1:16">
      <c r="B7" s="299" t="str">
        <f>+'Data Entry'!B68&amp;"                "&amp;+J3&amp;" "&amp;+L3</f>
        <v>M1: Status of Conditions Precedent (CPs) and Time Bound Actions (TBAs)                Report Period: P1</v>
      </c>
      <c r="C7" s="14"/>
      <c r="H7" s="299" t="str">
        <f>+'Data Entry'!B75&amp;"                                                                             "&amp;+J3&amp;"  "&amp;+L3</f>
        <v>M2: Status of key PR management positions                                                                             Report Period:  P1</v>
      </c>
    </row>
    <row r="8" spans="1:16">
      <c r="B8" s="281" t="s">
        <v>9</v>
      </c>
      <c r="C8" s="716"/>
      <c r="D8" s="736"/>
      <c r="E8" s="736"/>
      <c r="F8" s="737"/>
      <c r="G8" s="300"/>
      <c r="H8" s="281" t="s">
        <v>9</v>
      </c>
      <c r="I8" s="716"/>
      <c r="J8" s="740"/>
      <c r="K8" s="740"/>
      <c r="L8" s="741"/>
    </row>
    <row r="10" spans="1:16">
      <c r="A10" s="34"/>
      <c r="D10" s="745"/>
      <c r="E10" s="534"/>
      <c r="F10" s="534"/>
      <c r="G10" s="33"/>
      <c r="N10" s="36"/>
      <c r="O10" s="36"/>
      <c r="P10" s="35"/>
    </row>
    <row r="11" spans="1:16">
      <c r="C11" s="21"/>
      <c r="D11" s="745"/>
      <c r="E11" s="21"/>
      <c r="F11" s="21"/>
      <c r="G11" s="21"/>
      <c r="H11" s="21"/>
    </row>
    <row r="12" spans="1:16">
      <c r="B12" s="21"/>
      <c r="C12" s="60"/>
      <c r="D12" s="61"/>
      <c r="E12" s="61"/>
      <c r="F12" s="61"/>
      <c r="G12" s="61"/>
      <c r="H12" s="62"/>
    </row>
    <row r="13" spans="1:16">
      <c r="B13" s="21"/>
      <c r="C13" s="60"/>
      <c r="D13" s="61"/>
      <c r="E13" s="61"/>
      <c r="F13" s="61"/>
      <c r="G13" s="61"/>
      <c r="H13" s="62"/>
    </row>
    <row r="15" spans="1:16" ht="27.75" customHeight="1">
      <c r="B15" s="299" t="str">
        <f>+'Data Entry'!B80&amp;"                                                                                                  "&amp;+J3&amp;" "&amp;+L3</f>
        <v>M3: Contractual arrangements                                                                                                  Report Period: P1</v>
      </c>
      <c r="H15" s="299" t="str">
        <f>+'Data Entry'!B85&amp;"                                                             "&amp;+J3&amp;" "&amp;+L3</f>
        <v>M4: Number of complete reports received on time                                                             Report Period: P1</v>
      </c>
    </row>
    <row r="16" spans="1:16">
      <c r="B16" s="281" t="s">
        <v>9</v>
      </c>
      <c r="C16" s="716"/>
      <c r="D16" s="740"/>
      <c r="E16" s="740"/>
      <c r="F16" s="741"/>
      <c r="G16" s="300"/>
      <c r="H16" s="281" t="s">
        <v>9</v>
      </c>
      <c r="I16" s="716"/>
      <c r="J16" s="736"/>
      <c r="K16" s="736"/>
      <c r="L16" s="737"/>
    </row>
    <row r="17" spans="2:13">
      <c r="B17" s="22"/>
      <c r="H17" s="22"/>
    </row>
    <row r="18" spans="2:13">
      <c r="M18" s="64"/>
    </row>
    <row r="26" spans="2:13">
      <c r="B26" s="299" t="str">
        <f>+'Data Entry'!B91</f>
        <v>M5: Budget and Procurement of health products, health equipment, medicines and pharmaceuticals</v>
      </c>
      <c r="H26" s="299" t="str">
        <f>+'Data Entry'!B104&amp;"                                                                "&amp;+J3&amp;"  "&amp;+L3</f>
        <v>M6: Difference between current and safety stock                                                                Report Period:  P1</v>
      </c>
    </row>
    <row r="27" spans="2:13" ht="72.95" customHeight="1">
      <c r="B27" s="280" t="s">
        <v>9</v>
      </c>
      <c r="C27" s="735"/>
      <c r="D27" s="740"/>
      <c r="E27" s="740"/>
      <c r="F27" s="741"/>
      <c r="G27" s="300"/>
      <c r="H27" s="281" t="s">
        <v>9</v>
      </c>
      <c r="I27" s="742"/>
      <c r="J27" s="743"/>
      <c r="K27" s="743"/>
      <c r="L27" s="744"/>
    </row>
    <row r="28" spans="2:13" ht="15.75" thickBot="1">
      <c r="I28" s="222" t="s">
        <v>434</v>
      </c>
    </row>
    <row r="29" spans="2:13" ht="55.5" customHeight="1">
      <c r="F29" s="266"/>
      <c r="G29" s="266"/>
      <c r="H29" s="405" t="s">
        <v>32</v>
      </c>
      <c r="I29" s="406" t="s">
        <v>79</v>
      </c>
      <c r="J29" s="407" t="s">
        <v>340</v>
      </c>
      <c r="K29" s="408" t="s">
        <v>328</v>
      </c>
      <c r="L29" s="409" t="s">
        <v>327</v>
      </c>
    </row>
    <row r="30" spans="2:13" ht="25.5" customHeight="1">
      <c r="F30" s="266"/>
      <c r="G30" s="266"/>
      <c r="H30" s="464" t="str">
        <f>+'Data Entry'!B107</f>
        <v>HIV / AIDS</v>
      </c>
      <c r="I30" s="451" t="str">
        <f>+'Data Entry'!C107</f>
        <v>Dolutegravir/lamivudine/tenofovir</v>
      </c>
      <c r="J30" s="384">
        <f>'Data Entry'!I107</f>
        <v>9.1283900750144262</v>
      </c>
      <c r="K30" s="385">
        <f>+'Data Entry'!J107</f>
        <v>3</v>
      </c>
      <c r="L30" s="899">
        <f>J30-K30</f>
        <v>6.1283900750144262</v>
      </c>
    </row>
    <row r="31" spans="2:13" ht="30" customHeight="1">
      <c r="F31" s="266"/>
      <c r="G31" s="266"/>
      <c r="H31" s="464" t="str">
        <f>+'Data Entry'!B108</f>
        <v>HIV / AIDS</v>
      </c>
      <c r="I31" s="451" t="str">
        <f>+'Data Entry'!C108</f>
        <v>Syringes (1ml)</v>
      </c>
      <c r="J31" s="384">
        <f>'Data Entry'!I108</f>
        <v>11.232596899224806</v>
      </c>
      <c r="K31" s="385">
        <v>3</v>
      </c>
      <c r="L31" s="899">
        <f t="shared" ref="L31:L37" si="0">J31-K31</f>
        <v>8.2325968992248058</v>
      </c>
    </row>
    <row r="32" spans="2:13">
      <c r="F32" s="266"/>
      <c r="G32" s="266"/>
      <c r="H32" s="464" t="str">
        <f>+'Data Entry'!B109</f>
        <v>HIV / AIDS</v>
      </c>
      <c r="I32" s="451" t="str">
        <f>+'Data Entry'!C109</f>
        <v>Condoms</v>
      </c>
      <c r="J32" s="384">
        <f>'Data Entry'!I109</f>
        <v>3.2379558193208045</v>
      </c>
      <c r="K32" s="385">
        <v>3</v>
      </c>
      <c r="L32" s="899">
        <f t="shared" si="0"/>
        <v>0.23795581932080445</v>
      </c>
      <c r="M32" t="s">
        <v>467</v>
      </c>
    </row>
    <row r="33" spans="2:12">
      <c r="F33" s="266"/>
      <c r="G33" s="266"/>
      <c r="H33" s="464" t="str">
        <f>+'Data Entry'!B110</f>
        <v>HIV / AIDS</v>
      </c>
      <c r="I33" s="451" t="str">
        <f>+'Data Entry'!C110</f>
        <v>Lubricants</v>
      </c>
      <c r="J33" s="384">
        <f>'Data Entry'!I110</f>
        <v>10.095522731970464</v>
      </c>
      <c r="K33" s="450">
        <v>3</v>
      </c>
      <c r="L33" s="899">
        <f t="shared" si="0"/>
        <v>7.0955227319704637</v>
      </c>
    </row>
    <row r="34" spans="2:12">
      <c r="F34" s="266"/>
      <c r="G34" s="266"/>
      <c r="H34" s="464" t="str">
        <f>+'Data Entry'!B111</f>
        <v>TB</v>
      </c>
      <c r="I34" s="451" t="str">
        <f>+'Data Entry'!C111</f>
        <v>Cycloserine</v>
      </c>
      <c r="J34" s="384">
        <f>'Data Entry'!I111</f>
        <v>37.774410248398688</v>
      </c>
      <c r="K34" s="450">
        <f>+'Data Entry'!J111</f>
        <v>3</v>
      </c>
      <c r="L34" s="899">
        <f t="shared" si="0"/>
        <v>34.774410248398688</v>
      </c>
    </row>
    <row r="35" spans="2:12">
      <c r="F35" s="266"/>
      <c r="G35" s="266"/>
      <c r="H35" s="464" t="str">
        <f>+'Data Entry'!B112</f>
        <v>TB</v>
      </c>
      <c r="I35" s="451" t="str">
        <f>+'Data Entry'!C112</f>
        <v>Moxifloxacin</v>
      </c>
      <c r="J35" s="384">
        <f>'Data Entry'!I112</f>
        <v>9.0022505626406613</v>
      </c>
      <c r="K35" s="450">
        <f>+'Data Entry'!J112</f>
        <v>3</v>
      </c>
      <c r="L35" s="899">
        <f t="shared" si="0"/>
        <v>6.0022505626406613</v>
      </c>
    </row>
    <row r="36" spans="2:12">
      <c r="F36" s="266"/>
      <c r="G36" s="266"/>
      <c r="H36" s="464" t="str">
        <f>+'Data Entry'!B113</f>
        <v>TB</v>
      </c>
      <c r="I36" s="451" t="str">
        <f>+'Data Entry'!C113</f>
        <v>Clofazimine</v>
      </c>
      <c r="J36" s="384">
        <f>'Data Entry'!I113</f>
        <v>28.461423444976077</v>
      </c>
      <c r="K36" s="450">
        <f>+'Data Entry'!J113</f>
        <v>3</v>
      </c>
      <c r="L36" s="899">
        <f t="shared" si="0"/>
        <v>25.461423444976077</v>
      </c>
    </row>
    <row r="37" spans="2:12" ht="24.75" customHeight="1">
      <c r="B37" s="739" t="str">
        <f>+'Data Entry'!B101</f>
        <v>* Includes only EFR category 4 and 5  (Health products and health equipment &amp; Medicines and Pharmaceuticals)</v>
      </c>
      <c r="C37" s="739"/>
      <c r="D37" s="739"/>
      <c r="E37" s="739"/>
      <c r="H37" s="465" t="str">
        <f>+'Data Entry'!B114</f>
        <v>TB</v>
      </c>
      <c r="I37" s="451" t="str">
        <f>+'Data Entry'!C114</f>
        <v>Linezolid</v>
      </c>
      <c r="J37" s="896">
        <f>'Data Entry'!I114</f>
        <v>20.115185601799777</v>
      </c>
      <c r="K37" s="897">
        <f>+'Data Entry'!J114</f>
        <v>3</v>
      </c>
      <c r="L37" s="899">
        <f t="shared" si="0"/>
        <v>17.115185601799777</v>
      </c>
    </row>
  </sheetData>
  <mergeCells count="18">
    <mergeCell ref="E10:F10"/>
    <mergeCell ref="C8:F8"/>
    <mergeCell ref="B37:E37"/>
    <mergeCell ref="C27:F27"/>
    <mergeCell ref="C3:D3"/>
    <mergeCell ref="E4:I4"/>
    <mergeCell ref="I8:L8"/>
    <mergeCell ref="I16:L16"/>
    <mergeCell ref="I27:L27"/>
    <mergeCell ref="D10:D11"/>
    <mergeCell ref="C16:F16"/>
    <mergeCell ref="B2:L2"/>
    <mergeCell ref="C4:D4"/>
    <mergeCell ref="E6:I6"/>
    <mergeCell ref="E3:I3"/>
    <mergeCell ref="J3:K3"/>
    <mergeCell ref="J4:K4"/>
    <mergeCell ref="D5:J5"/>
  </mergeCells>
  <phoneticPr fontId="30" type="noConversion"/>
  <conditionalFormatting sqref="C4:D4">
    <cfRule type="cellIs" dxfId="21" priority="4" stopIfTrue="1" operator="equal">
      <formula>"C"</formula>
    </cfRule>
    <cfRule type="cellIs" dxfId="20" priority="5" stopIfTrue="1" operator="equal">
      <formula>"B2"</formula>
    </cfRule>
    <cfRule type="cellIs" dxfId="19" priority="6" stopIfTrue="1" operator="equal">
      <formula>"B1"</formula>
    </cfRule>
  </conditionalFormatting>
  <conditionalFormatting sqref="D12:D13">
    <cfRule type="cellIs" dxfId="18" priority="1" stopIfTrue="1" operator="greaterThan">
      <formula>0</formula>
    </cfRule>
  </conditionalFormatting>
  <conditionalFormatting sqref="E12:E13">
    <cfRule type="cellIs" dxfId="17" priority="2" stopIfTrue="1" operator="greaterThan">
      <formula>0</formula>
    </cfRule>
  </conditionalFormatting>
  <conditionalFormatting sqref="F12:G13">
    <cfRule type="cellIs" dxfId="16" priority="3" stopIfTrue="1" operator="greaterThan">
      <formula>0</formula>
    </cfRule>
  </conditionalFormatting>
  <conditionalFormatting sqref="L30:L37">
    <cfRule type="cellIs" dxfId="15" priority="13" stopIfTrue="1" operator="lessThan">
      <formula>1</formula>
    </cfRule>
    <cfRule type="cellIs" dxfId="14" priority="14" stopIfTrue="1" operator="between">
      <formula>3</formula>
      <formula>40</formula>
    </cfRule>
    <cfRule type="cellIs" dxfId="13"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D48"/>
  <sheetViews>
    <sheetView showGridLines="0" zoomScale="90" zoomScaleNormal="95" workbookViewId="0">
      <selection activeCell="L27" sqref="L27:Q27"/>
    </sheetView>
  </sheetViews>
  <sheetFormatPr defaultColWidth="11" defaultRowHeight="15"/>
  <cols>
    <col min="1" max="1" width="4" customWidth="1"/>
    <col min="2" max="2" width="12.85546875" customWidth="1"/>
    <col min="3" max="3" width="16.140625" customWidth="1"/>
    <col min="4" max="4" width="23.42578125" customWidth="1"/>
    <col min="5" max="5" width="13.28515625" customWidth="1"/>
    <col min="6" max="6" width="10.28515625" customWidth="1"/>
    <col min="7" max="7" width="5.7109375" customWidth="1"/>
    <col min="8" max="8" width="6.28515625" customWidth="1"/>
    <col min="9" max="9" width="6" customWidth="1"/>
    <col min="10" max="10" width="4.140625" customWidth="1"/>
    <col min="11" max="11" width="17.5703125" customWidth="1"/>
    <col min="12" max="12" width="8.42578125" customWidth="1"/>
    <col min="13" max="13" width="5" customWidth="1"/>
    <col min="14" max="14" width="6.42578125" customWidth="1"/>
    <col min="15" max="15" width="8.140625" customWidth="1"/>
    <col min="16" max="16" width="10.7109375" customWidth="1"/>
    <col min="17" max="17" width="24.42578125" customWidth="1"/>
  </cols>
  <sheetData>
    <row r="1" spans="2:30" ht="26.25" customHeight="1"/>
    <row r="2" spans="2:30" ht="21.75" customHeight="1">
      <c r="B2" s="738" t="str">
        <f>+"Dashboard:  "&amp;"  "&amp;IF(+'Data Entry'!C4="Please Select","",'Data Entry'!C4&amp;" - ")&amp;IF('Data Entry'!G6="Please Select","",'Data Entry'!G6)</f>
        <v>Dashboard:    Georgia - HIVAIDS / TB</v>
      </c>
      <c r="C2" s="738"/>
      <c r="D2" s="738"/>
      <c r="E2" s="738"/>
      <c r="F2" s="738"/>
      <c r="G2" s="738"/>
      <c r="H2" s="738"/>
      <c r="I2" s="738"/>
      <c r="J2" s="738"/>
      <c r="K2" s="738"/>
      <c r="L2" s="738"/>
      <c r="M2" s="738"/>
      <c r="N2" s="738"/>
      <c r="O2" s="738"/>
      <c r="P2" s="738"/>
      <c r="Q2" s="738"/>
    </row>
    <row r="3" spans="2:30" ht="18.75">
      <c r="B3" s="17" t="str">
        <f>+IF('Data Entry'!G8="Please Select","",'Data Entry'!G8)</f>
        <v>NFM</v>
      </c>
      <c r="C3" s="727" t="str">
        <f>+IF('Data Entry'!I8="Please Select","",'Data Entry'!I8)</f>
        <v>Phase 3</v>
      </c>
      <c r="D3" s="727"/>
      <c r="E3" s="726"/>
      <c r="F3" s="726"/>
      <c r="G3" s="726"/>
      <c r="H3" s="726"/>
      <c r="I3" s="479"/>
      <c r="J3" s="479"/>
      <c r="K3" s="479"/>
      <c r="O3" s="724" t="str">
        <f>+'Data Entry'!B16</f>
        <v>Report Period:</v>
      </c>
      <c r="P3" s="724"/>
      <c r="Q3" s="428" t="str">
        <f>+'Data Entry'!C16</f>
        <v>P1</v>
      </c>
    </row>
    <row r="4" spans="2:30" ht="12" customHeight="1">
      <c r="B4" s="17" t="str">
        <f>+'Data Entry'!B12</f>
        <v>Latest Rating:</v>
      </c>
      <c r="C4" s="787" t="str">
        <f>+IF('Data Entry'!C12="Please Select","",'Data Entry'!C12)</f>
        <v>B2</v>
      </c>
      <c r="D4" s="787"/>
      <c r="E4" s="726" t="str">
        <f>+'Data Entry'!C8</f>
        <v>NCDC</v>
      </c>
      <c r="F4" s="726"/>
      <c r="G4" s="726"/>
      <c r="H4" s="726"/>
      <c r="I4" s="726"/>
      <c r="J4" s="726"/>
      <c r="K4" s="726"/>
      <c r="L4" s="726"/>
      <c r="O4" s="16"/>
      <c r="P4" s="17" t="str">
        <f>+'Data Entry'!D16</f>
        <v>From:</v>
      </c>
      <c r="Q4" s="268">
        <f>+IF(ISBLANK('Data Entry'!E16),"",'Data Entry'!E16)</f>
        <v>44927</v>
      </c>
      <c r="T4" s="12"/>
      <c r="U4" s="12"/>
      <c r="V4" s="12"/>
      <c r="W4" s="12"/>
      <c r="X4" s="12"/>
    </row>
    <row r="5" spans="2:30" ht="15.75" customHeight="1">
      <c r="B5" s="17"/>
      <c r="C5" s="17"/>
      <c r="D5" s="726" t="str">
        <f>+'Data Entry'!G4</f>
        <v>Strengthening of HIV and Tuberculosis (TB) national systems of prevention, treatment, care and support in Georgia</v>
      </c>
      <c r="E5" s="726"/>
      <c r="F5" s="726"/>
      <c r="G5" s="726"/>
      <c r="H5" s="726"/>
      <c r="I5" s="726"/>
      <c r="J5" s="726"/>
      <c r="K5" s="726"/>
      <c r="L5" s="726"/>
      <c r="M5" s="726"/>
      <c r="N5" s="726"/>
      <c r="P5" s="17" t="str">
        <f>+'Data Entry'!F16</f>
        <v>To:</v>
      </c>
      <c r="Q5" s="268">
        <f>+IF(ISBLANK('Data Entry'!G16),"",'Data Entry'!G16)</f>
        <v>45016</v>
      </c>
      <c r="R5" s="176"/>
      <c r="S5" s="176"/>
      <c r="T5" s="12"/>
      <c r="U5" s="12"/>
      <c r="V5" s="12" t="s">
        <v>42</v>
      </c>
      <c r="W5" s="12"/>
      <c r="X5" s="12" t="s">
        <v>263</v>
      </c>
      <c r="Y5" s="176"/>
      <c r="Z5" s="176"/>
      <c r="AA5" s="176"/>
      <c r="AB5" s="176"/>
      <c r="AC5" s="176"/>
      <c r="AD5" s="176"/>
    </row>
    <row r="6" spans="2:30" ht="15.75" customHeight="1">
      <c r="B6" s="17"/>
      <c r="C6" s="17"/>
      <c r="D6" s="174"/>
      <c r="E6" s="174"/>
      <c r="F6" s="786" t="s">
        <v>387</v>
      </c>
      <c r="G6" s="786"/>
      <c r="H6" s="786"/>
      <c r="I6" s="786"/>
      <c r="J6" s="786"/>
      <c r="K6" s="786"/>
      <c r="L6" s="174"/>
      <c r="O6" s="162"/>
      <c r="P6" s="203"/>
      <c r="R6" s="176"/>
      <c r="S6" s="176"/>
      <c r="T6" s="12"/>
      <c r="U6" s="12"/>
      <c r="V6" s="12"/>
      <c r="W6" s="12"/>
      <c r="X6" s="12"/>
      <c r="Y6" s="176"/>
      <c r="Z6" s="176"/>
      <c r="AA6" s="176"/>
      <c r="AB6" s="176"/>
      <c r="AC6" s="176"/>
      <c r="AD6" s="176"/>
    </row>
    <row r="7" spans="2:30" ht="3" customHeight="1">
      <c r="B7" s="17"/>
      <c r="C7" s="17"/>
      <c r="D7" s="174"/>
      <c r="E7" s="174"/>
      <c r="F7" s="174"/>
      <c r="G7" s="174"/>
      <c r="H7" s="174"/>
      <c r="I7" s="174"/>
      <c r="J7" s="174"/>
      <c r="K7" s="174"/>
      <c r="L7" s="174"/>
      <c r="O7" s="162"/>
      <c r="P7" s="161"/>
      <c r="Q7" s="161"/>
      <c r="R7" s="176"/>
      <c r="S7" s="176"/>
      <c r="T7" s="12"/>
      <c r="U7" s="12"/>
      <c r="V7" s="12"/>
      <c r="W7" s="12"/>
      <c r="X7" s="12"/>
      <c r="Y7" s="176"/>
      <c r="Z7" s="176"/>
      <c r="AA7" s="176"/>
      <c r="AB7" s="176"/>
      <c r="AC7" s="176"/>
      <c r="AD7" s="176"/>
    </row>
    <row r="8" spans="2:30" ht="18.75" customHeight="1">
      <c r="B8" s="755" t="str">
        <f>+'Data Entry'!B120</f>
        <v>Percentage of PWID that have received an HIV test during the reporting period and know their results</v>
      </c>
      <c r="C8" s="755"/>
      <c r="D8" s="755"/>
      <c r="E8" s="755"/>
      <c r="F8" s="755" t="str">
        <f>+'Data Entry'!B122</f>
        <v>Percentage of MSM reached with HIV prevention programs - defined package of services</v>
      </c>
      <c r="G8" s="755"/>
      <c r="H8" s="755"/>
      <c r="I8" s="755"/>
      <c r="J8" s="755"/>
      <c r="K8" s="755"/>
      <c r="L8" s="755" t="str">
        <f>+'Data Entry'!B124</f>
        <v xml:space="preserve">  Percentage of people on ART among all people living with HIV at the end of the reporting period</v>
      </c>
      <c r="M8" s="755"/>
      <c r="N8" s="755"/>
      <c r="O8" s="755"/>
      <c r="P8" s="755"/>
      <c r="Q8" s="755"/>
      <c r="R8" s="176"/>
      <c r="S8" s="176"/>
      <c r="T8" s="12"/>
      <c r="U8" s="12"/>
      <c r="V8" s="12"/>
      <c r="W8" s="12"/>
      <c r="X8" s="12"/>
      <c r="Y8" s="176"/>
      <c r="Z8" s="176"/>
      <c r="AA8" s="176"/>
      <c r="AB8" s="176"/>
      <c r="AC8" s="176"/>
      <c r="AD8" s="176"/>
    </row>
    <row r="9" spans="2:30" ht="24" customHeight="1">
      <c r="B9" s="352" t="s">
        <v>405</v>
      </c>
      <c r="C9" s="752"/>
      <c r="D9" s="756"/>
      <c r="E9" s="757"/>
      <c r="F9" s="352" t="s">
        <v>406</v>
      </c>
      <c r="G9" s="752"/>
      <c r="H9" s="758"/>
      <c r="I9" s="758"/>
      <c r="J9" s="758"/>
      <c r="K9" s="759"/>
      <c r="L9" s="352" t="s">
        <v>407</v>
      </c>
      <c r="M9" s="752"/>
      <c r="N9" s="753"/>
      <c r="O9" s="753"/>
      <c r="P9" s="753"/>
      <c r="Q9" s="754"/>
      <c r="R9" s="176"/>
      <c r="S9" s="176"/>
      <c r="T9" s="176"/>
      <c r="U9" s="176"/>
      <c r="V9" s="176"/>
      <c r="W9" s="176"/>
      <c r="X9" s="176"/>
      <c r="Y9" s="176"/>
      <c r="Z9" s="176"/>
      <c r="AA9" s="176"/>
      <c r="AB9" s="176"/>
      <c r="AC9" s="176"/>
      <c r="AD9" s="176"/>
    </row>
    <row r="10" spans="2:30" ht="18.75" customHeight="1">
      <c r="B10" s="17"/>
      <c r="C10" s="17"/>
      <c r="D10" s="174"/>
      <c r="E10" s="174"/>
      <c r="F10" s="174"/>
      <c r="G10" s="174"/>
      <c r="H10" s="174"/>
      <c r="I10" s="174"/>
      <c r="J10" s="174"/>
      <c r="K10" s="174"/>
      <c r="L10" s="174"/>
      <c r="O10" s="162"/>
      <c r="P10" s="161"/>
      <c r="R10" s="176"/>
      <c r="S10" s="176"/>
      <c r="T10" s="176"/>
      <c r="U10" s="176"/>
      <c r="V10" s="176"/>
      <c r="W10" s="176"/>
      <c r="X10" s="176"/>
      <c r="Y10" s="176"/>
      <c r="Z10" s="176"/>
      <c r="AA10" s="176"/>
      <c r="AB10" s="176"/>
      <c r="AC10" s="176"/>
      <c r="AD10" s="176"/>
    </row>
    <row r="11" spans="2:30" ht="18.75" customHeight="1">
      <c r="B11" s="17"/>
      <c r="C11" s="17"/>
      <c r="D11" s="174"/>
      <c r="E11" s="174"/>
      <c r="F11" s="174"/>
      <c r="G11" s="174"/>
      <c r="H11" s="174"/>
      <c r="I11" s="174"/>
      <c r="J11" s="174"/>
      <c r="K11" s="174"/>
      <c r="L11" s="174"/>
      <c r="O11" s="162"/>
      <c r="P11" s="161"/>
      <c r="R11" s="176"/>
      <c r="S11" s="176"/>
      <c r="T11" s="176"/>
      <c r="U11" s="176"/>
      <c r="V11" s="176"/>
      <c r="W11" s="176"/>
      <c r="X11" s="176"/>
      <c r="Y11" s="176"/>
      <c r="Z11" s="176"/>
      <c r="AA11" s="176"/>
      <c r="AB11" s="176"/>
      <c r="AC11" s="176"/>
      <c r="AD11" s="176"/>
    </row>
    <row r="12" spans="2:30" ht="18.75" customHeight="1">
      <c r="B12" s="17"/>
      <c r="C12" s="17"/>
      <c r="D12" s="174"/>
      <c r="E12" s="174"/>
      <c r="F12" s="174"/>
      <c r="G12" s="174"/>
      <c r="H12" s="174"/>
      <c r="I12" s="174"/>
      <c r="J12" s="174"/>
      <c r="K12" s="174"/>
      <c r="L12" s="174"/>
      <c r="O12" s="162"/>
      <c r="P12" s="161"/>
      <c r="R12" s="176"/>
      <c r="S12" s="176"/>
      <c r="T12" s="176"/>
      <c r="U12" s="176"/>
      <c r="V12" s="176"/>
      <c r="W12" s="176"/>
      <c r="X12" s="176"/>
      <c r="Y12" s="176"/>
      <c r="Z12" s="176"/>
      <c r="AA12" s="176"/>
      <c r="AB12" s="176"/>
      <c r="AC12" s="176"/>
      <c r="AD12" s="176"/>
    </row>
    <row r="13" spans="2:30" ht="18.75" customHeight="1">
      <c r="B13" s="17"/>
      <c r="C13" s="17"/>
      <c r="D13" s="174"/>
      <c r="E13" s="174"/>
      <c r="F13" s="174"/>
      <c r="G13" s="174"/>
      <c r="H13" s="174"/>
      <c r="I13" s="174"/>
      <c r="J13" s="174"/>
      <c r="K13" s="174"/>
      <c r="L13" s="174"/>
      <c r="O13" s="162"/>
      <c r="P13" s="161"/>
      <c r="R13" s="176"/>
      <c r="S13" s="176"/>
      <c r="T13" s="176"/>
      <c r="U13" s="176"/>
      <c r="V13" s="176"/>
      <c r="W13" s="176"/>
      <c r="X13" s="176"/>
      <c r="Y13" s="176"/>
      <c r="Z13" s="176"/>
      <c r="AA13" s="176"/>
      <c r="AB13" s="176"/>
      <c r="AC13" s="176"/>
      <c r="AD13" s="176"/>
    </row>
    <row r="14" spans="2:30" ht="18.75" customHeight="1">
      <c r="B14" s="17"/>
      <c r="C14" s="17"/>
      <c r="D14" s="174"/>
      <c r="E14" s="174"/>
      <c r="F14" s="174"/>
      <c r="G14" s="174"/>
      <c r="H14" s="174"/>
      <c r="I14" s="174"/>
      <c r="J14" s="174"/>
      <c r="K14" s="174"/>
      <c r="L14" s="174"/>
      <c r="O14" s="162"/>
      <c r="P14" s="161"/>
      <c r="R14" s="176"/>
      <c r="S14" s="176"/>
      <c r="T14" s="176"/>
      <c r="U14" s="176"/>
      <c r="V14" s="176"/>
      <c r="W14" s="176"/>
      <c r="X14" s="176"/>
      <c r="Y14" s="176"/>
      <c r="Z14" s="176"/>
      <c r="AA14" s="176"/>
      <c r="AB14" s="176"/>
      <c r="AC14" s="176"/>
      <c r="AD14" s="176"/>
    </row>
    <row r="15" spans="2:30" ht="18.75" customHeight="1">
      <c r="B15" s="17"/>
      <c r="C15" s="17"/>
      <c r="D15" s="174"/>
      <c r="E15" s="174"/>
      <c r="F15" s="174"/>
      <c r="G15" s="174"/>
      <c r="H15" s="174"/>
      <c r="I15" s="174"/>
      <c r="J15" s="174"/>
      <c r="K15" s="174"/>
      <c r="L15" s="174"/>
      <c r="O15" s="162"/>
      <c r="P15" s="161"/>
      <c r="R15" s="176"/>
      <c r="S15" s="176"/>
      <c r="T15" s="176"/>
      <c r="U15" s="176"/>
      <c r="V15" s="176"/>
      <c r="W15" s="176"/>
      <c r="X15" s="176"/>
      <c r="Y15" s="176"/>
      <c r="Z15" s="176"/>
      <c r="AA15" s="176"/>
      <c r="AB15" s="176"/>
      <c r="AC15" s="176"/>
      <c r="AD15" s="176"/>
    </row>
    <row r="16" spans="2:30" ht="18.75" customHeight="1">
      <c r="B16" s="17"/>
      <c r="C16" s="17"/>
      <c r="D16" s="174"/>
      <c r="E16" s="174"/>
      <c r="F16" s="174"/>
      <c r="G16" s="174"/>
      <c r="H16" s="174"/>
      <c r="I16" s="174"/>
      <c r="J16" s="174"/>
      <c r="K16" s="174"/>
      <c r="L16" s="174"/>
      <c r="O16" s="162"/>
      <c r="P16" s="161"/>
      <c r="R16" s="176"/>
      <c r="S16" s="176"/>
      <c r="T16" s="176"/>
      <c r="U16" s="176"/>
      <c r="V16" s="176"/>
      <c r="W16" s="176"/>
      <c r="X16" s="176"/>
      <c r="Y16" s="176"/>
      <c r="Z16" s="176"/>
      <c r="AA16" s="176"/>
      <c r="AB16" s="176"/>
      <c r="AC16" s="176"/>
      <c r="AD16" s="176"/>
    </row>
    <row r="17" spans="1:30" ht="17.25" customHeight="1">
      <c r="B17" s="17"/>
      <c r="C17" s="17"/>
      <c r="D17" s="174"/>
      <c r="E17" s="174"/>
      <c r="F17" s="174"/>
      <c r="G17" s="174"/>
      <c r="H17" s="174"/>
      <c r="I17" s="174"/>
      <c r="J17" s="174"/>
      <c r="K17" s="174"/>
      <c r="L17" s="174"/>
      <c r="O17" s="162"/>
      <c r="P17" s="161"/>
      <c r="R17" s="176"/>
      <c r="S17" s="176"/>
      <c r="T17" s="176"/>
      <c r="U17" s="176"/>
      <c r="V17" s="176"/>
      <c r="W17" s="176"/>
      <c r="X17" s="176"/>
      <c r="Y17" s="176"/>
      <c r="Z17" s="176"/>
      <c r="AA17" s="176"/>
      <c r="AB17" s="176"/>
      <c r="AC17" s="176"/>
      <c r="AD17" s="176"/>
    </row>
    <row r="18" spans="1:30" ht="6" customHeight="1">
      <c r="B18" s="16"/>
      <c r="C18" s="17"/>
      <c r="D18" s="107"/>
      <c r="E18" s="764"/>
      <c r="F18" s="764"/>
      <c r="G18" s="764"/>
      <c r="H18" s="764"/>
      <c r="I18" s="764"/>
      <c r="J18" s="764"/>
      <c r="K18" s="764"/>
      <c r="R18" s="176"/>
      <c r="S18" s="176"/>
      <c r="T18" s="176"/>
      <c r="U18" s="176"/>
      <c r="V18" s="176"/>
      <c r="W18" s="176"/>
      <c r="X18" s="176"/>
      <c r="Y18" s="176"/>
      <c r="Z18" s="176"/>
      <c r="AA18" s="176"/>
      <c r="AB18" s="176"/>
      <c r="AC18" s="176"/>
      <c r="AD18" s="176"/>
    </row>
    <row r="19" spans="1:30" ht="24" customHeight="1">
      <c r="B19" s="765" t="s">
        <v>88</v>
      </c>
      <c r="C19" s="765"/>
      <c r="D19" s="765"/>
      <c r="E19" s="112" t="s">
        <v>85</v>
      </c>
      <c r="F19" s="112" t="s">
        <v>89</v>
      </c>
      <c r="G19" s="760" t="s">
        <v>329</v>
      </c>
      <c r="H19" s="761"/>
      <c r="I19" s="762" t="s">
        <v>330</v>
      </c>
      <c r="J19" s="763"/>
      <c r="K19" s="267" t="s">
        <v>331</v>
      </c>
      <c r="L19" s="766" t="s">
        <v>92</v>
      </c>
      <c r="M19" s="767"/>
      <c r="N19" s="767"/>
      <c r="O19" s="767"/>
      <c r="P19" s="767"/>
      <c r="Q19" s="768"/>
      <c r="R19" s="49" t="s">
        <v>90</v>
      </c>
      <c r="S19" s="51">
        <v>1</v>
      </c>
      <c r="T19" s="12"/>
      <c r="U19" s="12"/>
      <c r="V19" s="49" t="s">
        <v>90</v>
      </c>
      <c r="W19" s="50">
        <v>0</v>
      </c>
      <c r="X19" s="51">
        <v>0.2</v>
      </c>
      <c r="Y19" s="51">
        <v>0.4</v>
      </c>
      <c r="Z19" s="51">
        <v>0.6</v>
      </c>
      <c r="AA19" s="51">
        <v>0.8</v>
      </c>
      <c r="AB19" s="12"/>
      <c r="AC19" s="12"/>
      <c r="AD19" s="12"/>
    </row>
    <row r="20" spans="1:30" ht="76.5" customHeight="1">
      <c r="B20" s="746" t="str">
        <f>+'Data Entry'!B120</f>
        <v>Percentage of PWID that have received an HIV test during the reporting period and know their results</v>
      </c>
      <c r="C20" s="746"/>
      <c r="D20" s="746"/>
      <c r="E20" s="362">
        <f>'Data Entry'!H120</f>
        <v>8793.75</v>
      </c>
      <c r="F20" s="362">
        <f>'Data Entry'!H121</f>
        <v>10262</v>
      </c>
      <c r="G20" s="747">
        <f t="shared" ref="G20:G28" si="0">+IF(ISERROR(F20/E20),0,F20/E20)</f>
        <v>1.1669651741293532</v>
      </c>
      <c r="H20" s="748"/>
      <c r="I20" s="748"/>
      <c r="J20" s="748"/>
      <c r="K20" s="749"/>
      <c r="L20" s="771"/>
      <c r="M20" s="772"/>
      <c r="N20" s="772"/>
      <c r="O20" s="772"/>
      <c r="P20" s="772"/>
      <c r="Q20" s="773"/>
      <c r="R20" s="49" t="s">
        <v>91</v>
      </c>
      <c r="S20" s="51">
        <v>2</v>
      </c>
      <c r="T20" s="12"/>
      <c r="U20" s="12"/>
      <c r="V20" s="49" t="s">
        <v>91</v>
      </c>
      <c r="W20" s="51">
        <v>0.2</v>
      </c>
      <c r="X20" s="51">
        <v>0.4</v>
      </c>
      <c r="Y20" s="51">
        <v>0.6</v>
      </c>
      <c r="Z20" s="51">
        <v>0.8</v>
      </c>
      <c r="AA20" s="51">
        <v>1</v>
      </c>
      <c r="AB20" s="12"/>
      <c r="AC20" s="12"/>
      <c r="AD20" s="12"/>
    </row>
    <row r="21" spans="1:30" ht="92.25" customHeight="1">
      <c r="B21" s="746" t="str">
        <f>+'Data Entry'!B122</f>
        <v>Percentage of MSM reached with HIV prevention programs - defined package of services</v>
      </c>
      <c r="C21" s="746"/>
      <c r="D21" s="746"/>
      <c r="E21" s="362">
        <f>'Data Entry'!H122</f>
        <v>2312.5</v>
      </c>
      <c r="F21" s="362">
        <f>'Data Entry'!H123</f>
        <v>2575</v>
      </c>
      <c r="G21" s="747">
        <f t="shared" si="0"/>
        <v>1.1135135135135135</v>
      </c>
      <c r="H21" s="748"/>
      <c r="I21" s="748"/>
      <c r="J21" s="748"/>
      <c r="K21" s="749"/>
      <c r="L21" s="771"/>
      <c r="M21" s="772"/>
      <c r="N21" s="772"/>
      <c r="O21" s="772"/>
      <c r="P21" s="772"/>
      <c r="Q21" s="773"/>
      <c r="R21" s="52"/>
      <c r="S21" s="53"/>
      <c r="T21" s="12"/>
      <c r="U21" s="12"/>
      <c r="V21" s="52"/>
      <c r="W21" s="53"/>
      <c r="X21" s="53"/>
      <c r="Y21" s="53" t="str">
        <f>"de "&amp;Y19&amp;" a "&amp;Y20</f>
        <v>de 0.4 a 0.6</v>
      </c>
      <c r="Z21" s="53" t="str">
        <f>"de "&amp;Z19&amp;" a "&amp;Z20</f>
        <v>de 0.6 a 0.8</v>
      </c>
      <c r="AA21" s="53" t="str">
        <f>"de "&amp;AA19&amp;" a "&amp;AA20</f>
        <v>de 0.8 a 1</v>
      </c>
      <c r="AB21" s="12"/>
      <c r="AC21" s="12"/>
      <c r="AD21" s="12"/>
    </row>
    <row r="22" spans="1:30" ht="81.95" customHeight="1">
      <c r="B22" s="746" t="str">
        <f>+'Data Entry'!B124</f>
        <v xml:space="preserve">  Percentage of people on ART among all people living with HIV at the end of the reporting period</v>
      </c>
      <c r="C22" s="746"/>
      <c r="D22" s="746"/>
      <c r="E22" s="362">
        <f>'Data Entry'!H124</f>
        <v>5040</v>
      </c>
      <c r="F22" s="362">
        <f>'Data Entry'!H125</f>
        <v>6133</v>
      </c>
      <c r="G22" s="747">
        <f t="shared" si="0"/>
        <v>1.2168650793650793</v>
      </c>
      <c r="H22" s="748"/>
      <c r="I22" s="748"/>
      <c r="J22" s="748"/>
      <c r="K22" s="749"/>
      <c r="L22" s="771"/>
      <c r="M22" s="772"/>
      <c r="N22" s="772"/>
      <c r="O22" s="772"/>
      <c r="P22" s="772"/>
      <c r="Q22" s="773"/>
      <c r="R22" s="52"/>
      <c r="S22" s="51"/>
      <c r="T22" s="12"/>
      <c r="U22" s="159"/>
      <c r="V22" s="51"/>
      <c r="W22" s="51"/>
      <c r="X22" s="51"/>
      <c r="Y22" s="51" t="e">
        <f t="shared" ref="Y22:AA25" si="1">IF($V22&gt;Y$19,IF($V22&lt;=Y$20,$V22,NA()),NA())</f>
        <v>#N/A</v>
      </c>
      <c r="Z22" s="51" t="e">
        <f t="shared" si="1"/>
        <v>#N/A</v>
      </c>
      <c r="AA22" s="51" t="e">
        <f t="shared" si="1"/>
        <v>#N/A</v>
      </c>
      <c r="AB22" s="12"/>
      <c r="AC22" s="12"/>
      <c r="AD22" s="12"/>
    </row>
    <row r="23" spans="1:30" ht="81.95" customHeight="1">
      <c r="B23" s="746" t="s">
        <v>421</v>
      </c>
      <c r="C23" s="746"/>
      <c r="D23" s="746"/>
      <c r="E23" s="362">
        <f>'Data Entry'!H132</f>
        <v>650</v>
      </c>
      <c r="F23" s="362">
        <f>'Data Entry'!H133</f>
        <v>961</v>
      </c>
      <c r="G23" s="747">
        <f t="shared" ref="G23" si="2">+IF(ISERROR(F23/E23),0,F23/E23)</f>
        <v>1.4784615384615385</v>
      </c>
      <c r="H23" s="748"/>
      <c r="I23" s="748"/>
      <c r="J23" s="748"/>
      <c r="K23" s="749"/>
      <c r="L23" s="445"/>
      <c r="M23" s="446"/>
      <c r="N23" s="446"/>
      <c r="O23" s="446"/>
      <c r="P23" s="446"/>
      <c r="Q23" s="447"/>
      <c r="R23" s="52"/>
      <c r="S23" s="51"/>
      <c r="T23" s="12"/>
      <c r="U23" s="159"/>
      <c r="V23" s="51"/>
      <c r="W23" s="51"/>
      <c r="X23" s="51"/>
      <c r="Y23" s="51"/>
      <c r="Z23" s="51"/>
      <c r="AA23" s="51"/>
      <c r="AB23" s="12"/>
      <c r="AC23" s="12"/>
      <c r="AD23" s="12"/>
    </row>
    <row r="24" spans="1:30" ht="72.75" customHeight="1">
      <c r="B24" s="776" t="str">
        <f>+'Data Entry'!B126</f>
        <v>Percentage of PWID reached with HIV prevention programs - defined package of services</v>
      </c>
      <c r="C24" s="777"/>
      <c r="D24" s="778"/>
      <c r="E24" s="362">
        <f>'Data Entry'!H126</f>
        <v>9187.5</v>
      </c>
      <c r="F24" s="362">
        <f>'Data Entry'!H127</f>
        <v>14659</v>
      </c>
      <c r="G24" s="747">
        <f t="shared" si="0"/>
        <v>1.5955374149659864</v>
      </c>
      <c r="H24" s="748"/>
      <c r="I24" s="748"/>
      <c r="J24" s="748"/>
      <c r="K24" s="749"/>
      <c r="L24" s="771"/>
      <c r="M24" s="772"/>
      <c r="N24" s="772"/>
      <c r="O24" s="772"/>
      <c r="P24" s="772"/>
      <c r="Q24" s="773"/>
      <c r="R24" s="52"/>
      <c r="S24" s="51"/>
      <c r="T24" s="12"/>
      <c r="U24" s="159"/>
      <c r="V24" s="51"/>
      <c r="W24" s="51"/>
      <c r="X24" s="51"/>
      <c r="Y24" s="51" t="e">
        <f t="shared" si="1"/>
        <v>#N/A</v>
      </c>
      <c r="Z24" s="51" t="e">
        <f t="shared" si="1"/>
        <v>#N/A</v>
      </c>
      <c r="AA24" s="51" t="e">
        <f t="shared" si="1"/>
        <v>#N/A</v>
      </c>
      <c r="AB24" s="12"/>
      <c r="AC24" s="12"/>
      <c r="AD24" s="12"/>
    </row>
    <row r="25" spans="1:30" ht="81.75" customHeight="1">
      <c r="B25" s="746" t="str">
        <f>+'Data Entry'!B128</f>
        <v>Percentage of MSM that have received an HIV test during the reporting period and know their results</v>
      </c>
      <c r="C25" s="746"/>
      <c r="D25" s="746"/>
      <c r="E25" s="362">
        <f>'Data Entry'!H128</f>
        <v>1618.75</v>
      </c>
      <c r="F25" s="362">
        <f>'Data Entry'!H129</f>
        <v>2139</v>
      </c>
      <c r="G25" s="779">
        <f t="shared" si="0"/>
        <v>1.3213899613899613</v>
      </c>
      <c r="H25" s="780"/>
      <c r="I25" s="780"/>
      <c r="J25" s="780"/>
      <c r="K25" s="781"/>
      <c r="L25" s="771"/>
      <c r="M25" s="772"/>
      <c r="N25" s="772"/>
      <c r="O25" s="772"/>
      <c r="P25" s="772"/>
      <c r="Q25" s="773"/>
      <c r="R25" s="52"/>
      <c r="S25" s="51"/>
      <c r="T25" s="12"/>
      <c r="U25" s="159"/>
      <c r="V25" s="51"/>
      <c r="W25" s="51"/>
      <c r="X25" s="51"/>
      <c r="Y25" s="51" t="e">
        <f t="shared" si="1"/>
        <v>#N/A</v>
      </c>
      <c r="Z25" s="51" t="e">
        <f t="shared" si="1"/>
        <v>#N/A</v>
      </c>
      <c r="AA25" s="51" t="e">
        <f t="shared" si="1"/>
        <v>#N/A</v>
      </c>
      <c r="AB25" s="12"/>
      <c r="AC25" s="12"/>
      <c r="AD25" s="12"/>
    </row>
    <row r="26" spans="1:30" ht="81.75" customHeight="1">
      <c r="B26" s="783" t="s">
        <v>429</v>
      </c>
      <c r="C26" s="784"/>
      <c r="D26" s="785"/>
      <c r="E26" s="362">
        <f>'Data Entry'!H134</f>
        <v>100</v>
      </c>
      <c r="F26" s="362">
        <f>'Data Entry'!H135</f>
        <v>164</v>
      </c>
      <c r="G26" s="779">
        <f t="shared" ref="G26" si="3">+IF(ISERROR(F26/E26),0,F26/E26)</f>
        <v>1.64</v>
      </c>
      <c r="H26" s="780"/>
      <c r="I26" s="780"/>
      <c r="J26" s="780"/>
      <c r="K26" s="781"/>
      <c r="L26" s="445"/>
      <c r="M26" s="446"/>
      <c r="N26" s="446"/>
      <c r="O26" s="446"/>
      <c r="P26" s="446"/>
      <c r="Q26" s="447"/>
      <c r="R26" s="52"/>
      <c r="S26" s="51"/>
      <c r="T26" s="12"/>
      <c r="U26" s="159"/>
      <c r="V26" s="455"/>
      <c r="W26" s="455"/>
      <c r="X26" s="455"/>
      <c r="Y26" s="455"/>
      <c r="Z26" s="455"/>
      <c r="AA26" s="455"/>
      <c r="AB26" s="12"/>
      <c r="AC26" s="12"/>
      <c r="AD26" s="12"/>
    </row>
    <row r="27" spans="1:30" ht="141.75" customHeight="1">
      <c r="B27" s="751" t="s">
        <v>448</v>
      </c>
      <c r="C27" s="746"/>
      <c r="D27" s="746"/>
      <c r="E27" s="362">
        <f>'Data Entry'!H140</f>
        <v>55</v>
      </c>
      <c r="F27" s="362">
        <f>'Data Entry'!H141</f>
        <v>30</v>
      </c>
      <c r="G27" s="747">
        <f t="shared" si="0"/>
        <v>0.54545454545454541</v>
      </c>
      <c r="H27" s="748"/>
      <c r="I27" s="748"/>
      <c r="J27" s="748"/>
      <c r="K27" s="749"/>
      <c r="L27" s="900" t="s">
        <v>473</v>
      </c>
      <c r="M27" s="900"/>
      <c r="N27" s="900"/>
      <c r="O27" s="900"/>
      <c r="P27" s="900"/>
      <c r="Q27" s="900"/>
      <c r="R27" s="52"/>
      <c r="Y27" s="12"/>
      <c r="Z27" s="12"/>
      <c r="AA27" s="12"/>
      <c r="AB27" s="12"/>
      <c r="AC27" s="12"/>
      <c r="AD27" s="12"/>
    </row>
    <row r="28" spans="1:30" ht="161.25" customHeight="1">
      <c r="B28" s="746" t="s">
        <v>463</v>
      </c>
      <c r="C28" s="746"/>
      <c r="D28" s="746"/>
      <c r="E28" s="466">
        <f>'Data Entry'!H142</f>
        <v>60</v>
      </c>
      <c r="F28" s="466">
        <f>'Data Entry'!H143</f>
        <v>35</v>
      </c>
      <c r="G28" s="747">
        <f t="shared" si="0"/>
        <v>0.58333333333333337</v>
      </c>
      <c r="H28" s="748"/>
      <c r="I28" s="748"/>
      <c r="J28" s="748"/>
      <c r="K28" s="749"/>
      <c r="L28" s="900" t="s">
        <v>474</v>
      </c>
      <c r="M28" s="900"/>
      <c r="N28" s="900"/>
      <c r="O28" s="900"/>
      <c r="P28" s="900"/>
      <c r="Q28" s="900"/>
      <c r="R28" s="52"/>
      <c r="Y28" s="12"/>
      <c r="Z28" s="12"/>
      <c r="AA28" s="12"/>
      <c r="AB28" s="12"/>
      <c r="AC28" s="12"/>
      <c r="AD28" s="12"/>
    </row>
    <row r="29" spans="1:30" ht="75" customHeight="1">
      <c r="B29" s="751" t="s">
        <v>462</v>
      </c>
      <c r="C29" s="746"/>
      <c r="D29" s="746"/>
      <c r="E29" s="456">
        <f>'Data Entry'!H144</f>
        <v>0.95</v>
      </c>
      <c r="F29" s="456">
        <f>'Data Entry'!H145</f>
        <v>0.94</v>
      </c>
      <c r="G29" s="747">
        <f t="shared" ref="G29" si="4">+IF(ISERROR(F29/E29),0,F29/E29)</f>
        <v>0.98947368421052628</v>
      </c>
      <c r="H29" s="748"/>
      <c r="I29" s="748"/>
      <c r="J29" s="748"/>
      <c r="K29" s="749"/>
      <c r="L29" s="771"/>
      <c r="M29" s="772"/>
      <c r="N29" s="772"/>
      <c r="O29" s="772"/>
      <c r="P29" s="772"/>
      <c r="Q29" s="773"/>
      <c r="R29" s="52"/>
      <c r="S29" s="51"/>
      <c r="T29" s="12"/>
      <c r="U29" s="12"/>
      <c r="V29" s="12"/>
      <c r="W29" s="12"/>
      <c r="X29" s="12"/>
      <c r="Y29" s="12"/>
      <c r="Z29" s="12"/>
      <c r="AA29" s="12"/>
      <c r="AB29" s="12"/>
      <c r="AC29" s="12"/>
      <c r="AD29" s="12"/>
    </row>
    <row r="30" spans="1:30" ht="84.75" hidden="1" customHeight="1">
      <c r="A30" s="32"/>
      <c r="B30" s="746" t="s">
        <v>426</v>
      </c>
      <c r="C30" s="746"/>
      <c r="D30" s="746"/>
      <c r="E30" s="383"/>
      <c r="F30" s="383"/>
      <c r="G30" s="750" t="e">
        <f>F30/E30</f>
        <v>#DIV/0!</v>
      </c>
      <c r="H30" s="750"/>
      <c r="I30" s="750"/>
      <c r="J30" s="750"/>
      <c r="K30" s="750"/>
      <c r="L30" s="774"/>
      <c r="M30" s="774"/>
      <c r="N30" s="774"/>
      <c r="O30" s="774"/>
      <c r="P30" s="774"/>
      <c r="Q30" s="774"/>
      <c r="R30" s="52"/>
      <c r="S30" s="51" t="e">
        <f>IF($K28&gt;S$19,IF($K28&lt;=S$20,1,NA()),NA())</f>
        <v>#N/A</v>
      </c>
      <c r="T30" s="12"/>
      <c r="U30" s="12"/>
      <c r="V30" s="12"/>
      <c r="W30" s="12"/>
      <c r="X30" s="12"/>
      <c r="Y30" s="12"/>
      <c r="Z30" s="12"/>
      <c r="AA30" s="12"/>
      <c r="AB30" s="12"/>
      <c r="AC30" s="12"/>
      <c r="AD30" s="12"/>
    </row>
    <row r="31" spans="1:30" ht="49.5" customHeight="1">
      <c r="R31" s="52"/>
      <c r="S31" s="51" t="e">
        <f>IF(#REF!&gt;S$19,IF(#REF!&lt;=S$20,1,NA()),NA())</f>
        <v>#REF!</v>
      </c>
      <c r="T31" s="12"/>
      <c r="U31" s="12"/>
      <c r="V31" s="12"/>
      <c r="W31" s="12"/>
      <c r="X31" s="12"/>
      <c r="Y31" s="12"/>
      <c r="Z31" s="12"/>
      <c r="AA31" s="12"/>
      <c r="AB31" s="12"/>
      <c r="AC31" s="12"/>
      <c r="AD31" s="12"/>
    </row>
    <row r="32" spans="1:30" ht="22.5" customHeight="1">
      <c r="R32" s="52"/>
      <c r="S32" s="51" t="e">
        <f t="shared" ref="S32:S35" si="5">IF($K30&gt;S$19,IF($K30&lt;=S$20,1,NA()),NA())</f>
        <v>#N/A</v>
      </c>
      <c r="T32" s="12"/>
      <c r="U32" s="12"/>
      <c r="V32" s="12"/>
      <c r="W32" s="12"/>
      <c r="X32" s="12"/>
      <c r="Y32" s="12"/>
      <c r="Z32" s="12"/>
      <c r="AA32" s="12"/>
      <c r="AB32" s="12"/>
      <c r="AC32" s="12"/>
      <c r="AD32" s="12"/>
    </row>
    <row r="33" spans="2:30" ht="22.5" customHeight="1">
      <c r="B33" s="770"/>
      <c r="C33" s="770"/>
      <c r="D33" s="770"/>
      <c r="E33" s="782"/>
      <c r="F33" s="769"/>
      <c r="G33" s="770"/>
      <c r="H33" s="770"/>
      <c r="I33" s="770"/>
      <c r="J33" s="770"/>
      <c r="K33" s="782"/>
      <c r="L33" s="769"/>
      <c r="M33" s="770"/>
      <c r="N33" s="770"/>
      <c r="O33" s="770"/>
      <c r="P33" s="770"/>
      <c r="R33" s="52"/>
      <c r="S33" s="51" t="e">
        <f t="shared" si="5"/>
        <v>#N/A</v>
      </c>
      <c r="T33" s="12"/>
      <c r="U33" s="12"/>
      <c r="V33" s="12"/>
      <c r="W33" s="12"/>
      <c r="X33" s="12"/>
      <c r="Y33" s="12"/>
      <c r="Z33" s="12"/>
      <c r="AA33" s="12"/>
      <c r="AB33" s="12"/>
      <c r="AC33" s="12"/>
      <c r="AD33" s="12"/>
    </row>
    <row r="34" spans="2:30">
      <c r="B34" s="177"/>
      <c r="C34" s="177"/>
      <c r="D34" s="177"/>
      <c r="E34" s="177"/>
      <c r="F34" s="177"/>
      <c r="G34" s="177"/>
      <c r="H34" s="178"/>
      <c r="I34" s="177"/>
      <c r="J34" s="177"/>
      <c r="K34" s="177"/>
      <c r="L34" s="177"/>
      <c r="M34" s="177"/>
      <c r="N34" s="177"/>
      <c r="O34" s="177"/>
      <c r="P34" s="177"/>
      <c r="R34" s="52"/>
      <c r="S34" s="51" t="e">
        <f t="shared" si="5"/>
        <v>#N/A</v>
      </c>
      <c r="T34" s="12"/>
      <c r="U34" s="12"/>
      <c r="V34" s="12"/>
      <c r="W34" s="12"/>
      <c r="X34" s="12"/>
      <c r="Y34" s="12"/>
      <c r="Z34" s="12"/>
      <c r="AA34" s="12"/>
      <c r="AB34" s="12"/>
      <c r="AC34" s="12"/>
      <c r="AD34" s="12"/>
    </row>
    <row r="35" spans="2:30">
      <c r="B35" s="775"/>
      <c r="C35" s="775"/>
      <c r="D35" s="775"/>
      <c r="E35" s="775"/>
      <c r="F35" s="775"/>
      <c r="G35" s="775"/>
      <c r="H35" s="775"/>
      <c r="I35" s="775"/>
      <c r="J35" s="775"/>
      <c r="K35" s="775"/>
      <c r="L35" s="177"/>
      <c r="M35" s="177"/>
      <c r="N35" s="177"/>
      <c r="O35" s="177"/>
      <c r="P35" s="177"/>
      <c r="R35" s="52"/>
      <c r="S35" s="51" t="e">
        <f t="shared" si="5"/>
        <v>#N/A</v>
      </c>
      <c r="T35" s="12"/>
      <c r="U35" s="12"/>
      <c r="V35" s="12"/>
      <c r="W35" s="12"/>
      <c r="X35" s="12"/>
      <c r="Y35" s="12"/>
      <c r="Z35" s="12"/>
      <c r="AA35" s="12"/>
      <c r="AB35" s="12"/>
      <c r="AC35" s="12"/>
      <c r="AD35" s="12"/>
    </row>
    <row r="36" spans="2:30">
      <c r="B36" s="775"/>
      <c r="C36" s="775"/>
      <c r="D36" s="775"/>
      <c r="E36" s="775"/>
      <c r="F36" s="775"/>
      <c r="G36" s="775"/>
      <c r="H36" s="775"/>
      <c r="I36" s="775"/>
      <c r="J36" s="775"/>
      <c r="K36" s="775"/>
      <c r="L36" s="177"/>
      <c r="M36" s="177"/>
      <c r="N36" s="177"/>
      <c r="O36" s="177"/>
      <c r="P36" s="177"/>
      <c r="R36" s="12"/>
      <c r="S36" s="12"/>
      <c r="T36" s="12"/>
      <c r="U36" s="12"/>
      <c r="V36" s="12"/>
      <c r="W36" s="12"/>
      <c r="X36" s="12"/>
      <c r="Y36" s="12"/>
      <c r="Z36" s="12"/>
      <c r="AA36" s="12"/>
      <c r="AB36" s="12"/>
      <c r="AC36" s="12"/>
      <c r="AD36" s="12"/>
    </row>
    <row r="37" spans="2:30">
      <c r="I37" s="78"/>
      <c r="J37" s="78"/>
      <c r="K37" s="78"/>
      <c r="R37" s="12"/>
      <c r="S37" s="12"/>
      <c r="T37" s="12"/>
      <c r="U37" s="12"/>
      <c r="V37" s="12"/>
      <c r="W37" s="12"/>
      <c r="X37" s="12"/>
      <c r="Y37" s="12"/>
      <c r="Z37" s="12"/>
      <c r="AA37" s="12"/>
      <c r="AB37" s="12"/>
      <c r="AC37" s="12"/>
      <c r="AD37" s="12"/>
    </row>
    <row r="38" spans="2:30">
      <c r="I38" s="113"/>
      <c r="J38" s="114"/>
      <c r="K38" s="114"/>
      <c r="R38" s="12"/>
      <c r="S38" s="12"/>
      <c r="T38" s="12"/>
      <c r="U38" s="12"/>
      <c r="V38" s="12"/>
      <c r="W38" s="12"/>
      <c r="X38" s="12"/>
      <c r="Y38" s="12"/>
      <c r="Z38" s="12"/>
      <c r="AA38" s="12"/>
      <c r="AB38" s="12"/>
      <c r="AC38" s="12"/>
      <c r="AD38" s="12"/>
    </row>
    <row r="39" spans="2:30">
      <c r="I39" s="115"/>
      <c r="J39" s="33"/>
      <c r="K39" s="79"/>
      <c r="R39" s="12"/>
      <c r="S39" s="12"/>
      <c r="T39" s="12"/>
      <c r="U39" s="12"/>
      <c r="V39" s="12"/>
      <c r="W39" s="12"/>
      <c r="X39" s="12"/>
      <c r="Y39" s="12"/>
      <c r="Z39" s="12"/>
      <c r="AA39" s="12"/>
      <c r="AB39" s="12"/>
      <c r="AC39" s="12"/>
      <c r="AD39" s="12"/>
    </row>
    <row r="40" spans="2:30">
      <c r="I40" s="115"/>
      <c r="J40" s="33"/>
      <c r="K40" s="79"/>
      <c r="R40" s="12"/>
      <c r="S40" s="12"/>
      <c r="T40" s="12"/>
      <c r="U40" s="12"/>
      <c r="V40" s="12"/>
      <c r="W40" s="12"/>
      <c r="X40" s="12"/>
      <c r="Y40" s="12"/>
      <c r="Z40" s="12"/>
      <c r="AA40" s="12"/>
      <c r="AB40" s="12"/>
      <c r="AC40" s="12"/>
      <c r="AD40" s="12"/>
    </row>
    <row r="41" spans="2:30">
      <c r="I41" s="115"/>
      <c r="J41" s="33"/>
      <c r="K41" s="79"/>
      <c r="R41" s="12"/>
      <c r="S41" s="12"/>
      <c r="T41" s="12"/>
      <c r="U41" s="12"/>
      <c r="V41" s="12"/>
      <c r="W41" s="12"/>
      <c r="X41" s="12"/>
      <c r="Y41" s="12"/>
      <c r="Z41" s="12"/>
      <c r="AA41" s="12"/>
      <c r="AB41" s="12"/>
      <c r="AC41" s="12"/>
      <c r="AD41" s="12"/>
    </row>
    <row r="42" spans="2:30">
      <c r="R42" s="12"/>
      <c r="S42" s="12"/>
      <c r="T42" s="12"/>
      <c r="U42" s="12"/>
      <c r="V42" s="12"/>
      <c r="W42" s="12"/>
      <c r="X42" s="12"/>
      <c r="Y42" s="12"/>
      <c r="Z42" s="12"/>
      <c r="AA42" s="12"/>
      <c r="AB42" s="12"/>
      <c r="AC42" s="12"/>
      <c r="AD42" s="12"/>
    </row>
    <row r="43" spans="2:30">
      <c r="R43" s="12"/>
      <c r="S43" s="12"/>
      <c r="T43" s="12"/>
      <c r="U43" s="12"/>
      <c r="V43" s="12"/>
      <c r="W43" s="12"/>
      <c r="X43" s="12"/>
      <c r="Y43" s="12"/>
      <c r="Z43" s="12"/>
      <c r="AA43" s="12"/>
      <c r="AB43" s="12"/>
      <c r="AC43" s="12"/>
      <c r="AD43" s="12"/>
    </row>
    <row r="44" spans="2:30">
      <c r="R44" s="3"/>
      <c r="S44" s="3"/>
      <c r="T44" s="3"/>
      <c r="U44" s="3"/>
      <c r="V44" s="3"/>
      <c r="W44" s="3"/>
    </row>
    <row r="45" spans="2:30">
      <c r="R45" s="3"/>
      <c r="S45" s="3"/>
      <c r="T45" s="3"/>
      <c r="U45" s="3"/>
      <c r="V45" s="3"/>
      <c r="W45" s="3"/>
    </row>
    <row r="46" spans="2:30">
      <c r="R46" s="3"/>
      <c r="S46" s="3"/>
      <c r="T46" s="3"/>
      <c r="U46" s="3"/>
      <c r="V46" s="3"/>
      <c r="W46" s="3"/>
    </row>
    <row r="47" spans="2:30">
      <c r="R47" s="3"/>
      <c r="S47" s="3"/>
      <c r="T47" s="3"/>
      <c r="U47" s="3"/>
      <c r="V47" s="3"/>
      <c r="W47" s="3"/>
    </row>
    <row r="48" spans="2:30">
      <c r="R48" s="3"/>
      <c r="S48" s="3"/>
      <c r="T48" s="3"/>
      <c r="U48" s="3"/>
      <c r="V48" s="3"/>
      <c r="W48" s="3"/>
    </row>
  </sheetData>
  <mergeCells count="56">
    <mergeCell ref="L28:Q28"/>
    <mergeCell ref="L27:Q27"/>
    <mergeCell ref="B2:Q2"/>
    <mergeCell ref="O3:P3"/>
    <mergeCell ref="D5:N5"/>
    <mergeCell ref="L8:Q8"/>
    <mergeCell ref="F6:K6"/>
    <mergeCell ref="E3:K3"/>
    <mergeCell ref="C4:D4"/>
    <mergeCell ref="B35:D36"/>
    <mergeCell ref="E35:G36"/>
    <mergeCell ref="H35:K36"/>
    <mergeCell ref="B24:D24"/>
    <mergeCell ref="B25:D25"/>
    <mergeCell ref="B27:D27"/>
    <mergeCell ref="B28:D28"/>
    <mergeCell ref="G24:K24"/>
    <mergeCell ref="G25:K25"/>
    <mergeCell ref="G27:K27"/>
    <mergeCell ref="B33:E33"/>
    <mergeCell ref="F33:K33"/>
    <mergeCell ref="B30:D30"/>
    <mergeCell ref="G28:K28"/>
    <mergeCell ref="B26:D26"/>
    <mergeCell ref="G26:K26"/>
    <mergeCell ref="L19:Q19"/>
    <mergeCell ref="L33:P33"/>
    <mergeCell ref="L20:Q20"/>
    <mergeCell ref="L21:Q21"/>
    <mergeCell ref="L22:Q22"/>
    <mergeCell ref="L30:Q30"/>
    <mergeCell ref="L24:Q24"/>
    <mergeCell ref="L25:Q25"/>
    <mergeCell ref="L29:Q29"/>
    <mergeCell ref="B22:D22"/>
    <mergeCell ref="G19:H19"/>
    <mergeCell ref="I19:J19"/>
    <mergeCell ref="E18:K18"/>
    <mergeCell ref="B19:D19"/>
    <mergeCell ref="B20:D20"/>
    <mergeCell ref="B21:D21"/>
    <mergeCell ref="G20:K20"/>
    <mergeCell ref="G21:K21"/>
    <mergeCell ref="G22:K22"/>
    <mergeCell ref="M9:Q9"/>
    <mergeCell ref="C3:D3"/>
    <mergeCell ref="E4:L4"/>
    <mergeCell ref="B8:E8"/>
    <mergeCell ref="F8:K8"/>
    <mergeCell ref="C9:E9"/>
    <mergeCell ref="G9:K9"/>
    <mergeCell ref="B23:D23"/>
    <mergeCell ref="G23:K23"/>
    <mergeCell ref="G30:K30"/>
    <mergeCell ref="B29:D29"/>
    <mergeCell ref="G29:K29"/>
  </mergeCells>
  <phoneticPr fontId="30" type="noConversion"/>
  <conditionalFormatting sqref="C4:D4">
    <cfRule type="cellIs" dxfId="12" priority="50" stopIfTrue="1" operator="equal">
      <formula>"C"</formula>
    </cfRule>
    <cfRule type="cellIs" dxfId="11" priority="51" stopIfTrue="1" operator="equal">
      <formula>"B2"</formula>
    </cfRule>
    <cfRule type="cellIs" dxfId="10" priority="52" stopIfTrue="1" operator="equal">
      <formula>"B1"</formula>
    </cfRule>
  </conditionalFormatting>
  <conditionalFormatting sqref="G20:G30">
    <cfRule type="cellIs" dxfId="9" priority="56" stopIfTrue="1" operator="between">
      <formula>0</formula>
      <formula>0.599</formula>
    </cfRule>
    <cfRule type="cellIs" dxfId="8" priority="57" stopIfTrue="1" operator="between">
      <formula>0.6</formula>
      <formula>0.899</formula>
    </cfRule>
    <cfRule type="cellIs" dxfId="7"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B1:O42"/>
  <sheetViews>
    <sheetView showGridLines="0" topLeftCell="B1" zoomScale="130" zoomScaleNormal="130" zoomScalePageLayoutView="130" workbookViewId="0">
      <selection activeCell="E5" sqref="E5:K5"/>
    </sheetView>
  </sheetViews>
  <sheetFormatPr defaultColWidth="11.42578125" defaultRowHeight="11.25"/>
  <cols>
    <col min="1" max="1" width="1.140625" style="23" customWidth="1"/>
    <col min="2" max="2" width="19.28515625" style="23" customWidth="1"/>
    <col min="3" max="3" width="1.140625" style="23" customWidth="1"/>
    <col min="4" max="4" width="17.140625" style="23" customWidth="1"/>
    <col min="5" max="5" width="17.42578125" style="23" customWidth="1"/>
    <col min="6" max="6" width="9.7109375" style="23" customWidth="1"/>
    <col min="7" max="7" width="13" style="23" customWidth="1"/>
    <col min="8" max="8" width="4.28515625" style="23" customWidth="1"/>
    <col min="9" max="9" width="15.85546875" style="23" customWidth="1"/>
    <col min="10" max="10" width="3.42578125" style="23" customWidth="1"/>
    <col min="11" max="11" width="7.42578125" style="24" customWidth="1"/>
    <col min="12" max="12" width="14.28515625" style="23" customWidth="1"/>
    <col min="13" max="13" width="12" style="23" customWidth="1"/>
    <col min="14" max="14" width="5.42578125" style="23" customWidth="1"/>
    <col min="15" max="15" width="2.42578125" style="23" customWidth="1"/>
    <col min="16" max="16384" width="11.42578125" style="23"/>
  </cols>
  <sheetData>
    <row r="1" spans="2:15" ht="38.25" customHeight="1"/>
    <row r="2" spans="2:15" customFormat="1" ht="27.75" customHeight="1">
      <c r="B2" s="738" t="str">
        <f>+"Dashboard:  "&amp;"  "&amp;IF(+'Data Entry'!C4="Please Select","",'Data Entry'!C4&amp;" - ")&amp;IF('Data Entry'!G6="Please Select","",'Data Entry'!G6)</f>
        <v>Dashboard:    Georgia - HIVAIDS / TB</v>
      </c>
      <c r="C2" s="738"/>
      <c r="D2" s="738"/>
      <c r="E2" s="738"/>
      <c r="F2" s="738"/>
      <c r="G2" s="738"/>
      <c r="H2" s="738"/>
      <c r="I2" s="738"/>
      <c r="J2" s="738"/>
      <c r="K2" s="738"/>
      <c r="L2" s="738"/>
      <c r="M2" s="738"/>
      <c r="N2" s="738"/>
      <c r="O2" s="55"/>
    </row>
    <row r="3" spans="2:15" customFormat="1" ht="18.75">
      <c r="B3" s="17" t="str">
        <f>+IF('Data Entry'!G8="Please Select","",'Data Entry'!G8)</f>
        <v>NFM</v>
      </c>
      <c r="C3" s="727" t="str">
        <f>+IF('Data Entry'!I8="Please Select","",'Data Entry'!I8)</f>
        <v>Phase 3</v>
      </c>
      <c r="D3" s="727"/>
      <c r="E3" s="479"/>
      <c r="F3" s="479"/>
      <c r="G3" s="479"/>
      <c r="H3" s="479"/>
      <c r="I3" s="479"/>
      <c r="J3" s="479"/>
      <c r="K3" s="479"/>
      <c r="L3" s="17" t="str">
        <f>+'Data Entry'!B16</f>
        <v>Report Period:</v>
      </c>
      <c r="M3" s="160" t="str">
        <f>+'Data Entry'!C16</f>
        <v>P1</v>
      </c>
      <c r="N3" s="160"/>
      <c r="O3" s="23"/>
    </row>
    <row r="4" spans="2:15" customFormat="1" ht="15">
      <c r="B4" s="17" t="str">
        <f>+'Data Entry'!B12</f>
        <v>Latest Rating:</v>
      </c>
      <c r="C4" s="787" t="str">
        <f>+IF('Data Entry'!C12="Please Select","",'Data Entry'!C12)</f>
        <v>B2</v>
      </c>
      <c r="D4" s="787"/>
      <c r="E4" s="726" t="str">
        <f>+'Data Entry'!C8</f>
        <v>NCDC</v>
      </c>
      <c r="F4" s="726"/>
      <c r="G4" s="726"/>
      <c r="H4" s="726"/>
      <c r="I4" s="726"/>
      <c r="J4" s="726"/>
      <c r="K4" s="726"/>
      <c r="L4" s="17" t="str">
        <f>+'Data Entry'!D16</f>
        <v>From:</v>
      </c>
      <c r="M4" s="161">
        <f>+IF(ISBLANK('Data Entry'!E16),"",'Data Entry'!E16)</f>
        <v>44927</v>
      </c>
      <c r="N4" s="161"/>
      <c r="O4" s="23"/>
    </row>
    <row r="5" spans="2:15" customFormat="1" ht="18.75" customHeight="1">
      <c r="B5" s="17"/>
      <c r="C5" s="17"/>
      <c r="D5" s="107"/>
      <c r="E5" s="726" t="str">
        <f>+'Data Entry'!G4</f>
        <v>Strengthening of HIV and Tuberculosis (TB) national systems of prevention, treatment, care and support in Georgia</v>
      </c>
      <c r="F5" s="726"/>
      <c r="G5" s="726"/>
      <c r="H5" s="726"/>
      <c r="I5" s="726"/>
      <c r="J5" s="726"/>
      <c r="K5" s="726"/>
      <c r="L5" s="17" t="str">
        <f>+'Data Entry'!F16</f>
        <v>To:</v>
      </c>
      <c r="M5" s="161">
        <f>+IF(ISBLANK('Data Entry'!G16),"",'Data Entry'!G16)</f>
        <v>45016</v>
      </c>
      <c r="N5" s="161"/>
    </row>
    <row r="6" spans="2:15" customFormat="1" ht="22.5" customHeight="1">
      <c r="B6" s="16"/>
      <c r="C6" s="17"/>
      <c r="D6" s="110"/>
      <c r="E6" s="729" t="s">
        <v>312</v>
      </c>
      <c r="F6" s="729"/>
      <c r="G6" s="729"/>
      <c r="H6" s="729"/>
      <c r="I6" s="729"/>
      <c r="J6" s="729"/>
      <c r="K6" s="729"/>
    </row>
    <row r="7" spans="2:15" ht="4.5" customHeight="1">
      <c r="B7" s="117"/>
      <c r="C7" s="117"/>
      <c r="D7" s="117"/>
      <c r="E7" s="117"/>
      <c r="F7" s="117"/>
      <c r="G7" s="117"/>
      <c r="H7" s="117"/>
      <c r="I7" s="117"/>
      <c r="J7" s="117"/>
      <c r="K7" s="117"/>
      <c r="L7" s="118"/>
      <c r="M7" s="118"/>
      <c r="N7" s="119"/>
    </row>
    <row r="8" spans="2:15" ht="21" customHeight="1" thickBot="1">
      <c r="B8" s="819" t="s">
        <v>98</v>
      </c>
      <c r="C8" s="819"/>
      <c r="D8" s="819"/>
      <c r="E8" s="819"/>
      <c r="F8" s="819"/>
      <c r="G8" s="819"/>
      <c r="H8" s="819"/>
      <c r="I8" s="819"/>
      <c r="J8" s="819"/>
      <c r="K8" s="819"/>
      <c r="L8" s="819"/>
      <c r="M8" s="819"/>
      <c r="N8" s="819"/>
    </row>
    <row r="9" spans="2:15" ht="3.75" customHeight="1" thickBot="1">
      <c r="B9" s="117"/>
      <c r="C9" s="117"/>
      <c r="D9" s="117"/>
      <c r="E9" s="117"/>
      <c r="F9" s="117"/>
      <c r="G9" s="117"/>
      <c r="H9" s="117"/>
      <c r="I9" s="117"/>
      <c r="J9" s="117"/>
      <c r="K9" s="117"/>
      <c r="L9" s="118"/>
      <c r="M9" s="118"/>
      <c r="N9" s="119"/>
    </row>
    <row r="10" spans="2:15" s="25" customFormat="1" ht="25.5" customHeight="1" thickBot="1">
      <c r="B10" s="791" t="s">
        <v>93</v>
      </c>
      <c r="C10" s="841"/>
      <c r="D10" s="832" t="s">
        <v>97</v>
      </c>
      <c r="E10" s="833"/>
      <c r="F10" s="833"/>
      <c r="G10" s="834"/>
      <c r="H10" s="122"/>
      <c r="I10" s="832" t="s">
        <v>312</v>
      </c>
      <c r="J10" s="833"/>
      <c r="K10" s="833"/>
      <c r="L10" s="833"/>
      <c r="M10" s="833"/>
      <c r="N10" s="834"/>
    </row>
    <row r="11" spans="2:15" s="25" customFormat="1" ht="28.5" customHeight="1">
      <c r="B11" s="330" t="s">
        <v>101</v>
      </c>
      <c r="C11" s="139"/>
      <c r="D11" s="808" t="str">
        <f>IF(ISBLANK(Finance!C9),"",(Finance!C9))</f>
        <v/>
      </c>
      <c r="E11" s="808"/>
      <c r="F11" s="808"/>
      <c r="G11" s="809"/>
      <c r="H11" s="145"/>
      <c r="I11" s="823"/>
      <c r="J11" s="824"/>
      <c r="K11" s="824"/>
      <c r="L11" s="824"/>
      <c r="M11" s="824"/>
      <c r="N11" s="825"/>
    </row>
    <row r="12" spans="2:15" s="25" customFormat="1" ht="27.75" customHeight="1">
      <c r="B12" s="331" t="s">
        <v>102</v>
      </c>
      <c r="C12" s="140"/>
      <c r="D12" s="808" t="str">
        <f>IF(ISBLANK(Finance!C23),"",(Finance!C23))</f>
        <v/>
      </c>
      <c r="E12" s="808"/>
      <c r="F12" s="808"/>
      <c r="G12" s="809"/>
      <c r="H12" s="145"/>
      <c r="I12" s="820"/>
      <c r="J12" s="821"/>
      <c r="K12" s="821"/>
      <c r="L12" s="821"/>
      <c r="M12" s="821"/>
      <c r="N12" s="822"/>
    </row>
    <row r="13" spans="2:15" s="25" customFormat="1" ht="26.25" customHeight="1">
      <c r="B13" s="331" t="s">
        <v>103</v>
      </c>
      <c r="C13" s="140"/>
      <c r="D13" s="808" t="str">
        <f>IF(ISBLANK(Finance!I9),"",(Finance!I9))</f>
        <v/>
      </c>
      <c r="E13" s="808"/>
      <c r="F13" s="808"/>
      <c r="G13" s="809"/>
      <c r="H13" s="145"/>
      <c r="I13" s="820"/>
      <c r="J13" s="821"/>
      <c r="K13" s="821"/>
      <c r="L13" s="821"/>
      <c r="M13" s="821"/>
      <c r="N13" s="822"/>
    </row>
    <row r="14" spans="2:15" s="25" customFormat="1" ht="28.5" customHeight="1" thickBot="1">
      <c r="B14" s="332" t="s">
        <v>104</v>
      </c>
      <c r="C14" s="141"/>
      <c r="D14" s="845" t="str">
        <f>IF(ISBLANK(Finance!I23),"",(Finance!I23))</f>
        <v/>
      </c>
      <c r="E14" s="845"/>
      <c r="F14" s="845"/>
      <c r="G14" s="846"/>
      <c r="H14" s="145"/>
      <c r="I14" s="842"/>
      <c r="J14" s="843"/>
      <c r="K14" s="843"/>
      <c r="L14" s="843"/>
      <c r="M14" s="843"/>
      <c r="N14" s="844"/>
    </row>
    <row r="15" spans="2:15" s="25" customFormat="1" ht="4.5" customHeight="1">
      <c r="B15" s="142"/>
      <c r="C15" s="143"/>
      <c r="D15" s="144"/>
      <c r="E15" s="144"/>
      <c r="F15" s="144"/>
      <c r="G15" s="144"/>
      <c r="H15" s="145"/>
      <c r="I15" s="146"/>
      <c r="J15" s="146"/>
      <c r="K15" s="146"/>
      <c r="L15" s="146"/>
      <c r="M15" s="146"/>
      <c r="N15" s="146"/>
    </row>
    <row r="16" spans="2:15" ht="21" customHeight="1" thickBot="1">
      <c r="B16" s="819" t="s">
        <v>100</v>
      </c>
      <c r="C16" s="819"/>
      <c r="D16" s="819"/>
      <c r="E16" s="819"/>
      <c r="F16" s="819"/>
      <c r="G16" s="819"/>
      <c r="H16" s="819"/>
      <c r="I16" s="819"/>
      <c r="J16" s="819"/>
      <c r="K16" s="819"/>
      <c r="L16" s="819"/>
      <c r="M16" s="819"/>
      <c r="N16" s="819"/>
    </row>
    <row r="17" spans="2:14" s="25" customFormat="1" ht="3.75" customHeight="1" thickBot="1">
      <c r="B17" s="128"/>
      <c r="C17" s="129"/>
      <c r="D17" s="130"/>
      <c r="E17" s="131"/>
      <c r="F17" s="132"/>
      <c r="G17" s="132"/>
      <c r="H17" s="133"/>
      <c r="I17" s="134"/>
      <c r="J17" s="135"/>
      <c r="K17" s="124"/>
      <c r="L17" s="125"/>
      <c r="M17" s="126"/>
      <c r="N17" s="127"/>
    </row>
    <row r="18" spans="2:14" s="25" customFormat="1" ht="22.5" customHeight="1" thickBot="1">
      <c r="B18" s="841" t="s">
        <v>94</v>
      </c>
      <c r="C18" s="792"/>
      <c r="D18" s="829" t="s">
        <v>97</v>
      </c>
      <c r="E18" s="830"/>
      <c r="F18" s="830"/>
      <c r="G18" s="831"/>
      <c r="H18" s="122"/>
      <c r="I18" s="826" t="s">
        <v>312</v>
      </c>
      <c r="J18" s="827"/>
      <c r="K18" s="827"/>
      <c r="L18" s="827"/>
      <c r="M18" s="828"/>
      <c r="N18" s="828"/>
    </row>
    <row r="19" spans="2:14" s="25" customFormat="1" ht="21.75" customHeight="1">
      <c r="B19" s="333" t="s">
        <v>109</v>
      </c>
      <c r="C19" s="147"/>
      <c r="D19" s="810" t="str">
        <f>IF(ISBLANK(Management!C8),"",(Management!C8))</f>
        <v/>
      </c>
      <c r="E19" s="810"/>
      <c r="F19" s="810"/>
      <c r="G19" s="811"/>
      <c r="H19" s="148"/>
      <c r="I19" s="835"/>
      <c r="J19" s="836"/>
      <c r="K19" s="836"/>
      <c r="L19" s="836"/>
      <c r="M19" s="836"/>
      <c r="N19" s="837"/>
    </row>
    <row r="20" spans="2:14" ht="24.75" customHeight="1">
      <c r="B20" s="334" t="s">
        <v>110</v>
      </c>
      <c r="C20" s="149"/>
      <c r="D20" s="808" t="str">
        <f>IF(ISBLANK(Management!I8),"",(Management!I8))</f>
        <v/>
      </c>
      <c r="E20" s="808" t="e">
        <f>+'Data Entry'!D72/'Data Entry'!G72</f>
        <v>#DIV/0!</v>
      </c>
      <c r="F20" s="808" t="e">
        <f>+('Data Entry'!E72+'Data Entry'!F72)/'Data Entry'!G72</f>
        <v>#DIV/0!</v>
      </c>
      <c r="G20" s="812"/>
      <c r="H20" s="148"/>
      <c r="I20" s="793"/>
      <c r="J20" s="794"/>
      <c r="K20" s="794"/>
      <c r="L20" s="794"/>
      <c r="M20" s="794"/>
      <c r="N20" s="795"/>
    </row>
    <row r="21" spans="2:14" ht="29.25" customHeight="1">
      <c r="B21" s="335" t="s">
        <v>111</v>
      </c>
      <c r="C21" s="149"/>
      <c r="D21" s="808" t="str">
        <f>IF(ISBLANK(Management!C16),"",(Management!C16))</f>
        <v/>
      </c>
      <c r="E21" s="808"/>
      <c r="F21" s="808"/>
      <c r="G21" s="812"/>
      <c r="H21" s="148"/>
      <c r="I21" s="793"/>
      <c r="J21" s="794"/>
      <c r="K21" s="794"/>
      <c r="L21" s="794"/>
      <c r="M21" s="794"/>
      <c r="N21" s="795"/>
    </row>
    <row r="22" spans="2:14" ht="26.25" customHeight="1">
      <c r="B22" s="335" t="s">
        <v>112</v>
      </c>
      <c r="C22" s="149"/>
      <c r="D22" s="808" t="str">
        <f>IF(ISBLANK(Management!I16),"",(Management!I16))</f>
        <v/>
      </c>
      <c r="E22" s="808"/>
      <c r="F22" s="808"/>
      <c r="G22" s="812"/>
      <c r="H22" s="148"/>
      <c r="I22" s="793"/>
      <c r="J22" s="794"/>
      <c r="K22" s="794"/>
      <c r="L22" s="794"/>
      <c r="M22" s="794"/>
      <c r="N22" s="795"/>
    </row>
    <row r="23" spans="2:14" ht="24.75" customHeight="1">
      <c r="B23" s="335" t="s">
        <v>113</v>
      </c>
      <c r="C23" s="149"/>
      <c r="D23" s="808" t="str">
        <f>IF(ISBLANK(Management!C27),"",(Management!C27))</f>
        <v/>
      </c>
      <c r="E23" s="808"/>
      <c r="F23" s="808"/>
      <c r="G23" s="812"/>
      <c r="H23" s="148"/>
      <c r="I23" s="793"/>
      <c r="J23" s="794"/>
      <c r="K23" s="794"/>
      <c r="L23" s="794"/>
      <c r="M23" s="794"/>
      <c r="N23" s="795"/>
    </row>
    <row r="24" spans="2:14" ht="27" customHeight="1" thickBot="1">
      <c r="B24" s="336" t="s">
        <v>115</v>
      </c>
      <c r="C24" s="150"/>
      <c r="D24" s="814" t="str">
        <f>IF(ISBLANK(Management!I27),"",(Management!I27))</f>
        <v/>
      </c>
      <c r="E24" s="814"/>
      <c r="F24" s="814"/>
      <c r="G24" s="815"/>
      <c r="H24" s="148"/>
      <c r="I24" s="838"/>
      <c r="J24" s="839"/>
      <c r="K24" s="839"/>
      <c r="L24" s="839"/>
      <c r="M24" s="839"/>
      <c r="N24" s="840"/>
    </row>
    <row r="25" spans="2:14" ht="4.5" customHeight="1">
      <c r="B25" s="120"/>
      <c r="C25" s="121"/>
      <c r="D25" s="136"/>
      <c r="E25" s="137"/>
      <c r="F25" s="138"/>
      <c r="G25" s="138"/>
      <c r="H25" s="122"/>
      <c r="I25" s="137"/>
      <c r="J25" s="123"/>
      <c r="K25" s="124"/>
      <c r="L25" s="125"/>
      <c r="M25" s="126"/>
      <c r="N25" s="127"/>
    </row>
    <row r="26" spans="2:14" ht="21" customHeight="1" thickBot="1">
      <c r="B26" s="819" t="s">
        <v>99</v>
      </c>
      <c r="C26" s="819"/>
      <c r="D26" s="819"/>
      <c r="E26" s="819"/>
      <c r="F26" s="819"/>
      <c r="G26" s="819"/>
      <c r="H26" s="819"/>
      <c r="I26" s="819"/>
      <c r="J26" s="819"/>
      <c r="K26" s="819"/>
      <c r="L26" s="819"/>
      <c r="M26" s="819"/>
      <c r="N26" s="819"/>
    </row>
    <row r="27" spans="2:14" ht="3.75" customHeight="1" thickBot="1">
      <c r="B27" s="120"/>
      <c r="C27" s="121"/>
      <c r="D27" s="136"/>
      <c r="E27" s="137"/>
      <c r="F27" s="138"/>
      <c r="G27" s="138"/>
      <c r="H27" s="122"/>
      <c r="I27" s="137"/>
      <c r="J27" s="123"/>
      <c r="K27" s="124"/>
      <c r="L27" s="125"/>
      <c r="M27" s="126"/>
      <c r="N27" s="127"/>
    </row>
    <row r="28" spans="2:14" ht="21.75" customHeight="1" thickBot="1">
      <c r="B28" s="791" t="s">
        <v>7</v>
      </c>
      <c r="C28" s="792"/>
      <c r="D28" s="799" t="s">
        <v>97</v>
      </c>
      <c r="E28" s="800"/>
      <c r="F28" s="800"/>
      <c r="G28" s="801"/>
      <c r="H28" s="122"/>
      <c r="I28" s="799" t="s">
        <v>312</v>
      </c>
      <c r="J28" s="800"/>
      <c r="K28" s="800"/>
      <c r="L28" s="800"/>
      <c r="M28" s="800"/>
      <c r="N28" s="801"/>
    </row>
    <row r="29" spans="2:14" ht="29.25" customHeight="1">
      <c r="B29" s="337" t="s">
        <v>313</v>
      </c>
      <c r="C29" s="151"/>
      <c r="D29" s="802" t="str">
        <f>IF(ISBLANK(Programmatic!C9),"",(Programmatic!C9))</f>
        <v/>
      </c>
      <c r="E29" s="803"/>
      <c r="F29" s="803"/>
      <c r="G29" s="804"/>
      <c r="H29" s="148"/>
      <c r="I29" s="816"/>
      <c r="J29" s="817"/>
      <c r="K29" s="817"/>
      <c r="L29" s="817"/>
      <c r="M29" s="817"/>
      <c r="N29" s="818"/>
    </row>
    <row r="30" spans="2:14" ht="21.75" customHeight="1">
      <c r="B30" s="338" t="s">
        <v>314</v>
      </c>
      <c r="C30" s="152"/>
      <c r="D30" s="813" t="str">
        <f>IF(ISBLANK(Programmatic!G9),"",(Programmatic!G9))</f>
        <v/>
      </c>
      <c r="E30" s="797"/>
      <c r="F30" s="797"/>
      <c r="G30" s="798"/>
      <c r="H30" s="148"/>
      <c r="I30" s="788"/>
      <c r="J30" s="789"/>
      <c r="K30" s="789"/>
      <c r="L30" s="789"/>
      <c r="M30" s="789"/>
      <c r="N30" s="790"/>
    </row>
    <row r="31" spans="2:14" ht="21.75" customHeight="1">
      <c r="B31" s="338" t="s">
        <v>315</v>
      </c>
      <c r="C31" s="152"/>
      <c r="D31" s="813" t="str">
        <f>IF(ISBLANK(Programmatic!M9),"",(Programmatic!M9))</f>
        <v/>
      </c>
      <c r="E31" s="797"/>
      <c r="F31" s="797"/>
      <c r="G31" s="798"/>
      <c r="H31" s="148"/>
      <c r="I31" s="788"/>
      <c r="J31" s="789"/>
      <c r="K31" s="789"/>
      <c r="L31" s="789"/>
      <c r="M31" s="789"/>
      <c r="N31" s="790"/>
    </row>
    <row r="32" spans="2:14" ht="21.75" customHeight="1">
      <c r="B32" s="339" t="s">
        <v>105</v>
      </c>
      <c r="C32" s="152"/>
      <c r="D32" s="796" t="str">
        <f>IF(ISBLANK(Programmatic!L20),"",(Programmatic!L20))</f>
        <v/>
      </c>
      <c r="E32" s="797"/>
      <c r="F32" s="797"/>
      <c r="G32" s="798"/>
      <c r="H32" s="148"/>
      <c r="I32" s="788"/>
      <c r="J32" s="789"/>
      <c r="K32" s="789"/>
      <c r="L32" s="789"/>
      <c r="M32" s="789"/>
      <c r="N32" s="790"/>
    </row>
    <row r="33" spans="2:14" ht="27" customHeight="1">
      <c r="B33" s="339" t="s">
        <v>106</v>
      </c>
      <c r="C33" s="152"/>
      <c r="D33" s="796" t="str">
        <f>IF(ISBLANK(Programmatic!L21),"",(Programmatic!L21))</f>
        <v/>
      </c>
      <c r="E33" s="797"/>
      <c r="F33" s="797"/>
      <c r="G33" s="798"/>
      <c r="H33" s="148"/>
      <c r="I33" s="788"/>
      <c r="J33" s="789"/>
      <c r="K33" s="789"/>
      <c r="L33" s="789"/>
      <c r="M33" s="789"/>
      <c r="N33" s="790"/>
    </row>
    <row r="34" spans="2:14" ht="21.75" customHeight="1">
      <c r="B34" s="339" t="s">
        <v>107</v>
      </c>
      <c r="C34" s="152"/>
      <c r="D34" s="796" t="str">
        <f>IF(ISBLANK(Programmatic!L22),"",(Programmatic!L22))</f>
        <v/>
      </c>
      <c r="E34" s="797"/>
      <c r="F34" s="797"/>
      <c r="G34" s="798"/>
      <c r="H34" s="148"/>
      <c r="I34" s="788"/>
      <c r="J34" s="789"/>
      <c r="K34" s="789"/>
      <c r="L34" s="789"/>
      <c r="M34" s="789"/>
      <c r="N34" s="790"/>
    </row>
    <row r="35" spans="2:14" ht="21.75" customHeight="1">
      <c r="B35" s="339" t="s">
        <v>108</v>
      </c>
      <c r="C35" s="182"/>
      <c r="D35" s="796" t="str">
        <f>IF(ISBLANK(Programmatic!L24),"",(Programmatic!L24))</f>
        <v/>
      </c>
      <c r="E35" s="797"/>
      <c r="F35" s="797"/>
      <c r="G35" s="798"/>
      <c r="H35" s="148"/>
      <c r="I35" s="788"/>
      <c r="J35" s="789"/>
      <c r="K35" s="789"/>
      <c r="L35" s="789"/>
      <c r="M35" s="789"/>
      <c r="N35" s="790"/>
    </row>
    <row r="36" spans="2:14" ht="21.75" customHeight="1">
      <c r="B36" s="339" t="s">
        <v>120</v>
      </c>
      <c r="C36" s="182"/>
      <c r="D36" s="796" t="str">
        <f>IF(ISBLANK(Programmatic!L25),"",(Programmatic!L25))</f>
        <v/>
      </c>
      <c r="E36" s="797"/>
      <c r="F36" s="797"/>
      <c r="G36" s="798"/>
      <c r="H36" s="148"/>
      <c r="I36" s="788"/>
      <c r="J36" s="789"/>
      <c r="K36" s="789"/>
      <c r="L36" s="789"/>
      <c r="M36" s="789"/>
      <c r="N36" s="790"/>
    </row>
    <row r="37" spans="2:14" ht="21.75" customHeight="1">
      <c r="B37" s="339" t="s">
        <v>121</v>
      </c>
      <c r="C37" s="182"/>
      <c r="D37" s="796" t="e">
        <f>IF(ISBLANK(Programmatic!#REF!),"",(Programmatic!#REF!))</f>
        <v>#REF!</v>
      </c>
      <c r="E37" s="797"/>
      <c r="F37" s="797"/>
      <c r="G37" s="798"/>
      <c r="H37" s="148"/>
      <c r="I37" s="788"/>
      <c r="J37" s="789"/>
      <c r="K37" s="789"/>
      <c r="L37" s="789"/>
      <c r="M37" s="789"/>
      <c r="N37" s="790"/>
    </row>
    <row r="38" spans="2:14" ht="21.75" customHeight="1">
      <c r="B38" s="339" t="s">
        <v>122</v>
      </c>
      <c r="C38" s="182"/>
      <c r="D38" s="796" t="e">
        <f>IF(ISBLANK(Programmatic!#REF!),"",(Programmatic!#REF!))</f>
        <v>#REF!</v>
      </c>
      <c r="E38" s="797"/>
      <c r="F38" s="797"/>
      <c r="G38" s="798"/>
      <c r="H38" s="148"/>
      <c r="I38" s="788"/>
      <c r="J38" s="789"/>
      <c r="K38" s="789"/>
      <c r="L38" s="789"/>
      <c r="M38" s="789"/>
      <c r="N38" s="790"/>
    </row>
    <row r="39" spans="2:14" ht="21.75" customHeight="1">
      <c r="B39" s="339" t="s">
        <v>123</v>
      </c>
      <c r="C39" s="182"/>
      <c r="D39" s="796" t="e">
        <f>IF(ISBLANK(Programmatic!#REF!),"",(Programmatic!#REF!))</f>
        <v>#REF!</v>
      </c>
      <c r="E39" s="797"/>
      <c r="F39" s="797"/>
      <c r="G39" s="798"/>
      <c r="H39" s="148"/>
      <c r="I39" s="788"/>
      <c r="J39" s="789"/>
      <c r="K39" s="789"/>
      <c r="L39" s="789"/>
      <c r="M39" s="789"/>
      <c r="N39" s="790"/>
    </row>
    <row r="40" spans="2:14" ht="21.75" customHeight="1">
      <c r="B40" s="339" t="s">
        <v>124</v>
      </c>
      <c r="C40" s="182"/>
      <c r="D40" s="796" t="str">
        <f>IF(ISBLANK(Programmatic!L30),"",(Programmatic!L30))</f>
        <v/>
      </c>
      <c r="E40" s="797"/>
      <c r="F40" s="797"/>
      <c r="G40" s="798"/>
      <c r="H40" s="148"/>
      <c r="I40" s="788"/>
      <c r="J40" s="789"/>
      <c r="K40" s="789"/>
      <c r="L40" s="789"/>
      <c r="M40" s="789"/>
      <c r="N40" s="790"/>
    </row>
    <row r="41" spans="2:14" ht="21.75" customHeight="1" thickBot="1">
      <c r="B41" s="339" t="s">
        <v>125</v>
      </c>
      <c r="C41" s="153"/>
      <c r="D41" s="796" t="str">
        <f>IF(ISBLANK(Programmatic!L31),"",(Programmatic!L31))</f>
        <v/>
      </c>
      <c r="E41" s="797"/>
      <c r="F41" s="797"/>
      <c r="G41" s="798"/>
      <c r="H41" s="148"/>
      <c r="I41" s="805"/>
      <c r="J41" s="806"/>
      <c r="K41" s="806"/>
      <c r="L41" s="806"/>
      <c r="M41" s="806"/>
      <c r="N41" s="807"/>
    </row>
    <row r="42" spans="2:14" ht="14.25">
      <c r="B42" s="154"/>
      <c r="C42" s="154"/>
      <c r="D42" s="155"/>
      <c r="F42" s="154"/>
      <c r="G42" s="154"/>
      <c r="I42" s="156"/>
      <c r="K42" s="157"/>
      <c r="L42" s="157"/>
      <c r="M42" s="157"/>
      <c r="N42" s="157"/>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6" priority="1" stopIfTrue="1" operator="equal">
      <formula>"C"</formula>
    </cfRule>
    <cfRule type="cellIs" dxfId="5" priority="2" stopIfTrue="1" operator="equal">
      <formula>"B2"</formula>
    </cfRule>
    <cfRule type="cellIs" dxfId="4"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95" zoomScaleNormal="95" zoomScaleSheetLayoutView="100" zoomScalePageLayoutView="95" workbookViewId="0">
      <selection activeCell="D5" sqref="D5:J5"/>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38" t="str">
        <f>+"Dashboard:  "&amp;"  "&amp;IF(+'Data Entry'!C4="Please Select","",'Data Entry'!C4&amp;" - ")&amp;IF('Data Entry'!G6="Please Select","",'Data Entry'!G6)</f>
        <v>Dashboard:    Georgia - HIVAIDS / TB</v>
      </c>
      <c r="C2" s="738"/>
      <c r="D2" s="738"/>
      <c r="E2" s="738"/>
      <c r="F2" s="738"/>
      <c r="G2" s="738"/>
      <c r="H2" s="738"/>
      <c r="I2" s="738"/>
      <c r="J2" s="738"/>
      <c r="K2" s="738"/>
      <c r="L2" s="738"/>
    </row>
    <row r="3" spans="1:13">
      <c r="B3" s="17" t="str">
        <f>+IF('Data Entry'!G8="Please Select","",'Data Entry'!G8)</f>
        <v>NFM</v>
      </c>
      <c r="C3" s="727" t="str">
        <f>+IF('Data Entry'!I8="Please Select","",'Data Entry'!I8)</f>
        <v>Phase 3</v>
      </c>
      <c r="D3" s="727"/>
      <c r="E3" s="726"/>
      <c r="F3" s="726"/>
      <c r="G3" s="726"/>
      <c r="H3" s="726"/>
      <c r="I3" s="726"/>
      <c r="J3" s="724" t="str">
        <f>+'Data Entry'!B16</f>
        <v>Report Period:</v>
      </c>
      <c r="K3" s="724"/>
      <c r="L3" s="160" t="str">
        <f>+'Data Entry'!C16</f>
        <v>P1</v>
      </c>
      <c r="M3" s="66"/>
    </row>
    <row r="4" spans="1:13">
      <c r="B4" s="17" t="str">
        <f>+'Data Entry'!B12</f>
        <v>Latest Rating:</v>
      </c>
      <c r="C4" s="855" t="str">
        <f>+IF('Data Entry'!C12="Please Select","",'Data Entry'!C12)</f>
        <v>B2</v>
      </c>
      <c r="D4" s="855"/>
      <c r="E4" s="726" t="str">
        <f>+'Data Entry'!C8</f>
        <v>NCDC</v>
      </c>
      <c r="F4" s="726"/>
      <c r="G4" s="726"/>
      <c r="H4" s="726"/>
      <c r="I4" s="726"/>
      <c r="J4" s="724" t="str">
        <f>+'Data Entry'!D16</f>
        <v>From:</v>
      </c>
      <c r="K4" s="725"/>
      <c r="L4" s="161">
        <f>+IF(ISBLANK('Data Entry'!E16),"",'Data Entry'!E16)</f>
        <v>44927</v>
      </c>
    </row>
    <row r="5" spans="1:13" ht="18.75" customHeight="1">
      <c r="B5" s="17"/>
      <c r="C5" s="17"/>
      <c r="D5" s="726" t="str">
        <f>+'Data Entry'!G4</f>
        <v>Strengthening of HIV and Tuberculosis (TB) national systems of prevention, treatment, care and support in Georgia</v>
      </c>
      <c r="E5" s="726"/>
      <c r="F5" s="726"/>
      <c r="G5" s="726"/>
      <c r="H5" s="726"/>
      <c r="I5" s="726"/>
      <c r="J5" s="726"/>
      <c r="K5" s="17" t="str">
        <f>+'Data Entry'!F16</f>
        <v>To:</v>
      </c>
      <c r="L5" s="161">
        <f>+IF(ISBLANK('Data Entry'!G16),"",'Data Entry'!G16)</f>
        <v>45016</v>
      </c>
    </row>
    <row r="6" spans="1:13" ht="18.75">
      <c r="B6" s="16"/>
      <c r="C6" s="17"/>
      <c r="D6" s="18"/>
      <c r="E6" s="729" t="s">
        <v>368</v>
      </c>
      <c r="F6" s="729"/>
      <c r="G6" s="729"/>
      <c r="H6" s="729"/>
      <c r="I6" s="729"/>
    </row>
    <row r="7" spans="1:13" ht="18.75">
      <c r="E7" s="54"/>
      <c r="F7" s="54"/>
      <c r="G7" s="54"/>
      <c r="H7" s="54"/>
      <c r="I7" s="54"/>
    </row>
    <row r="8" spans="1:13" s="23" customFormat="1" ht="21" customHeight="1" thickBot="1">
      <c r="B8" s="57" t="s">
        <v>95</v>
      </c>
      <c r="C8" s="57"/>
      <c r="D8" s="57"/>
      <c r="E8" s="57"/>
      <c r="F8" s="57"/>
      <c r="G8" s="57"/>
      <c r="H8" s="57"/>
      <c r="I8" s="57"/>
      <c r="J8" s="57"/>
      <c r="K8" s="57"/>
      <c r="L8" s="57"/>
    </row>
    <row r="9" spans="1:13" ht="6" customHeight="1">
      <c r="B9" s="56"/>
    </row>
    <row r="10" spans="1:13">
      <c r="B10" s="871"/>
      <c r="C10" s="872"/>
      <c r="D10" s="872"/>
      <c r="E10" s="872"/>
      <c r="F10" s="872"/>
      <c r="G10" s="872"/>
      <c r="H10" s="872"/>
      <c r="I10" s="872"/>
      <c r="J10" s="872"/>
      <c r="K10" s="872"/>
      <c r="L10" s="873"/>
    </row>
    <row r="11" spans="1:13">
      <c r="B11" s="874"/>
      <c r="C11" s="875"/>
      <c r="D11" s="875"/>
      <c r="E11" s="875"/>
      <c r="F11" s="875"/>
      <c r="G11" s="875"/>
      <c r="H11" s="875"/>
      <c r="I11" s="875"/>
      <c r="J11" s="875"/>
      <c r="K11" s="875"/>
      <c r="L11" s="876"/>
    </row>
    <row r="12" spans="1:13" ht="15.75" thickBot="1"/>
    <row r="13" spans="1:13" ht="26.25" customHeight="1" thickBot="1">
      <c r="B13" s="867" t="s">
        <v>302</v>
      </c>
      <c r="C13" s="868"/>
      <c r="D13" s="868"/>
      <c r="E13" s="869"/>
      <c r="F13" s="58"/>
      <c r="G13" s="883" t="s">
        <v>127</v>
      </c>
      <c r="H13" s="853"/>
      <c r="I13" s="853"/>
      <c r="J13" s="59" t="s">
        <v>96</v>
      </c>
      <c r="K13" s="853" t="s">
        <v>290</v>
      </c>
      <c r="L13" s="854"/>
    </row>
    <row r="14" spans="1:13">
      <c r="A14" s="860" t="s">
        <v>303</v>
      </c>
      <c r="B14" s="864"/>
      <c r="C14" s="864"/>
      <c r="D14" s="864"/>
      <c r="E14" s="865"/>
      <c r="F14" s="33"/>
      <c r="G14" s="866"/>
      <c r="H14" s="851"/>
      <c r="I14" s="851"/>
      <c r="J14" s="863"/>
      <c r="K14" s="851"/>
      <c r="L14" s="852"/>
    </row>
    <row r="15" spans="1:13">
      <c r="A15" s="861"/>
      <c r="B15" s="864"/>
      <c r="C15" s="864"/>
      <c r="D15" s="864"/>
      <c r="E15" s="865"/>
      <c r="F15" s="33"/>
      <c r="G15" s="856"/>
      <c r="H15" s="847"/>
      <c r="I15" s="847"/>
      <c r="J15" s="847"/>
      <c r="K15" s="847"/>
      <c r="L15" s="848"/>
    </row>
    <row r="16" spans="1:13">
      <c r="A16" s="861"/>
      <c r="B16" s="864"/>
      <c r="C16" s="864"/>
      <c r="D16" s="864"/>
      <c r="E16" s="865"/>
      <c r="F16" s="33"/>
      <c r="G16" s="870"/>
      <c r="H16" s="847"/>
      <c r="I16" s="847"/>
      <c r="J16" s="847"/>
      <c r="K16" s="847"/>
      <c r="L16" s="848"/>
    </row>
    <row r="17" spans="1:12">
      <c r="A17" s="861"/>
      <c r="B17" s="864"/>
      <c r="C17" s="864"/>
      <c r="D17" s="864"/>
      <c r="E17" s="865"/>
      <c r="F17" s="33"/>
      <c r="G17" s="856"/>
      <c r="H17" s="847"/>
      <c r="I17" s="847"/>
      <c r="J17" s="847"/>
      <c r="K17" s="847"/>
      <c r="L17" s="848"/>
    </row>
    <row r="18" spans="1:12">
      <c r="A18" s="861"/>
      <c r="B18" s="864"/>
      <c r="C18" s="864"/>
      <c r="D18" s="864"/>
      <c r="E18" s="865"/>
      <c r="F18" s="33"/>
      <c r="G18" s="877"/>
      <c r="H18" s="878"/>
      <c r="I18" s="879"/>
      <c r="J18" s="847"/>
      <c r="K18" s="847"/>
      <c r="L18" s="848"/>
    </row>
    <row r="19" spans="1:12" ht="30.75" customHeight="1">
      <c r="A19" s="861"/>
      <c r="B19" s="864"/>
      <c r="C19" s="864"/>
      <c r="D19" s="864"/>
      <c r="E19" s="865"/>
      <c r="F19" s="33"/>
      <c r="G19" s="880"/>
      <c r="H19" s="881"/>
      <c r="I19" s="882"/>
      <c r="J19" s="847"/>
      <c r="K19" s="847"/>
      <c r="L19" s="848"/>
    </row>
    <row r="20" spans="1:12">
      <c r="A20" s="861"/>
      <c r="B20" s="864"/>
      <c r="C20" s="864"/>
      <c r="D20" s="864"/>
      <c r="E20" s="865"/>
      <c r="F20" s="33"/>
      <c r="G20" s="856"/>
      <c r="H20" s="847"/>
      <c r="I20" s="847"/>
      <c r="J20" s="847"/>
      <c r="K20" s="847"/>
      <c r="L20" s="848"/>
    </row>
    <row r="21" spans="1:12">
      <c r="A21" s="861"/>
      <c r="B21" s="864"/>
      <c r="C21" s="864"/>
      <c r="D21" s="864"/>
      <c r="E21" s="865"/>
      <c r="F21" s="33"/>
      <c r="G21" s="856"/>
      <c r="H21" s="847"/>
      <c r="I21" s="847"/>
      <c r="J21" s="847"/>
      <c r="K21" s="847"/>
      <c r="L21" s="848"/>
    </row>
    <row r="22" spans="1:12">
      <c r="A22" s="861"/>
      <c r="B22" s="864"/>
      <c r="C22" s="864"/>
      <c r="D22" s="864"/>
      <c r="E22" s="865"/>
      <c r="F22" s="33"/>
      <c r="G22" s="856"/>
      <c r="H22" s="847"/>
      <c r="I22" s="847"/>
      <c r="J22" s="847"/>
      <c r="K22" s="847"/>
      <c r="L22" s="848"/>
    </row>
    <row r="23" spans="1:12">
      <c r="A23" s="861"/>
      <c r="B23" s="864"/>
      <c r="C23" s="864"/>
      <c r="D23" s="864"/>
      <c r="E23" s="865"/>
      <c r="F23" s="33"/>
      <c r="G23" s="856"/>
      <c r="H23" s="847"/>
      <c r="I23" s="847"/>
      <c r="J23" s="847"/>
      <c r="K23" s="847"/>
      <c r="L23" s="848"/>
    </row>
    <row r="24" spans="1:12">
      <c r="A24" s="861"/>
      <c r="B24" s="864"/>
      <c r="C24" s="864"/>
      <c r="D24" s="864"/>
      <c r="E24" s="865"/>
      <c r="F24" s="33"/>
      <c r="G24" s="870"/>
      <c r="H24" s="847"/>
      <c r="I24" s="847"/>
      <c r="J24" s="847"/>
      <c r="K24" s="847"/>
      <c r="L24" s="848"/>
    </row>
    <row r="25" spans="1:12" ht="15.75" thickBot="1">
      <c r="A25" s="862"/>
      <c r="B25" s="893"/>
      <c r="C25" s="893"/>
      <c r="D25" s="893"/>
      <c r="E25" s="894"/>
      <c r="F25" s="33"/>
      <c r="G25" s="885"/>
      <c r="H25" s="849"/>
      <c r="I25" s="849"/>
      <c r="J25" s="849"/>
      <c r="K25" s="849"/>
      <c r="L25" s="850"/>
    </row>
    <row r="27" spans="1:12" ht="18.75">
      <c r="E27" s="884" t="s">
        <v>332</v>
      </c>
      <c r="F27" s="884"/>
      <c r="G27" s="884"/>
      <c r="H27" s="884"/>
      <c r="I27" s="884"/>
    </row>
    <row r="28" spans="1:12" ht="6" customHeight="1">
      <c r="E28" s="54"/>
      <c r="F28" s="54"/>
      <c r="G28" s="54"/>
      <c r="H28" s="54"/>
      <c r="I28" s="54"/>
    </row>
    <row r="29" spans="1:12" s="23" customFormat="1" ht="21" customHeight="1" thickBot="1">
      <c r="B29" s="57" t="s">
        <v>95</v>
      </c>
      <c r="C29" s="57"/>
      <c r="D29" s="57"/>
      <c r="E29" s="57"/>
      <c r="F29" s="57"/>
      <c r="G29" s="57"/>
      <c r="H29" s="57"/>
      <c r="I29" s="57"/>
      <c r="J29" s="57"/>
      <c r="K29" s="57"/>
      <c r="L29" s="57"/>
    </row>
    <row r="30" spans="1:12" ht="6" customHeight="1" thickBot="1">
      <c r="B30" s="56"/>
    </row>
    <row r="31" spans="1:12" ht="21.75" customHeight="1" thickBot="1">
      <c r="B31" s="867" t="s">
        <v>127</v>
      </c>
      <c r="C31" s="868"/>
      <c r="D31" s="868"/>
      <c r="E31" s="869"/>
      <c r="F31" s="58"/>
      <c r="G31" s="883" t="s">
        <v>317</v>
      </c>
      <c r="H31" s="853"/>
      <c r="I31" s="853"/>
      <c r="J31" s="59" t="s">
        <v>292</v>
      </c>
      <c r="K31" s="853" t="s">
        <v>290</v>
      </c>
      <c r="L31" s="854"/>
    </row>
    <row r="32" spans="1:12" ht="14.25" customHeight="1">
      <c r="A32" s="860" t="s">
        <v>304</v>
      </c>
      <c r="B32" s="886"/>
      <c r="C32" s="887"/>
      <c r="D32" s="887"/>
      <c r="E32" s="888"/>
      <c r="F32" s="33"/>
      <c r="G32" s="866"/>
      <c r="H32" s="851"/>
      <c r="I32" s="851"/>
      <c r="J32" s="851"/>
      <c r="K32" s="851"/>
      <c r="L32" s="852"/>
    </row>
    <row r="33" spans="1:12" ht="16.5" customHeight="1">
      <c r="A33" s="861"/>
      <c r="B33" s="880"/>
      <c r="C33" s="881"/>
      <c r="D33" s="881"/>
      <c r="E33" s="889"/>
      <c r="F33" s="33"/>
      <c r="G33" s="856"/>
      <c r="H33" s="847"/>
      <c r="I33" s="847"/>
      <c r="J33" s="847"/>
      <c r="K33" s="847"/>
      <c r="L33" s="848"/>
    </row>
    <row r="34" spans="1:12">
      <c r="A34" s="861"/>
      <c r="B34" s="857" t="str">
        <f>IF(Recommendations!I43="","",Recommendations!I43)</f>
        <v/>
      </c>
      <c r="C34" s="858"/>
      <c r="D34" s="858"/>
      <c r="E34" s="859"/>
      <c r="F34" s="33"/>
      <c r="G34" s="856"/>
      <c r="H34" s="847"/>
      <c r="I34" s="847"/>
      <c r="J34" s="847"/>
      <c r="K34" s="847"/>
      <c r="L34" s="848"/>
    </row>
    <row r="35" spans="1:12">
      <c r="A35" s="861"/>
      <c r="B35" s="857"/>
      <c r="C35" s="858"/>
      <c r="D35" s="858"/>
      <c r="E35" s="859"/>
      <c r="F35" s="33"/>
      <c r="G35" s="856"/>
      <c r="H35" s="847"/>
      <c r="I35" s="847"/>
      <c r="J35" s="847"/>
      <c r="K35" s="847"/>
      <c r="L35" s="848"/>
    </row>
    <row r="36" spans="1:12">
      <c r="A36" s="861"/>
      <c r="B36" s="857" t="str">
        <f>+IF(Recommendations!I53="","",Recommendations!I53)</f>
        <v/>
      </c>
      <c r="C36" s="858"/>
      <c r="D36" s="858"/>
      <c r="E36" s="859"/>
      <c r="F36" s="33"/>
      <c r="G36" s="856"/>
      <c r="H36" s="847"/>
      <c r="I36" s="847"/>
      <c r="J36" s="847"/>
      <c r="K36" s="847"/>
      <c r="L36" s="848"/>
    </row>
    <row r="37" spans="1:12">
      <c r="A37" s="861"/>
      <c r="B37" s="857"/>
      <c r="C37" s="858"/>
      <c r="D37" s="858"/>
      <c r="E37" s="859"/>
      <c r="F37" s="33"/>
      <c r="G37" s="856"/>
      <c r="H37" s="847"/>
      <c r="I37" s="847"/>
      <c r="J37" s="847"/>
      <c r="K37" s="847"/>
      <c r="L37" s="848"/>
    </row>
    <row r="38" spans="1:12">
      <c r="A38" s="861"/>
      <c r="B38" s="857"/>
      <c r="C38" s="858"/>
      <c r="D38" s="858"/>
      <c r="E38" s="859"/>
      <c r="F38" s="33"/>
      <c r="G38" s="856"/>
      <c r="H38" s="847"/>
      <c r="I38" s="847"/>
      <c r="J38" s="847"/>
      <c r="K38" s="847"/>
      <c r="L38" s="848"/>
    </row>
    <row r="39" spans="1:12">
      <c r="A39" s="861"/>
      <c r="B39" s="857"/>
      <c r="C39" s="858"/>
      <c r="D39" s="858"/>
      <c r="E39" s="859"/>
      <c r="F39" s="33"/>
      <c r="G39" s="856"/>
      <c r="H39" s="847"/>
      <c r="I39" s="847"/>
      <c r="J39" s="847"/>
      <c r="K39" s="847"/>
      <c r="L39" s="848"/>
    </row>
    <row r="40" spans="1:12">
      <c r="A40" s="861"/>
      <c r="B40" s="857"/>
      <c r="C40" s="858"/>
      <c r="D40" s="858"/>
      <c r="E40" s="859"/>
      <c r="F40" s="33"/>
      <c r="G40" s="856"/>
      <c r="H40" s="847"/>
      <c r="I40" s="847"/>
      <c r="J40" s="847"/>
      <c r="K40" s="847"/>
      <c r="L40" s="848"/>
    </row>
    <row r="41" spans="1:12">
      <c r="A41" s="861"/>
      <c r="B41" s="857"/>
      <c r="C41" s="858"/>
      <c r="D41" s="858"/>
      <c r="E41" s="859"/>
      <c r="F41" s="33"/>
      <c r="G41" s="856"/>
      <c r="H41" s="847"/>
      <c r="I41" s="847"/>
      <c r="J41" s="847"/>
      <c r="K41" s="847"/>
      <c r="L41" s="848"/>
    </row>
    <row r="42" spans="1:12">
      <c r="A42" s="861"/>
      <c r="B42" s="857"/>
      <c r="C42" s="858"/>
      <c r="D42" s="858"/>
      <c r="E42" s="859"/>
      <c r="F42" s="33"/>
      <c r="G42" s="856"/>
      <c r="H42" s="847"/>
      <c r="I42" s="847"/>
      <c r="J42" s="847"/>
      <c r="K42" s="847"/>
      <c r="L42" s="848"/>
    </row>
    <row r="43" spans="1:12" ht="15.75" thickBot="1">
      <c r="A43" s="862"/>
      <c r="B43" s="890"/>
      <c r="C43" s="891"/>
      <c r="D43" s="891"/>
      <c r="E43" s="892"/>
      <c r="F43" s="33"/>
      <c r="G43" s="885"/>
      <c r="H43" s="849"/>
      <c r="I43" s="849"/>
      <c r="J43" s="849"/>
      <c r="K43" s="849"/>
      <c r="L43" s="850"/>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3" priority="1" stopIfTrue="1" operator="equal">
      <formula>"C"</formula>
    </cfRule>
    <cfRule type="cellIs" dxfId="2" priority="2" stopIfTrue="1" operator="equal">
      <formula>"B2"</formula>
    </cfRule>
    <cfRule type="cellIs" dxfId="1"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Natalia Adamashvili</cp:lastModifiedBy>
  <cp:lastPrinted>2009-11-06T15:57:56Z</cp:lastPrinted>
  <dcterms:created xsi:type="dcterms:W3CDTF">2008-11-20T16:06:13Z</dcterms:created>
  <dcterms:modified xsi:type="dcterms:W3CDTF">2023-06-29T10:55:59Z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