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M:\GF-NFM-2\dashboards\"/>
    </mc:Choice>
  </mc:AlternateContent>
  <bookViews>
    <workbookView xWindow="0" yWindow="0" windowWidth="20490" windowHeight="7155" tabRatio="721" firstSheet="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Entry'!$B$25:$J$62</definedName>
    <definedName name="PrintDataM">'Data Entry'!$B$64:$H$108</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49" i="29" l="1"/>
  <c r="C49" i="29"/>
  <c r="L145" i="29" l="1"/>
  <c r="L143" i="29"/>
  <c r="L141" i="29"/>
  <c r="D44" i="29" l="1"/>
  <c r="C44" i="29"/>
  <c r="E93" i="29" l="1"/>
  <c r="D93" i="29" l="1"/>
  <c r="G107" i="29" l="1"/>
  <c r="B22" i="37" l="1"/>
  <c r="B21" i="37"/>
  <c r="B20" i="37"/>
  <c r="H115" i="29" l="1"/>
  <c r="K115" i="29"/>
  <c r="J115" i="29"/>
  <c r="I115" i="29"/>
  <c r="C93" i="29" l="1"/>
  <c r="E50" i="29" l="1"/>
  <c r="E51" i="29"/>
  <c r="E106" i="29"/>
  <c r="G106" i="29" s="1"/>
  <c r="I106" i="29" s="1"/>
  <c r="E52" i="29"/>
  <c r="E105" i="29"/>
  <c r="I107" i="29"/>
  <c r="E108" i="29"/>
  <c r="G108" i="29" s="1"/>
  <c r="I108" i="29" s="1"/>
  <c r="J33" i="35" s="1"/>
  <c r="C33" i="29"/>
  <c r="D33" i="29" s="1"/>
  <c r="C34" i="29"/>
  <c r="D34" i="29" s="1"/>
  <c r="E34" i="29" s="1"/>
  <c r="F34" i="29" s="1"/>
  <c r="G34" i="29" s="1"/>
  <c r="H34" i="29" s="1"/>
  <c r="I34" i="29" s="1"/>
  <c r="J34" i="29" s="1"/>
  <c r="K34" i="29" s="1"/>
  <c r="L34" i="29" s="1"/>
  <c r="M34" i="29" s="1"/>
  <c r="N34" i="29" s="1"/>
  <c r="E49"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7" i="29"/>
  <c r="E86" i="29"/>
  <c r="D11" i="42"/>
  <c r="J3" i="35"/>
  <c r="L3" i="35"/>
  <c r="I3" i="30"/>
  <c r="K3" i="30"/>
  <c r="D33" i="42"/>
  <c r="D34" i="42"/>
  <c r="D35" i="42"/>
  <c r="D36" i="42"/>
  <c r="D37" i="42"/>
  <c r="D38" i="42"/>
  <c r="D39" i="42"/>
  <c r="D40" i="42"/>
  <c r="D41" i="42"/>
  <c r="D32" i="42"/>
  <c r="D31" i="42"/>
  <c r="D30" i="42"/>
  <c r="D29" i="42"/>
  <c r="K30" i="35"/>
  <c r="K31" i="35"/>
  <c r="K32" i="35"/>
  <c r="K33" i="35"/>
  <c r="M141" i="29"/>
  <c r="N141" i="29"/>
  <c r="O141" i="29"/>
  <c r="P141" i="29"/>
  <c r="Q141" i="29"/>
  <c r="R141" i="29"/>
  <c r="S141" i="29"/>
  <c r="L142" i="29"/>
  <c r="M142" i="29"/>
  <c r="N142" i="29"/>
  <c r="O142" i="29"/>
  <c r="P142" i="29"/>
  <c r="Q142" i="29"/>
  <c r="R142" i="29"/>
  <c r="S142" i="29"/>
  <c r="M143" i="29"/>
  <c r="N143" i="29"/>
  <c r="O143" i="29"/>
  <c r="P143" i="29"/>
  <c r="Q143" i="29"/>
  <c r="R143" i="29"/>
  <c r="S143" i="29"/>
  <c r="L144" i="29"/>
  <c r="M144" i="29"/>
  <c r="N144" i="29"/>
  <c r="O144" i="29"/>
  <c r="P144" i="29"/>
  <c r="Q144" i="29"/>
  <c r="R144" i="29"/>
  <c r="S144" i="29"/>
  <c r="M145" i="29"/>
  <c r="N145" i="29"/>
  <c r="O145" i="29"/>
  <c r="P145" i="29"/>
  <c r="Q145" i="29"/>
  <c r="R145" i="29"/>
  <c r="S145" i="29"/>
  <c r="M140" i="29"/>
  <c r="N140" i="29"/>
  <c r="O140" i="29"/>
  <c r="P140" i="29"/>
  <c r="Q140" i="29"/>
  <c r="R140" i="29"/>
  <c r="S140" i="29"/>
  <c r="F142" i="29"/>
  <c r="F144" i="29"/>
  <c r="F140" i="29"/>
  <c r="E142" i="29"/>
  <c r="E144" i="29"/>
  <c r="E140" i="29"/>
  <c r="B142" i="29"/>
  <c r="B144" i="29"/>
  <c r="B140" i="29"/>
  <c r="B32" i="29"/>
  <c r="D38" i="29"/>
  <c r="C38" i="29"/>
  <c r="B31" i="29"/>
  <c r="E48" i="29"/>
  <c r="H29" i="30"/>
  <c r="H28" i="30"/>
  <c r="H27" i="30"/>
  <c r="D24" i="42"/>
  <c r="D23" i="42"/>
  <c r="D22" i="42"/>
  <c r="D21" i="42"/>
  <c r="D20" i="42"/>
  <c r="D19" i="42"/>
  <c r="D14" i="42"/>
  <c r="D13" i="42"/>
  <c r="D12" i="42"/>
  <c r="B25" i="45"/>
  <c r="B23" i="45"/>
  <c r="B21" i="45"/>
  <c r="B20" i="45"/>
  <c r="B19" i="45"/>
  <c r="B11" i="45"/>
  <c r="B10" i="45"/>
  <c r="B9" i="45"/>
  <c r="B8" i="45"/>
  <c r="B4" i="37"/>
  <c r="B4" i="35"/>
  <c r="B4" i="30"/>
  <c r="G70" i="29"/>
  <c r="E20" i="42" s="1"/>
  <c r="G12" i="27"/>
  <c r="H4" i="1"/>
  <c r="K145" i="29"/>
  <c r="K144" i="29"/>
  <c r="K143" i="29"/>
  <c r="K142" i="29"/>
  <c r="K141" i="29"/>
  <c r="K140" i="29"/>
  <c r="C95" i="29"/>
  <c r="D95" i="29" s="1"/>
  <c r="E95" i="29" s="1"/>
  <c r="F95" i="29" s="1"/>
  <c r="G95" i="29" s="1"/>
  <c r="H95" i="29" s="1"/>
  <c r="I95" i="29" s="1"/>
  <c r="J95" i="29" s="1"/>
  <c r="K95" i="29" s="1"/>
  <c r="L95" i="29" s="1"/>
  <c r="M95" i="29" s="1"/>
  <c r="N95"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7" i="29"/>
  <c r="D97" i="29" s="1"/>
  <c r="E97" i="29" s="1"/>
  <c r="F97" i="29" s="1"/>
  <c r="G97" i="29" s="1"/>
  <c r="H97" i="29" s="1"/>
  <c r="I97" i="29" s="1"/>
  <c r="J97" i="29" s="1"/>
  <c r="K97" i="29" s="1"/>
  <c r="L97" i="29" s="1"/>
  <c r="M97" i="29" s="1"/>
  <c r="N97" i="29" s="1"/>
  <c r="C96" i="29"/>
  <c r="D96" i="29" s="1"/>
  <c r="E96" i="29" s="1"/>
  <c r="F96" i="29" s="1"/>
  <c r="G96" i="29" s="1"/>
  <c r="H96" i="29" s="1"/>
  <c r="I96" i="29" s="1"/>
  <c r="J96" i="29" s="1"/>
  <c r="K96" i="29" s="1"/>
  <c r="L96" i="29" s="1"/>
  <c r="M96" i="29" s="1"/>
  <c r="N96" i="29" s="1"/>
  <c r="E76" i="29"/>
  <c r="D5" i="35"/>
  <c r="E4" i="35"/>
  <c r="K5" i="35"/>
  <c r="J4" i="35"/>
  <c r="D5" i="37"/>
  <c r="P5" i="37"/>
  <c r="P4" i="37"/>
  <c r="O3" i="37"/>
  <c r="J5" i="30"/>
  <c r="D5" i="30"/>
  <c r="I4" i="30"/>
  <c r="E4" i="30"/>
  <c r="L8" i="37"/>
  <c r="F8" i="37"/>
  <c r="B8" i="37"/>
  <c r="L140" i="29"/>
  <c r="J145" i="29"/>
  <c r="J144" i="29"/>
  <c r="J143" i="29"/>
  <c r="J142" i="29"/>
  <c r="J141" i="29"/>
  <c r="J140" i="29"/>
  <c r="I145" i="29"/>
  <c r="I144" i="29"/>
  <c r="I142" i="29"/>
  <c r="I140" i="29"/>
  <c r="H145" i="29"/>
  <c r="H144" i="29"/>
  <c r="H143" i="29"/>
  <c r="H142" i="29"/>
  <c r="H141" i="29"/>
  <c r="H140" i="29"/>
  <c r="B26" i="37"/>
  <c r="B25" i="37"/>
  <c r="B24" i="37"/>
  <c r="B23" i="37"/>
  <c r="S139" i="29"/>
  <c r="R139" i="29"/>
  <c r="Q139" i="29"/>
  <c r="P139" i="29"/>
  <c r="O139" i="29"/>
  <c r="B27" i="37"/>
  <c r="N139" i="29"/>
  <c r="M139" i="29"/>
  <c r="L139" i="29"/>
  <c r="K139" i="29"/>
  <c r="J139" i="29"/>
  <c r="I139" i="29"/>
  <c r="H139"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AC22" i="37"/>
  <c r="AC24" i="37"/>
  <c r="AB22" i="37"/>
  <c r="AD24" i="37"/>
  <c r="H22" i="30"/>
  <c r="B15" i="35" l="1"/>
  <c r="G105" i="29"/>
  <c r="I105" i="29" s="1"/>
  <c r="D35" i="29"/>
  <c r="E33" i="29"/>
  <c r="E35" i="29" s="1"/>
  <c r="R29" i="29"/>
  <c r="C35" i="29"/>
  <c r="H7" i="35"/>
  <c r="B8" i="30"/>
  <c r="H26" i="35"/>
  <c r="B22" i="30"/>
  <c r="R30" i="29"/>
  <c r="H8" i="30"/>
  <c r="B7" i="35"/>
  <c r="K107" i="29"/>
  <c r="L32" i="35" s="1"/>
  <c r="J32" i="35"/>
  <c r="J31" i="35"/>
  <c r="K106" i="29"/>
  <c r="L31" i="35" s="1"/>
  <c r="G20" i="37"/>
  <c r="G24" i="37"/>
  <c r="G27" i="37"/>
  <c r="H15" i="35"/>
  <c r="K108" i="29"/>
  <c r="L33" i="35" s="1"/>
  <c r="G21" i="37"/>
  <c r="G25" i="37"/>
  <c r="G26" i="37"/>
  <c r="G23" i="37"/>
  <c r="G29" i="37"/>
  <c r="G22" i="37"/>
  <c r="G28" i="37"/>
  <c r="K105" i="29" l="1"/>
  <c r="L30" i="35" s="1"/>
  <c r="J30" i="35"/>
  <c r="R31" i="29"/>
  <c r="F33" i="29"/>
  <c r="F35" i="29" s="1"/>
  <c r="G33" i="29" l="1"/>
  <c r="G35" i="29" s="1"/>
  <c r="R32" i="29"/>
  <c r="R33" i="29"/>
  <c r="H33" i="29"/>
  <c r="R34" i="29" l="1"/>
  <c r="I33" i="29"/>
  <c r="H35" i="29"/>
  <c r="I35" i="29" l="1"/>
  <c r="J33" i="29"/>
  <c r="R35" i="29"/>
  <c r="R46" i="29" l="1"/>
  <c r="J35" i="29"/>
  <c r="K33" i="29"/>
  <c r="K35" i="29" l="1"/>
  <c r="L33" i="29"/>
  <c r="R47" i="29"/>
  <c r="M33" i="29" l="1"/>
  <c r="L35" i="29"/>
  <c r="M35" i="29" l="1"/>
  <c r="N33" i="29"/>
  <c r="N35" i="29" s="1"/>
  <c r="Q48" i="29"/>
  <c r="O31" i="29" l="1"/>
  <c r="F44"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69" authorId="1" shapeId="0">
      <text>
        <r>
          <rPr>
            <b/>
            <sz val="8"/>
            <color indexed="81"/>
            <rFont val="Tahoma"/>
            <family val="2"/>
          </rPr>
          <t xml:space="preserve">If data are not available, do not enter zeros; rather, leave the cells in the table blank. </t>
        </r>
      </text>
    </comment>
    <comment ref="B70" authorId="1" shapeId="0">
      <text>
        <r>
          <rPr>
            <b/>
            <sz val="8"/>
            <color indexed="81"/>
            <rFont val="Tahoma"/>
            <family val="2"/>
          </rPr>
          <t>If data are not available, do not enter zeros; rather, leave the cells in this table blank.</t>
        </r>
      </text>
    </comment>
    <comment ref="B76" authorId="0" shapeId="0">
      <text>
        <r>
          <rPr>
            <sz val="8"/>
            <color indexed="81"/>
            <rFont val="Tahoma"/>
            <family val="2"/>
            <charset val="204"/>
          </rPr>
          <t xml:space="preserve">If data are not available, do not enter zeros; rather, leave the cells in this table blank. </t>
        </r>
      </text>
    </comment>
    <comment ref="B91"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<sst xmlns="http://schemas.openxmlformats.org/spreadsheetml/2006/main" count="572" uniqueCount="444">
  <si>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</si>
  <si>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</si>
  <si>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</si>
  <si>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</si>
  <si>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</si>
  <si>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</si>
  <si>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</si>
  <si>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</si>
  <si>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</si>
  <si>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</si>
  <si>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</si>
  <si>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</si>
  <si>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</si>
  <si>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</si>
  <si>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</si>
  <si>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</si>
  <si>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</si>
  <si>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</si>
  <si>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</si>
  <si>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</si>
  <si>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</si>
  <si>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</si>
  <si>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</si>
  <si>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</si>
  <si>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</si>
  <si>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</si>
  <si>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</si>
  <si>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</si>
  <si>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</si>
  <si>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</si>
  <si>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</si>
  <si>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</si>
  <si>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</si>
  <si>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</si>
  <si>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</si>
  <si>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</si>
  <si>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</si>
  <si>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</si>
  <si>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</si>
  <si>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</si>
  <si>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</si>
  <si>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</si>
  <si>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</si>
  <si>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</si>
  <si>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</si>
  <si>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</si>
  <si>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</si>
  <si>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</si>
  <si>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</si>
  <si>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</si>
  <si>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</si>
  <si>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</si>
  <si>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</si>
  <si>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</si>
  <si>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</si>
  <si>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</si>
  <si>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</si>
  <si>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</si>
  <si>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</si>
  <si>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</si>
  <si>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</si>
  <si>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</si>
  <si>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</si>
  <si>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</si>
  <si>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</si>
  <si>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</si>
  <si>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</si>
  <si>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</si>
  <si>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</si>
  <si>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</si>
  <si>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</si>
  <si>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</si>
  <si>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</si>
  <si>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</si>
  <si>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</si>
  <si>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</si>
  <si>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</si>
  <si>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</si>
  <si>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</si>
  <si>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</si>
  <si>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</si>
  <si>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</si>
  <si>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</si>
  <si>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</si>
  <si>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</si>
  <si>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</si>
  <si>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</si>
  <si>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</si>
  <si>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</si>
  <si>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</si>
  <si>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</si>
  <si>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</si>
  <si>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</si>
  <si>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</si>
  <si>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</si>
  <si>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</si>
  <si>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</si>
  <si>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</si>
  <si>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</si>
  <si>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</si>
  <si>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</si>
  <si>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</si>
  <si>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</si>
  <si>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</si>
  <si>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</si>
  <si>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</si>
  <si>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</si>
  <si>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</si>
  <si>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</si>
  <si>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</si>
  <si>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</si>
  <si>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</si>
  <si>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</si>
  <si>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</si>
  <si>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</si>
  <si>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</si>
  <si>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</si>
  <si>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</si>
  <si>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</si>
  <si>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</si>
  <si>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</si>
  <si>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</si>
  <si>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</si>
  <si>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</si>
  <si>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</si>
  <si>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</si>
  <si>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</si>
  <si>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</si>
  <si>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</si>
  <si>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</si>
  <si>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</si>
  <si>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</si>
  <si>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</si>
  <si>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</si>
  <si>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</si>
  <si>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</si>
  <si>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</si>
  <si>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</si>
  <si>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</si>
  <si>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</si>
  <si>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</si>
  <si>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</si>
  <si>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</si>
  <si>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</si>
  <si>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</si>
  <si>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</si>
  <si>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</si>
  <si>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</si>
  <si>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</si>
  <si>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</si>
  <si>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</si>
  <si>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</si>
  <si>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</si>
  <si>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</si>
  <si>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</si>
  <si>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</si>
  <si>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</si>
  <si>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</si>
  <si>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</si>
  <si>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</si>
  <si>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</si>
  <si>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</si>
  <si>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</si>
  <si>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</si>
  <si>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</si>
  <si>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</si>
  <si>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</si>
  <si>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</si>
  <si>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</si>
  <si>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</si>
  <si>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</si>
  <si>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</si>
  <si>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</si>
  <si>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</si>
  <si>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</si>
  <si>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</si>
  <si>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</si>
  <si>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</si>
  <si>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</si>
  <si>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</si>
  <si>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</si>
  <si>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</si>
  <si>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</si>
  <si>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</si>
  <si>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</si>
  <si>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</si>
  <si>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</si>
  <si>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</si>
  <si>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</si>
  <si>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</si>
  <si>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</si>
  <si>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</si>
  <si>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</si>
  <si>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</si>
  <si>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</si>
  <si>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</si>
  <si>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</si>
  <si>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</si>
  <si>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</si>
  <si>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</si>
  <si>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</si>
  <si>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</si>
  <si>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</si>
  <si>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</si>
  <si>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</si>
  <si>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</si>
  <si>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</si>
  <si>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</si>
  <si>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</si>
  <si>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</si>
  <si>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</si>
  <si>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</si>
  <si>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</si>
  <si>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</si>
  <si>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</si>
  <si>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</si>
  <si>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</si>
  <si>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</si>
  <si>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</si>
  <si>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</si>
  <si>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</si>
  <si>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</si>
  <si>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</si>
  <si>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</si>
  <si>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</si>
  <si>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</si>
  <si>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</si>
  <si>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</si>
  <si>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</si>
  <si>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</si>
  <si>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</si>
  <si>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</si>
  <si>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</si>
  <si>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</si>
  <si>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</si>
  <si>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</si>
  <si>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</si>
  <si>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</si>
  <si>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</si>
  <si>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</si>
  <si>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</si>
  <si>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</si>
  <si>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</si>
  <si>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</si>
  <si>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</si>
  <si>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</si>
  <si>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</si>
  <si>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</si>
  <si>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</si>
  <si>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</si>
  <si>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</si>
  <si>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</si>
  <si>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</si>
  <si>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</si>
  <si>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</si>
  <si>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</si>
  <si>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</si>
  <si>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</si>
  <si>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</si>
  <si>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</si>
  <si>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</si>
  <si>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</si>
  <si>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</si>
  <si>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</si>
  <si>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</si>
  <si>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</si>
  <si>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</si>
  <si>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</si>
  <si>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</si>
  <si>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</si>
  <si>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</si>
  <si>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</si>
  <si>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</si>
  <si>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</si>
  <si>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</si>
  <si>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</si>
  <si>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</si>
  <si>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</si>
  <si>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</si>
  <si>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</si>
  <si>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</si>
  <si>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</si>
  <si>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</si>
  <si>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</si>
  <si>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</si>
  <si>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</si>
  <si>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</si>
  <si>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</si>
  <si>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</si>
  <si>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</si>
  <si>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</si>
  <si>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</si>
  <si>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</si>
  <si>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</si>
  <si>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</si>
  <si>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</si>
  <si>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</si>
  <si>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</si>
  <si>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</si>
  <si>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</si>
  <si>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</si>
  <si>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</si>
  <si>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</si>
  <si>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</si>
  <si>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</si>
  <si>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</si>
  <si>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</si>
  <si>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</si>
  <si>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</si>
  <si>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</si>
  <si>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</si>
  <si>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</si>
  <si>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</si>
  <si>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</si>
  <si>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</si>
  <si>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</si>
  <si>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</si>
  <si>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</si>
  <si>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</si>
  <si>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</si>
  <si>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</si>
  <si>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</si>
  <si>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</si>
  <si>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</si>
  <si>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</si>
  <si>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</si>
  <si>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</si>
  <si>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</si>
  <si>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</si>
  <si>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</si>
  <si>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</si>
  <si>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</si>
  <si>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</si>
  <si>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</si>
  <si>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</si>
  <si>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</si>
  <si>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</si>
  <si>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</si>
  <si>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</si>
  <si>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</si>
  <si>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</si>
  <si>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</si>
  <si>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</si>
  <si>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</si>
  <si>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</si>
  <si>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</si>
  <si>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</si>
  <si>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</si>
  <si>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</si>
  <si>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</si>
  <si>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</si>
  <si>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</si>
  <si>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</si>
  <si>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</si>
  <si>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</si>
  <si>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</si>
  <si>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</si>
  <si>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</si>
  <si>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</si>
  <si>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</si>
  <si>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</si>
  <si>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</si>
  <si>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</si>
  <si>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</si>
  <si>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</si>
  <si>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</si>
  <si>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</si>
  <si>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</si>
  <si>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</si>
  <si>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</si>
  <si>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</si>
  <si>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</si>
  <si>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</si>
  <si>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</si>
  <si>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</si>
  <si>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</si>
  <si>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</si>
  <si>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</si>
  <si>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</si>
  <si>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</si>
  <si>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</si>
  <si>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</si>
  <si>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</si>
  <si>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</si>
  <si>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</si>
  <si>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</si>
  <si>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</si>
  <si>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</si>
  <si>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</si>
  <si>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</si>
  <si>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</si>
  <si>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</si>
  <si>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</si>
  <si>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</si>
  <si>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</si>
  <si>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</si>
  <si>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</si>
  <si>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</si>
  <si>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</si>
  <si>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</si>
  <si>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</si>
  <si>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</si>
  <si>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</si>
  <si>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</si>
  <si>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</si>
  <si>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</si>
  <si>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</si>
  <si>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</si>
  <si>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</si>
  <si>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</si>
  <si>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</si>
  <si>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</si>
  <si>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</si>
  <si>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</si>
  <si>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</si>
  <si>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</si>
  <si>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</si>
  <si>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</si>
  <si>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</si>
  <si>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</si>
  <si>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</si>
  <si>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</si>
  <si>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</si>
  <si>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</si>
  <si>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</si>
  <si>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</si>
  <si>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</si>
  <si>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</si>
  <si>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</si>
  <si>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MDR-TB</t>
  </si>
  <si>
    <t>Program management</t>
  </si>
  <si>
    <t>Moxifloxacin</t>
  </si>
  <si>
    <t>RSSH: Human resources for health (HRH), including community health workers</t>
  </si>
  <si>
    <t>RSSH: Community responses and systems</t>
  </si>
  <si>
    <t>Tatyana Vinichenko</t>
  </si>
  <si>
    <t>MDR TB-2: Number of TB cases with RR-TB and/or MDR-TB notified</t>
  </si>
  <si>
    <t>TCP-8: Percentage of new and relapse TB patients tested using WHO recommended rapid tests at the time of diagnosis</t>
  </si>
  <si>
    <t>MDR-TB-3(M)</t>
  </si>
  <si>
    <t>MDR TB-2(M)</t>
  </si>
  <si>
    <t>TCP-8</t>
  </si>
  <si>
    <t>Natalia Adamashvili, Maka Danelia, Nino Vakhania</t>
  </si>
  <si>
    <t xml:space="preserve">MDR Patients that began second line treatment include:
1. Bacteriologically confirmed RR-TB and/or MDR-TB cases
2. Clinically diagnosed MDR TB Cases
The decrease number of cases is associated with COVID-19 pandemic due to which movement was restricted and patients without severe symptoms opt not to visit medical facilities.
</t>
  </si>
  <si>
    <t xml:space="preserve">COVID-19 </t>
  </si>
  <si>
    <t xml:space="preserve">The decrease number of cases is associated with COVID-19 pandemic due to which movement was restricted and patients without severe symptoms opt not to visit medical facilities.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</si>
</sst>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15">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5"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5" fontId="1" fillId="47" borderId="12" xfId="117" applyNumberFormat="1" applyFont="1" applyFill="1" applyBorder="1" applyAlignment="1" applyProtection="1">
      <alignment horizontal="center"/>
      <protection locked="0"/>
    </xf>
    <xf numFmtId="3" fontId="28" fillId="48" borderId="12" xfId="0" applyNumberFormat="1" applyFont="1" applyFill="1" applyBorder="1" applyAlignment="1" applyProtection="1">
      <alignment vertical="center" wrapText="1"/>
    </xf>
    <xf numFmtId="43" fontId="0" fillId="0" borderId="0" xfId="51" applyFont="1" applyFill="1" applyBorder="1" applyProtection="1">
      <protection locked="0"/>
    </xf>
    <xf numFmtId="167" fontId="0" fillId="0" borderId="0" xfId="51" applyNumberFormat="1" applyFont="1" applyProtection="1"/>
    <xf numFmtId="167" fontId="6" fillId="0" borderId="0" xfId="51" applyNumberFormat="1" applyFont="1" applyFill="1" applyBorder="1" applyAlignment="1" applyProtection="1">
      <alignment horizontal="centerContinuous"/>
    </xf>
    <xf numFmtId="167" fontId="161" fillId="0" borderId="0" xfId="0" applyNumberFormat="1" applyFont="1" applyFill="1" applyBorder="1" applyAlignment="1" applyProtection="1"/>
    <xf numFmtId="3" fontId="21" fillId="34" borderId="89" xfId="51" applyNumberFormat="1" applyFont="1" applyFill="1" applyBorder="1" applyProtection="1">
      <protection locked="0"/>
    </xf>
    <xf numFmtId="0" fontId="155" fillId="9" borderId="7" xfId="148" applyBorder="1" applyProtection="1"/>
    <xf numFmtId="0" fontId="2" fillId="0" borderId="70" xfId="0" applyFont="1" applyFill="1" applyBorder="1" applyProtection="1"/>
    <xf numFmtId="0" fontId="2" fillId="0" borderId="31" xfId="0" applyFont="1" applyFill="1" applyBorder="1" applyProtection="1"/>
    <xf numFmtId="0" fontId="2" fillId="37" borderId="12" xfId="0" applyFont="1" applyFill="1" applyBorder="1" applyProtection="1"/>
    <xf numFmtId="0" fontId="2" fillId="0" borderId="32" xfId="0" applyFont="1" applyFill="1" applyBorder="1" applyProtection="1"/>
    <xf numFmtId="1" fontId="2" fillId="31" borderId="12" xfId="112" applyNumberFormat="1" applyFont="1" applyFill="1" applyBorder="1" applyAlignment="1" applyProtection="1">
      <alignment vertical="center"/>
      <protection locked="0"/>
    </xf>
    <xf numFmtId="3" fontId="1" fillId="34" borderId="84" xfId="60" applyNumberFormat="1" applyFont="1" applyFill="1" applyBorder="1" applyProtection="1">
      <protection locked="0"/>
    </xf>
    <xf numFmtId="3" fontId="1" fillId="34" borderId="89" xfId="60" applyNumberFormat="1" applyFont="1" applyFill="1" applyBorder="1" applyProtection="1">
      <protection locked="0"/>
    </xf>
    <xf numFmtId="49" fontId="26" fillId="0" borderId="241" xfId="0" applyNumberFormat="1" applyFont="1" applyFill="1" applyBorder="1" applyAlignment="1" applyProtection="1">
      <alignment wrapText="1"/>
      <protection locked="0"/>
    </xf>
    <xf numFmtId="3" fontId="1" fillId="34" borderId="242" xfId="51" applyNumberFormat="1" applyFont="1" applyFill="1" applyBorder="1" applyProtection="1">
      <protection locked="0"/>
    </xf>
    <xf numFmtId="1" fontId="0" fillId="0" borderId="12" xfId="0" applyNumberFormat="1" applyFill="1" applyBorder="1" applyProtection="1"/>
    <xf numFmtId="1" fontId="0" fillId="0" borderId="71" xfId="0" applyNumberFormat="1" applyFill="1" applyBorder="1" applyProtection="1"/>
    <xf numFmtId="3" fontId="0" fillId="0" borderId="0" xfId="0" applyNumberFormat="1"/>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49" fontId="0" fillId="47" borderId="31" xfId="0" applyNumberFormat="1" applyFill="1" applyBorder="1" applyAlignment="1" applyProtection="1">
      <alignment horizontal="center"/>
      <protection locked="0"/>
    </xf>
    <xf numFmtId="49" fontId="0" fillId="47" borderId="49" xfId="0" applyNumberFormat="1" applyFill="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7"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3" borderId="149" xfId="0" applyFill="1" applyBorder="1" applyAlignment="1" applyProtection="1">
      <alignment horizontal="center"/>
    </xf>
    <xf numFmtId="0" fontId="0" fillId="43" borderId="150" xfId="0" applyFill="1" applyBorder="1" applyAlignment="1" applyProtection="1">
      <alignment horizontal="center"/>
    </xf>
    <xf numFmtId="0" fontId="0" fillId="43"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6"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6" borderId="12" xfId="0" applyNumberFormat="1"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3" borderId="31" xfId="112" applyFont="1" applyFill="1" applyBorder="1" applyAlignment="1" applyProtection="1">
      <alignment horizontal="center" vertical="center" wrapText="1"/>
    </xf>
    <xf numFmtId="9" fontId="37" fillId="43" borderId="49" xfId="112" applyFont="1" applyFill="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773362.47781003895</c:v>
                </c:pt>
                <c:pt idx="1">
                  <c:v>1317301.5117192203</c:v>
                </c:pt>
                <c:pt idx="2">
                  <c:v>1654138.7248154795</c:v>
                </c:pt>
                <c:pt idx="3">
                  <c:v>2282429.6777899568</c:v>
                </c:pt>
                <c:pt idx="4">
                  <c:v>3071737.5374908419</c:v>
                </c:pt>
                <c:pt idx="5">
                  <c:v>3807066.805935937</c:v>
                </c:pt>
                <c:pt idx="6">
                  <c:v>4072935.258308447</c:v>
                </c:pt>
                <c:pt idx="7">
                  <c:v>4465256.1088533886</c:v>
                </c:pt>
                <c:pt idx="8">
                  <c:v>5188598.9172798116</c:v>
                </c:pt>
                <c:pt idx="9">
                  <c:v>5754316.6971090436</c:v>
                </c:pt>
                <c:pt idx="10">
                  <c:v>5968097.3770041214</c:v>
                </c:pt>
                <c:pt idx="11">
                  <c:v>6239618.7956365002</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882951</c:v>
                </c:pt>
                <c:pt idx="1">
                  <c:v>1466097.17</c:v>
                </c:pt>
                <c:pt idx="2">
                  <c:v>1764937.93</c:v>
                </c:pt>
                <c:pt idx="3">
                  <c:v>2419773.9299999997</c:v>
                </c:pt>
                <c:pt idx="4">
                  <c:v>3100991.38</c:v>
                </c:pt>
                <c:pt idx="5">
                  <c:v>3100991.38</c:v>
                </c:pt>
                <c:pt idx="6">
                  <c:v>3100991.38</c:v>
                </c:pt>
                <c:pt idx="7">
                  <c:v>3100991.38</c:v>
                </c:pt>
                <c:pt idx="8">
                  <c:v>3100991.38</c:v>
                </c:pt>
                <c:pt idx="9">
                  <c:v>3100991.38</c:v>
                </c:pt>
                <c:pt idx="10">
                  <c:v>3100991.38</c:v>
                </c:pt>
                <c:pt idx="11">
                  <c:v>3100991.38</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997446976"/>
        <c:axId val="1997448064"/>
      </c:barChart>
      <c:catAx>
        <c:axId val="199744697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997448064"/>
        <c:crosses val="autoZero"/>
        <c:auto val="1"/>
        <c:lblAlgn val="ctr"/>
        <c:lblOffset val="100"/>
        <c:tickLblSkip val="1"/>
        <c:tickMarkSkip val="1"/>
        <c:noMultiLvlLbl val="0"/>
      </c:catAx>
      <c:valAx>
        <c:axId val="19974480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99744697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Entry'!$G$119</c:f>
              <c:strCache>
                <c:ptCount val="1"/>
                <c:pt idx="0">
                  <c:v>Target</c:v>
                </c:pt>
              </c:strCache>
            </c:strRef>
          </c:tx>
          <c:spPr>
            <a:solidFill>
              <a:srgbClr val="0066CC"/>
            </a:solidFill>
            <a:ln w="25400">
              <a:noFill/>
            </a:ln>
          </c:spPr>
          <c:invertIfNegative val="0"/>
          <c:val>
            <c:numRef>
              <c:f>'Data Entry'!$H$119:$S$119</c:f>
              <c:numCache>
                <c:formatCode>#,##0</c:formatCode>
                <c:ptCount val="12"/>
                <c:pt idx="0">
                  <c:v>84</c:v>
                </c:pt>
                <c:pt idx="1">
                  <c:v>84</c:v>
                </c:pt>
                <c:pt idx="2">
                  <c:v>84</c:v>
                </c:pt>
                <c:pt idx="3">
                  <c:v>84</c:v>
                </c:pt>
                <c:pt idx="4">
                  <c:v>85</c:v>
                </c:pt>
                <c:pt idx="5">
                  <c:v>85</c:v>
                </c:pt>
                <c:pt idx="6">
                  <c:v>85</c:v>
                </c:pt>
                <c:pt idx="7">
                  <c:v>85</c:v>
                </c:pt>
                <c:pt idx="8">
                  <c:v>87</c:v>
                </c:pt>
                <c:pt idx="9">
                  <c:v>87</c:v>
                </c:pt>
                <c:pt idx="10">
                  <c:v>87</c:v>
                </c:pt>
                <c:pt idx="11">
                  <c:v>87</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Entry'!$G$120</c:f>
              <c:strCache>
                <c:ptCount val="1"/>
                <c:pt idx="0">
                  <c:v>Achieved </c:v>
                </c:pt>
              </c:strCache>
            </c:strRef>
          </c:tx>
          <c:spPr>
            <a:solidFill>
              <a:srgbClr val="00CCFF"/>
            </a:solidFill>
            <a:ln w="12700">
              <a:solidFill>
                <a:srgbClr val="000000"/>
              </a:solidFill>
              <a:prstDash val="solid"/>
            </a:ln>
          </c:spPr>
          <c:invertIfNegative val="0"/>
          <c:val>
            <c:numRef>
              <c:f>'Data Entry'!$H$120:$S$120</c:f>
              <c:numCache>
                <c:formatCode>#,##0</c:formatCode>
                <c:ptCount val="12"/>
                <c:pt idx="0">
                  <c:v>80</c:v>
                </c:pt>
                <c:pt idx="1">
                  <c:v>89.5</c:v>
                </c:pt>
                <c:pt idx="2">
                  <c:v>81</c:v>
                </c:pt>
                <c:pt idx="3">
                  <c:v>92</c:v>
                </c:pt>
                <c:pt idx="4">
                  <c:v>95</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887405072"/>
        <c:axId val="1887400720"/>
      </c:barChart>
      <c:catAx>
        <c:axId val="1887405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87400720"/>
        <c:crosses val="autoZero"/>
        <c:auto val="1"/>
        <c:lblAlgn val="ctr"/>
        <c:lblOffset val="100"/>
        <c:tickLblSkip val="1"/>
        <c:tickMarkSkip val="1"/>
        <c:noMultiLvlLbl val="0"/>
      </c:catAx>
      <c:valAx>
        <c:axId val="18874007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87405072"/>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Entry'!$G$115</c:f>
              <c:strCache>
                <c:ptCount val="1"/>
                <c:pt idx="0">
                  <c:v>Target</c:v>
                </c:pt>
              </c:strCache>
            </c:strRef>
          </c:tx>
          <c:spPr>
            <a:solidFill>
              <a:srgbClr val="0066CC"/>
            </a:solidFill>
            <a:ln w="25400">
              <a:noFill/>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Entry'!$H$115:$S$115</c:f>
              <c:numCache>
                <c:formatCode>0</c:formatCode>
                <c:ptCount val="12"/>
                <c:pt idx="0">
                  <c:v>80</c:v>
                </c:pt>
                <c:pt idx="1">
                  <c:v>80</c:v>
                </c:pt>
                <c:pt idx="2">
                  <c:v>80</c:v>
                </c:pt>
                <c:pt idx="3">
                  <c:v>80</c:v>
                </c:pt>
                <c:pt idx="4" formatCode="#,##0">
                  <c:v>78</c:v>
                </c:pt>
                <c:pt idx="5" formatCode="#,##0">
                  <c:v>78</c:v>
                </c:pt>
                <c:pt idx="6" formatCode="#,##0">
                  <c:v>78</c:v>
                </c:pt>
                <c:pt idx="7" formatCode="#,##0">
                  <c:v>79</c:v>
                </c:pt>
                <c:pt idx="8" formatCode="#,##0">
                  <c:v>77</c:v>
                </c:pt>
                <c:pt idx="9" formatCode="#,##0">
                  <c:v>77</c:v>
                </c:pt>
                <c:pt idx="10" formatCode="#,##0">
                  <c:v>77</c:v>
                </c:pt>
                <c:pt idx="11" formatCode="#,##0">
                  <c:v>76</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Entry'!$G$116</c:f>
              <c:strCache>
                <c:ptCount val="1"/>
                <c:pt idx="0">
                  <c:v>Achieved </c:v>
                </c:pt>
              </c:strCache>
            </c:strRef>
          </c:tx>
          <c:spPr>
            <a:solidFill>
              <a:srgbClr val="00CCFF"/>
            </a:solidFill>
            <a:ln w="12700">
              <a:solidFill>
                <a:srgbClr val="000000"/>
              </a:solidFill>
              <a:prstDash val="solid"/>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Entry'!$H$116:$S$116</c:f>
              <c:numCache>
                <c:formatCode>#,##0</c:formatCode>
                <c:ptCount val="12"/>
                <c:pt idx="0">
                  <c:v>80</c:v>
                </c:pt>
                <c:pt idx="1">
                  <c:v>54</c:v>
                </c:pt>
                <c:pt idx="2">
                  <c:v>42</c:v>
                </c:pt>
                <c:pt idx="3">
                  <c:v>40</c:v>
                </c:pt>
                <c:pt idx="4">
                  <c:v>52</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887406704"/>
        <c:axId val="1887392016"/>
      </c:barChart>
      <c:catAx>
        <c:axId val="1887406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87392016"/>
        <c:crosses val="autoZero"/>
        <c:auto val="1"/>
        <c:lblAlgn val="ctr"/>
        <c:lblOffset val="100"/>
        <c:tickLblSkip val="1"/>
        <c:tickMarkSkip val="1"/>
        <c:noMultiLvlLbl val="0"/>
      </c:catAx>
      <c:valAx>
        <c:axId val="18873920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8740670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773362.47781003895</c:v>
                </c:pt>
                <c:pt idx="1">
                  <c:v>1317301.5117192203</c:v>
                </c:pt>
                <c:pt idx="2">
                  <c:v>1654138.7248154795</c:v>
                </c:pt>
                <c:pt idx="3">
                  <c:v>2282429.6777899568</c:v>
                </c:pt>
                <c:pt idx="4">
                  <c:v>3071737.5374908419</c:v>
                </c:pt>
                <c:pt idx="5">
                  <c:v>3807066.805935937</c:v>
                </c:pt>
                <c:pt idx="6">
                  <c:v>4072935.258308447</c:v>
                </c:pt>
                <c:pt idx="7">
                  <c:v>4465256.1088533886</c:v>
                </c:pt>
                <c:pt idx="8">
                  <c:v>5188598.9172798116</c:v>
                </c:pt>
                <c:pt idx="9">
                  <c:v>5754316.6971090436</c:v>
                </c:pt>
                <c:pt idx="10">
                  <c:v>5968097.3770041214</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882951</c:v>
                </c:pt>
                <c:pt idx="1">
                  <c:v>1466097.17</c:v>
                </c:pt>
                <c:pt idx="2">
                  <c:v>1764937.93</c:v>
                </c:pt>
                <c:pt idx="3">
                  <c:v>2419773.9299999997</c:v>
                </c:pt>
                <c:pt idx="4">
                  <c:v>3100991.38</c:v>
                </c:pt>
                <c:pt idx="5">
                  <c:v>3100991.38</c:v>
                </c:pt>
                <c:pt idx="6">
                  <c:v>3100991.38</c:v>
                </c:pt>
                <c:pt idx="7">
                  <c:v>3100991.38</c:v>
                </c:pt>
                <c:pt idx="8">
                  <c:v>3100991.38</c:v>
                </c:pt>
                <c:pt idx="9">
                  <c:v>3100991.38</c:v>
                </c:pt>
                <c:pt idx="10">
                  <c:v>3100991.38</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2002025152"/>
        <c:axId val="2002021344"/>
      </c:areaChart>
      <c:catAx>
        <c:axId val="2002025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002021344"/>
        <c:crosses val="autoZero"/>
        <c:auto val="1"/>
        <c:lblAlgn val="ctr"/>
        <c:lblOffset val="100"/>
        <c:tickLblSkip val="8"/>
        <c:tickMarkSkip val="1"/>
        <c:noMultiLvlLbl val="0"/>
      </c:catAx>
      <c:valAx>
        <c:axId val="200202134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0202515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Entry'!$B$49:$B$52</c:f>
              <c:strCache>
                <c:ptCount val="4"/>
                <c:pt idx="0">
                  <c:v>Disbursed by Global Fund</c:v>
                </c:pt>
                <c:pt idx="1">
                  <c:v>PR expenditure and disbursement</c:v>
                </c:pt>
                <c:pt idx="2">
                  <c:v>Disbursed to SRs</c:v>
                </c:pt>
                <c:pt idx="3">
                  <c:v>SR expenditures</c:v>
                </c:pt>
              </c:strCache>
            </c:strRef>
          </c:cat>
          <c:val>
            <c:numRef>
              <c:f>'Data Entry'!$C$49:$C$52</c:f>
              <c:numCache>
                <c:formatCode>#,##0</c:formatCode>
                <c:ptCount val="4"/>
                <c:pt idx="0">
                  <c:v>2419773.9299999997</c:v>
                </c:pt>
                <c:pt idx="1">
                  <c:v>1544591.5472133099</c:v>
                </c:pt>
                <c:pt idx="2">
                  <c:v>0</c:v>
                </c:pt>
                <c:pt idx="3">
                  <c:v>0</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Entry'!$B$49:$B$52</c:f>
              <c:strCache>
                <c:ptCount val="4"/>
                <c:pt idx="0">
                  <c:v>Disbursed by Global Fund</c:v>
                </c:pt>
                <c:pt idx="1">
                  <c:v>PR expenditure and disbursement</c:v>
                </c:pt>
                <c:pt idx="2">
                  <c:v>Disbursed to SRs</c:v>
                </c:pt>
                <c:pt idx="3">
                  <c:v>SR expenditures</c:v>
                </c:pt>
              </c:strCache>
            </c:strRef>
          </c:cat>
          <c:val>
            <c:numRef>
              <c:f>'Data Entry'!$D$49:$D$52</c:f>
              <c:numCache>
                <c:formatCode>#,##0</c:formatCode>
                <c:ptCount val="4"/>
                <c:pt idx="0">
                  <c:v>681217.45</c:v>
                </c:pt>
                <c:pt idx="1">
                  <c:v>166916.82999999999</c:v>
                </c:pt>
                <c:pt idx="2">
                  <c:v>0</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997457312"/>
        <c:axId val="1997457856"/>
      </c:barChart>
      <c:catAx>
        <c:axId val="199745731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97457856"/>
        <c:crossesAt val="0"/>
        <c:auto val="1"/>
        <c:lblAlgn val="ctr"/>
        <c:lblOffset val="100"/>
        <c:noMultiLvlLbl val="0"/>
      </c:catAx>
      <c:valAx>
        <c:axId val="199745785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745731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Entry'!$C$39:$C$42</c:f>
              <c:numCache>
                <c:formatCode>#,##0</c:formatCode>
                <c:ptCount val="4"/>
                <c:pt idx="0">
                  <c:v>2229563.2057726537</c:v>
                </c:pt>
                <c:pt idx="1">
                  <c:v>248737.80190061222</c:v>
                </c:pt>
                <c:pt idx="2">
                  <c:v>190832.64094955486</c:v>
                </c:pt>
                <c:pt idx="3">
                  <c:v>136103.88886802137</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Entry'!$D$39:$D$42</c:f>
              <c:numCache>
                <c:formatCode>#,##0</c:formatCode>
                <c:ptCount val="4"/>
                <c:pt idx="0">
                  <c:v>1453040.0890808473</c:v>
                </c:pt>
                <c:pt idx="1">
                  <c:v>166836.29786183051</c:v>
                </c:pt>
                <c:pt idx="2">
                  <c:v>10383.251881558053</c:v>
                </c:pt>
                <c:pt idx="3">
                  <c:v>533.16</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997443712"/>
        <c:axId val="1997444256"/>
      </c:barChart>
      <c:catAx>
        <c:axId val="1997443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997444256"/>
        <c:crosses val="autoZero"/>
        <c:auto val="1"/>
        <c:lblAlgn val="ctr"/>
        <c:lblOffset val="100"/>
        <c:tickMarkSkip val="1"/>
        <c:noMultiLvlLbl val="0"/>
      </c:catAx>
      <c:valAx>
        <c:axId val="1997444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99744371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Entry'!$C$76</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997448608"/>
        <c:axId val="1887394192"/>
      </c:barChart>
      <c:catAx>
        <c:axId val="1997448608"/>
        <c:scaling>
          <c:orientation val="minMax"/>
        </c:scaling>
        <c:delete val="1"/>
        <c:axPos val="l"/>
        <c:majorTickMark val="out"/>
        <c:minorTickMark val="none"/>
        <c:tickLblPos val="none"/>
        <c:crossAx val="1887394192"/>
        <c:crosses val="autoZero"/>
        <c:auto val="1"/>
        <c:lblAlgn val="ctr"/>
        <c:lblOffset val="100"/>
        <c:noMultiLvlLbl val="0"/>
      </c:catAx>
      <c:valAx>
        <c:axId val="18873941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97448608"/>
        <c:crosses val="max"/>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dLbls>
          <c:showLegendKey val="0"/>
          <c:showVal val="0"/>
          <c:showCatName val="0"/>
          <c:showSerName val="0"/>
          <c:showPercent val="0"/>
          <c:showBubbleSize val="0"/>
        </c:dLbls>
        <c:gapWidth val="150"/>
        <c:overlap val="-20"/>
        <c:axId val="1887394736"/>
        <c:axId val="1887396368"/>
      </c:barChart>
      <c:catAx>
        <c:axId val="1887394736"/>
        <c:scaling>
          <c:orientation val="minMax"/>
        </c:scaling>
        <c:delete val="0"/>
        <c:axPos val="b"/>
        <c:majorTickMark val="none"/>
        <c:minorTickMark val="none"/>
        <c:tickLblPos val="none"/>
        <c:spPr>
          <a:ln w="3175">
            <a:solidFill>
              <a:srgbClr val="000000"/>
            </a:solidFill>
            <a:prstDash val="solid"/>
          </a:ln>
        </c:spPr>
        <c:crossAx val="1887396368"/>
        <c:crosses val="autoZero"/>
        <c:auto val="0"/>
        <c:lblAlgn val="ctr"/>
        <c:lblOffset val="100"/>
        <c:tickMarkSkip val="1"/>
        <c:noMultiLvlLbl val="0"/>
      </c:catAx>
      <c:valAx>
        <c:axId val="1887396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7394736"/>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Entry'!$D$68</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Entry'!$B$69:$B$70</c:f>
              <c:strCache>
                <c:ptCount val="2"/>
                <c:pt idx="0">
                  <c:v>Conditions precedent (CPs)</c:v>
                </c:pt>
                <c:pt idx="1">
                  <c:v>Time Bound Actions (TBAs)</c:v>
                </c:pt>
              </c:strCache>
            </c:strRef>
          </c:cat>
          <c:val>
            <c:numRef>
              <c:f>'Data Entry'!$D$69:$D$70</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Entry'!$E$68</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Entry'!$B$69:$B$70</c:f>
              <c:strCache>
                <c:ptCount val="2"/>
                <c:pt idx="0">
                  <c:v>Conditions precedent (CPs)</c:v>
                </c:pt>
                <c:pt idx="1">
                  <c:v>Time Bound Actions (TBAs)</c:v>
                </c:pt>
              </c:strCache>
            </c:strRef>
          </c:cat>
          <c:val>
            <c:numRef>
              <c:f>'Data Entry'!$E$69:$E$70</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Entry'!$F$68</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Entry'!$B$69:$B$70</c:f>
              <c:strCache>
                <c:ptCount val="2"/>
                <c:pt idx="0">
                  <c:v>Conditions precedent (CPs)</c:v>
                </c:pt>
                <c:pt idx="1">
                  <c:v>Time Bound Actions (TBAs)</c:v>
                </c:pt>
              </c:strCache>
            </c:strRef>
          </c:cat>
          <c:val>
            <c:numRef>
              <c:f>'Data Entry'!$F$69:$F$70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887402896"/>
        <c:axId val="1887403984"/>
      </c:barChart>
      <c:catAx>
        <c:axId val="18874028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7403984"/>
        <c:crosses val="autoZero"/>
        <c:auto val="1"/>
        <c:lblAlgn val="ctr"/>
        <c:lblOffset val="100"/>
        <c:tickLblSkip val="1"/>
        <c:tickMarkSkip val="1"/>
        <c:noMultiLvlLbl val="0"/>
      </c:catAx>
      <c:valAx>
        <c:axId val="18874039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7402896"/>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Entry'!$D$85</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Entry'!$B$86:$B$87</c:f>
              <c:strCache>
                <c:ptCount val="2"/>
                <c:pt idx="0">
                  <c:v>SSR to SR</c:v>
                </c:pt>
                <c:pt idx="1">
                  <c:v>SRs to PR</c:v>
                </c:pt>
              </c:strCache>
            </c:strRef>
          </c:cat>
          <c:val>
            <c:numRef>
              <c:f>'Data Entry'!$D$86:$D$87</c:f>
              <c:numCache>
                <c:formatCode>0</c:formatCode>
                <c:ptCount val="2"/>
                <c:pt idx="1">
                  <c:v>1</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Entry'!$E$85</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Entry'!$B$86:$B$87</c:f>
              <c:strCache>
                <c:ptCount val="2"/>
                <c:pt idx="0">
                  <c:v>SSR to SR</c:v>
                </c:pt>
                <c:pt idx="1">
                  <c:v>SRs to PR</c:v>
                </c:pt>
              </c:strCache>
            </c:strRef>
          </c:cat>
          <c:val>
            <c:numRef>
              <c:f>'Data Entry'!$E$86:$E$87</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887406160"/>
        <c:axId val="1887404528"/>
      </c:barChart>
      <c:catAx>
        <c:axId val="18874061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87404528"/>
        <c:crosses val="autoZero"/>
        <c:auto val="1"/>
        <c:lblAlgn val="ctr"/>
        <c:lblOffset val="100"/>
        <c:noMultiLvlLbl val="0"/>
      </c:catAx>
      <c:valAx>
        <c:axId val="18874045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87406160"/>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Entry'!$B$95</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Entry'!$C$95:$N$95</c:f>
              <c:numCache>
                <c:formatCode>#,##0</c:formatCode>
                <c:ptCount val="12"/>
                <c:pt idx="0">
                  <c:v>252046.43</c:v>
                </c:pt>
                <c:pt idx="1">
                  <c:v>530967.56000000006</c:v>
                </c:pt>
                <c:pt idx="2">
                  <c:v>604257.28880898899</c:v>
                </c:pt>
                <c:pt idx="3">
                  <c:v>912491.07048571645</c:v>
                </c:pt>
                <c:pt idx="4">
                  <c:v>1312866.4604857164</c:v>
                </c:pt>
                <c:pt idx="5">
                  <c:v>1706302.4800488923</c:v>
                </c:pt>
                <c:pt idx="6">
                  <c:v>1706302.4800488923</c:v>
                </c:pt>
                <c:pt idx="7">
                  <c:v>1790790.2187276536</c:v>
                </c:pt>
                <c:pt idx="8">
                  <c:v>2166490.6487276535</c:v>
                </c:pt>
                <c:pt idx="9">
                  <c:v>2417509.8816047516</c:v>
                </c:pt>
                <c:pt idx="10">
                  <c:v>2417509.8816047516</c:v>
                </c:pt>
                <c:pt idx="11">
                  <c:v>2433869.2826246647</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Entry'!$B$96</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Entry'!$C$96:$N$96</c:f>
              <c:numCache>
                <c:formatCode>#,##0</c:formatCode>
                <c:ptCount val="12"/>
                <c:pt idx="0">
                  <c:v>312616.89694017352</c:v>
                </c:pt>
                <c:pt idx="1">
                  <c:v>322576.96502082288</c:v>
                </c:pt>
                <c:pt idx="2">
                  <c:v>490307.94646738289</c:v>
                </c:pt>
                <c:pt idx="3">
                  <c:v>534017.24695264199</c:v>
                </c:pt>
                <c:pt idx="4">
                  <c:v>534017.24695264199</c:v>
                </c:pt>
                <c:pt idx="5">
                  <c:v>534017.24695264199</c:v>
                </c:pt>
                <c:pt idx="6">
                  <c:v>534017.24695264199</c:v>
                </c:pt>
                <c:pt idx="7">
                  <c:v>534017.24695264199</c:v>
                </c:pt>
                <c:pt idx="8">
                  <c:v>534017.24695264199</c:v>
                </c:pt>
                <c:pt idx="9">
                  <c:v>534017.24695264199</c:v>
                </c:pt>
                <c:pt idx="10">
                  <c:v>534017.24695264199</c:v>
                </c:pt>
                <c:pt idx="11">
                  <c:v>534017.24695264199</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Entry'!$B$97</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Entry'!$C$97:$N$97</c:f>
              <c:numCache>
                <c:formatCode>#,##0</c:formatCode>
                <c:ptCount val="12"/>
                <c:pt idx="0">
                  <c:v>0</c:v>
                </c:pt>
                <c:pt idx="1">
                  <c:v>545748.58753029502</c:v>
                </c:pt>
                <c:pt idx="2">
                  <c:v>611299.90960164415</c:v>
                </c:pt>
                <c:pt idx="3">
                  <c:v>918527.82252856775</c:v>
                </c:pt>
                <c:pt idx="4">
                  <c:v>963621.98252856778</c:v>
                </c:pt>
                <c:pt idx="5">
                  <c:v>963621.98252856778</c:v>
                </c:pt>
                <c:pt idx="6">
                  <c:v>963621.98252856778</c:v>
                </c:pt>
                <c:pt idx="7">
                  <c:v>963621.98252856778</c:v>
                </c:pt>
                <c:pt idx="8">
                  <c:v>963621.98252856778</c:v>
                </c:pt>
                <c:pt idx="9">
                  <c:v>963621.98252856778</c:v>
                </c:pt>
                <c:pt idx="10">
                  <c:v>963621.98252856778</c:v>
                </c:pt>
                <c:pt idx="11">
                  <c:v>963621.98252856778</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887397456"/>
        <c:axId val="1887398000"/>
      </c:lineChart>
      <c:catAx>
        <c:axId val="188739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887398000"/>
        <c:crosses val="autoZero"/>
        <c:auto val="1"/>
        <c:lblAlgn val="ctr"/>
        <c:lblOffset val="100"/>
        <c:tickLblSkip val="1"/>
        <c:tickMarkSkip val="1"/>
        <c:noMultiLvlLbl val="0"/>
      </c:catAx>
      <c:valAx>
        <c:axId val="18873980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887397456"/>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Entry'!$G$117</c:f>
              <c:strCache>
                <c:ptCount val="1"/>
                <c:pt idx="0">
                  <c:v>Target</c:v>
                </c:pt>
              </c:strCache>
            </c:strRef>
          </c:tx>
          <c:spPr>
            <a:solidFill>
              <a:srgbClr val="0066CC"/>
            </a:solidFill>
            <a:ln w="25400">
              <a:noFill/>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#,##0</c:formatCode>
                <c:ptCount val="12"/>
                <c:pt idx="0">
                  <c:v>77</c:v>
                </c:pt>
                <c:pt idx="1">
                  <c:v>77</c:v>
                </c:pt>
                <c:pt idx="2">
                  <c:v>76</c:v>
                </c:pt>
                <c:pt idx="3">
                  <c:v>76</c:v>
                </c:pt>
                <c:pt idx="4">
                  <c:v>75</c:v>
                </c:pt>
                <c:pt idx="5">
                  <c:v>75</c:v>
                </c:pt>
                <c:pt idx="6">
                  <c:v>75</c:v>
                </c:pt>
                <c:pt idx="7">
                  <c:v>75</c:v>
                </c:pt>
                <c:pt idx="8">
                  <c:v>71</c:v>
                </c:pt>
                <c:pt idx="9">
                  <c:v>71</c:v>
                </c:pt>
                <c:pt idx="10">
                  <c:v>71</c:v>
                </c:pt>
                <c:pt idx="11">
                  <c:v>71</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Entry'!$G$118</c:f>
              <c:strCache>
                <c:ptCount val="1"/>
                <c:pt idx="0">
                  <c:v>Achieved </c:v>
                </c:pt>
              </c:strCache>
            </c:strRef>
          </c:tx>
          <c:spPr>
            <a:solidFill>
              <a:srgbClr val="00CCFF"/>
            </a:solidFill>
            <a:ln w="12700">
              <a:solidFill>
                <a:srgbClr val="000000"/>
              </a:solidFill>
              <a:prstDash val="solid"/>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c:v>77</c:v>
                </c:pt>
                <c:pt idx="1">
                  <c:v>54</c:v>
                </c:pt>
                <c:pt idx="2">
                  <c:v>42</c:v>
                </c:pt>
                <c:pt idx="3">
                  <c:v>35</c:v>
                </c:pt>
                <c:pt idx="4">
                  <c:v>54</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887400176"/>
        <c:axId val="1887393104"/>
      </c:barChart>
      <c:catAx>
        <c:axId val="188740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87393104"/>
        <c:crosses val="autoZero"/>
        <c:auto val="1"/>
        <c:lblAlgn val="ctr"/>
        <c:lblOffset val="100"/>
        <c:tickLblSkip val="1"/>
        <c:tickMarkSkip val="1"/>
        <c:noMultiLvlLbl val="0"/>
      </c:catAx>
      <c:valAx>
        <c:axId val="18873931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8740017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42</xdr:row>
      <xdr:rowOff>0</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43</xdr:row>
      <xdr:rowOff>104775</xdr:rowOff>
    </xdr:from>
    <xdr:to>
      <xdr:col>4</xdr:col>
      <xdr:colOff>1066800</xdr:colOff>
      <xdr:row>43</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amashvili\Desktop\Dashboards\CCM%20Dashboard\2020\Quarter%201\Dashboard%20TB%20NFM%20P1_2020_m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sheetData sheetId="1"/>
      <sheetData sheetId="2">
        <row r="118">
          <cell r="B118" t="str">
            <v>MDR TB-3: Number of cases with drug resistant TB (RR-TB and/or MDR-TB) that began second-line treatment</v>
          </cell>
        </row>
        <row r="120">
          <cell r="B120" t="str">
            <v>MDR TB-2: Number of TB cases with RR-TB and/or MDR-TB notified</v>
          </cell>
        </row>
        <row r="122">
          <cell r="B122" t="str">
            <v>TCP-8: Percentage of new and relapse TB patients tested using WHO recommended rapid tests at the time of diagnosis</v>
          </cell>
        </row>
      </sheetData>
      <sheetData sheetId="3"/>
      <sheetData sheetId="4"/>
      <sheetData sheetId="5"/>
      <sheetData sheetId="6"/>
      <sheetData sheetId="7"/>
      <sheetData sheetId="8"/>
      <sheetData sheetId="9"/>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76" r="C49" connectionId="0">
    <xmlCellPr id="1" uniqueName="1">
      <xmlPr mapId="43" xpath="/ns1:Root/ns1:F3/ns1:Disbursed_by_Global_Fund_Prior_to_reporting_period__in___" xmlDataType="double"/>
    </xmlCellPr>
  </singleXmlCell>
  <singleXmlCell id="477" r="D49" connectionId="0">
    <xmlCellPr id="1" uniqueName="1">
      <xmlPr mapId="43" xpath="/ns1:Root/ns1:F3/ns1:Disbursed_by_Global_Fund_Reporting_period__in___" xmlDataType="double"/>
    </xmlCellPr>
  </singleXmlCell>
  <singleXmlCell id="478" r="C50" connectionId="0">
    <xmlCellPr id="1" uniqueName="1">
      <xmlPr mapId="43" xpath="/ns1:Root/ns1:F3/ns1:PR_expenditure_and_disbursement_Prior_to_reporting_period__in___" xmlDataType="double"/>
    </xmlCellPr>
  </singleXmlCell>
  <singleXmlCell id="479" r="D50" connectionId="0">
    <xmlCellPr id="1" uniqueName="1">
      <xmlPr mapId="43" xpath="/ns1:Root/ns1:F3/ns1:PR_expenditure_and_disbursement_Reporting_period__in___" xmlDataType="double"/>
    </xmlCellPr>
  </singleXmlCell>
  <singleXmlCell id="480" r="C51" connectionId="0">
    <xmlCellPr id="1" uniqueName="1">
      <xmlPr mapId="43" xpath="/ns1:Root/ns1:F3/ns1:Disbursed_to_SRs_Prior_to_reporting_period__in___" xmlDataType="double"/>
    </xmlCellPr>
  </singleXmlCell>
  <singleXmlCell id="481" r="D51" connectionId="0">
    <xmlCellPr id="1" uniqueName="1">
      <xmlPr mapId="43" xpath="/ns1:Root/ns1:F3/ns1:Disbursed_to_SRs_Reporting_period__in___" xmlDataType="double"/>
    </xmlCellPr>
  </singleXmlCell>
  <singleXmlCell id="482" r="C52" connectionId="0">
    <xmlCellPr id="1" uniqueName="1">
      <xmlPr mapId="43" xpath="/ns1:Root/ns1:F3/ns1:SR_expenditures_Prior_to_reporting_period__in___" xmlDataType="double"/>
    </xmlCellPr>
  </singleXmlCell>
  <singleXmlCell id="483" r="D52" connectionId="0">
    <xmlCellPr id="1" uniqueName="1">
      <xmlPr mapId="43" xpath="/ns1:Root/ns1:F3/ns1:SR_expenditures_Reporting_period__in___" xmlDataType="double"/>
    </xmlCellPr>
  </singleXmlCell>
  <singleXmlCell id="484" r="C59" connectionId="0">
    <xmlCellPr id="1" uniqueName="1">
      <xmlPr mapId="43" xpath="/ns1:Root/ns1:F4/ns1:Days_taken_to_submit_acceptable_PU_DR_to_LFA_Expected__days_" xmlDataType="double"/>
    </xmlCellPr>
  </singleXmlCell>
  <singleXmlCell id="485" r="D59" connectionId="0">
    <xmlCellPr id="1" uniqueName="1">
      <xmlPr mapId="43" xpath="/ns1:Root/ns1:F4/ns1:Days_taken_to_submit_acceptable_PU_DR_to_LFA_Actual__days_" xmlDataType="double"/>
    </xmlCellPr>
  </singleXmlCell>
  <singleXmlCell id="486" r="C60" connectionId="0">
    <xmlCellPr id="1" uniqueName="1">
      <xmlPr mapId="43" xpath="/ns1:Root/ns1:F4/ns1:Days_taken_for_disbursement_to_reach_PR_Expected__days_" xmlDataType="double"/>
    </xmlCellPr>
  </singleXmlCell>
  <singleXmlCell id="487" r="D60" connectionId="0">
    <xmlCellPr id="1" uniqueName="1">
      <xmlPr mapId="43" xpath="/ns1:Root/ns1:F4/ns1:Days_taken_for_disbursement_to_reach_PR_Actual__days_" xmlDataType="double"/>
    </xmlCellPr>
  </singleXmlCell>
  <singleXmlCell id="488" r="C61" connectionId="0">
    <xmlCellPr id="1" uniqueName="1">
      <xmlPr mapId="43" xpath="/ns1:Root/ns1:F4/ns1:Days_taken_for_disbursement_to_reach_SRs__Expected__days_" xmlDataType="double"/>
    </xmlCellPr>
  </singleXmlCell>
  <singleXmlCell id="489" r="D61" connectionId="0">
    <xmlCellPr id="1" uniqueName="1">
      <xmlPr mapId="43" xpath="/ns1:Root/ns1:F4/ns1:Days_taken_for_disbursement_to_reach_SRs__Actual__days_" xmlDataType="double"/>
    </xmlCellPr>
  </singleXmlCell>
  <singleXmlCell id="490" r="B69" connectionId="0">
    <xmlCellPr id="1" uniqueName="1">
      <xmlPr mapId="43" xpath="/ns1:Root/ns1:M1/ns1:Conditions_precedents__CPs__" xmlDataType="string"/>
    </xmlCellPr>
  </singleXmlCell>
  <singleXmlCell id="491" r="D69" connectionId="0">
    <xmlCellPr id="1" uniqueName="1">
      <xmlPr mapId="43" xpath="/ns1:Root/ns1:M1/ns1:Conditions_precedents__CPs__Fulfilled" xmlDataType="double"/>
    </xmlCellPr>
  </singleXmlCell>
  <singleXmlCell id="492" r="E69" connectionId="0">
    <xmlCellPr id="1" uniqueName="1">
      <xmlPr mapId="43" xpath="/ns1:Root/ns1:M1/ns1:Conditions_precedents__CPs__Not_fulfilled__but_within_deadline" xmlDataType="double"/>
    </xmlCellPr>
  </singleXmlCell>
  <singleXmlCell id="493" r="F69" connectionId="0">
    <xmlCellPr id="1" uniqueName="1">
      <xmlPr mapId="43" xpath="/ns1:Root/ns1:M1/ns1:Conditions_precedents__CPs__Not_fulfilled__and_past_the_deadline" xmlDataType="double"/>
    </xmlCellPr>
  </singleXmlCell>
  <singleXmlCell id="494" r="B70" connectionId="0">
    <xmlCellPr id="1" uniqueName="1">
      <xmlPr mapId="43" xpath="/ns1:Root/ns1:M1/ns1:Time_Bound_Actions__TBAs__" xmlDataType="string"/>
    </xmlCellPr>
  </singleXmlCell>
  <singleXmlCell id="495" r="D70" connectionId="0">
    <xmlCellPr id="1" uniqueName="1">
      <xmlPr mapId="43" xpath="/ns1:Root/ns1:M1/ns1:Time_Bound_Actions__TBAs__Fulfilled" xmlDataType="double"/>
    </xmlCellPr>
  </singleXmlCell>
  <singleXmlCell id="496" r="E70" connectionId="0">
    <xmlCellPr id="1" uniqueName="1">
      <xmlPr mapId="43" xpath="/ns1:Root/ns1:M1/ns1:Time_Bound_Actions__TBAs__Not_fulfilled__but_within_deadline" xmlDataType="string"/>
    </xmlCellPr>
  </singleXmlCell>
  <singleXmlCell id="497" r="F70" connectionId="0">
    <xmlCellPr id="1" uniqueName="1">
      <xmlPr mapId="43" xpath="/ns1:Root/ns1:M1/ns1:Time_Bound_Actions__TBAs__Not_fulfilled__and_past_the_deadline" xmlDataType="double"/>
    </xmlCellPr>
  </singleXmlCell>
  <singleXmlCell id="498" r="C76" connectionId="0">
    <xmlCellPr id="1" uniqueName="1">
      <xmlPr mapId="43" xpath="/ns1:Root/ns1:M2/ns1:PMU_Planned" xmlDataType="double"/>
    </xmlCellPr>
  </singleXmlCell>
  <singleXmlCell id="499" r="D76" connectionId="0">
    <xmlCellPr id="1" uniqueName="1">
      <xmlPr mapId="43" xpath="/ns1:Root/ns1:M2/ns1:PMU_Filled" xmlDataType="double"/>
    </xmlCellPr>
  </singleXmlCell>
  <singleXmlCell id="500" r="C81" connectionId="0">
    <xmlCellPr id="1" uniqueName="1">
      <xmlPr mapId="43" xpath="/ns1:Root/ns1:M3/ns1:SRs_Identified" xmlDataType="double"/>
    </xmlCellPr>
  </singleXmlCell>
  <singleXmlCell id="501" r="D81" connectionId="0">
    <xmlCellPr id="1" uniqueName="1">
      <xmlPr mapId="43" xpath="/ns1:Root/ns1:M3/ns1:SRs_Assessed" xmlDataType="double"/>
    </xmlCellPr>
  </singleXmlCell>
  <singleXmlCell id="502" r="E81" connectionId="0">
    <xmlCellPr id="1" uniqueName="1">
      <xmlPr mapId="43" xpath="/ns1:Root/ns1:M3/ns1:SRs_Approved" xmlDataType="double"/>
    </xmlCellPr>
  </singleXmlCell>
  <singleXmlCell id="503" r="F81" connectionId="0">
    <xmlCellPr id="1" uniqueName="1">
      <xmlPr mapId="43" xpath="/ns1:Root/ns1:M3/ns1:SRs_Signed" xmlDataType="double"/>
    </xmlCellPr>
  </singleXmlCell>
  <singleXmlCell id="504" r="G81" connectionId="0">
    <xmlCellPr id="1" uniqueName="1">
      <xmlPr mapId="43" xpath="/ns1:Root/ns1:M3/ns1:SRs_Receiving_Funding" xmlDataType="double"/>
    </xmlCellPr>
  </singleXmlCell>
  <singleXmlCell id="506" r="C86" connectionId="0">
    <xmlCellPr id="1" uniqueName="1">
      <xmlPr mapId="43" xpath="/ns1:Root/ns1:M4/ns1:SSR_to_SR__IR_____Expected" xmlDataType="string"/>
    </xmlCellPr>
  </singleXmlCell>
  <singleXmlCell id="507" r="D86" connectionId="0">
    <xmlCellPr id="1" uniqueName="1">
      <xmlPr mapId="43" xpath="/ns1:Root/ns1:M4/ns1:SSR_to_SR__IR____Received" xmlDataType="string"/>
    </xmlCellPr>
  </singleXmlCell>
  <singleXmlCell id="509" r="C87" connectionId="0">
    <xmlCellPr id="1" uniqueName="1">
      <xmlPr mapId="43" xpath="/ns1:Root/ns1:M4/ns1:SRs__IRs__to_PR____Expected" xmlDataType="double"/>
    </xmlCellPr>
  </singleXmlCell>
  <singleXmlCell id="510" r="D87" connectionId="0">
    <xmlCellPr id="1" uniqueName="1">
      <xmlPr mapId="43" xpath="/ns1:Root/ns1:M4/ns1:SRs__IRs__to_PR___Received" xmlDataType="double"/>
    </xmlCellPr>
  </singleXmlCell>
  <singleXmlCell id="511" r="C92" connectionId="0">
    <xmlCellPr id="1" uniqueName="1">
      <xmlPr mapId="43" xpath="/ns1:Root/ns1:M5/ns1:Budget_Approved__P1" xmlDataType="double"/>
    </xmlCellPr>
  </singleXmlCell>
  <singleXmlCell id="512" r="D92" connectionId="0">
    <xmlCellPr id="1" uniqueName="1">
      <xmlPr mapId="43" xpath="/ns1:Root/ns1:M5/ns1:Budget_Approved__P2" xmlDataType="double"/>
    </xmlCellPr>
  </singleXmlCell>
  <singleXmlCell id="513" r="E92" connectionId="0">
    <xmlCellPr id="1" uniqueName="1">
      <xmlPr mapId="43" xpath="/ns1:Root/ns1:M5/ns1:Budget_Approved__P3" xmlDataType="double"/>
    </xmlCellPr>
  </singleXmlCell>
  <singleXmlCell id="514" r="F92" connectionId="0">
    <xmlCellPr id="1" uniqueName="1">
      <xmlPr mapId="43" xpath="/ns1:Root/ns1:M5/ns1:Budget_Approved__P4" xmlDataType="double"/>
    </xmlCellPr>
  </singleXmlCell>
  <singleXmlCell id="515" r="G92" connectionId="0">
    <xmlCellPr id="1" uniqueName="1">
      <xmlPr mapId="43" xpath="/ns1:Root/ns1:M5/ns1:Budget_Approved__P5" xmlDataType="double"/>
    </xmlCellPr>
  </singleXmlCell>
  <singleXmlCell id="516" r="H92" connectionId="0">
    <xmlCellPr id="1" uniqueName="1">
      <xmlPr mapId="43" xpath="/ns1:Root/ns1:M5/ns1:Budget_Approved__P6" xmlDataType="double"/>
    </xmlCellPr>
  </singleXmlCell>
  <singleXmlCell id="517" r="I92" connectionId="0">
    <xmlCellPr id="1" uniqueName="1">
      <xmlPr mapId="43" xpath="/ns1:Root/ns1:M5/ns1:Budget_Approved__P7" xmlDataType="double"/>
    </xmlCellPr>
  </singleXmlCell>
  <singleXmlCell id="518" r="J92" connectionId="0">
    <xmlCellPr id="1" uniqueName="1">
      <xmlPr mapId="43" xpath="/ns1:Root/ns1:M5/ns1:Budget_Approved__P8" xmlDataType="double"/>
    </xmlCellPr>
  </singleXmlCell>
  <singleXmlCell id="519" r="K92" connectionId="0">
    <xmlCellPr id="1" uniqueName="1">
      <xmlPr mapId="43" xpath="/ns1:Root/ns1:M5/ns1:Budget_Approved__P9" xmlDataType="double"/>
    </xmlCellPr>
  </singleXmlCell>
  <singleXmlCell id="520" r="L92" connectionId="0">
    <xmlCellPr id="1" uniqueName="1">
      <xmlPr mapId="43" xpath="/ns1:Root/ns1:M5/ns1:Budget_Approved__P10" xmlDataType="double"/>
    </xmlCellPr>
  </singleXmlCell>
  <singleXmlCell id="521" r="M92" connectionId="0">
    <xmlCellPr id="1" uniqueName="1">
      <xmlPr mapId="43" xpath="/ns1:Root/ns1:M5/ns1:Budget_Approved__P11" xmlDataType="double"/>
    </xmlCellPr>
  </singleXmlCell>
  <singleXmlCell id="522" r="N92" connectionId="0">
    <xmlCellPr id="1" uniqueName="1">
      <xmlPr mapId="43" xpath="/ns1:Root/ns1:M5/ns1:Budget_Approved__P12" xmlDataType="double"/>
    </xmlCellPr>
  </singleXmlCell>
  <singleXmlCell id="523" r="C93" connectionId="0">
    <xmlCellPr id="1" uniqueName="1">
      <xmlPr mapId="43" xpath="/ns1:Root/ns1:M5/ns1:Obligations_P1" xmlDataType="double"/>
    </xmlCellPr>
  </singleXmlCell>
  <singleXmlCell id="524" r="D93" connectionId="0">
    <xmlCellPr id="1" uniqueName="1">
      <xmlPr mapId="43" xpath="/ns1:Root/ns1:M5/ns1:Obligations_P2" xmlDataType="double"/>
    </xmlCellPr>
  </singleXmlCell>
  <singleXmlCell id="525" r="E93" connectionId="0">
    <xmlCellPr id="1" uniqueName="1">
      <xmlPr mapId="43" xpath="/ns1:Root/ns1:M5/ns1:Obligations_P3" xmlDataType="double"/>
    </xmlCellPr>
  </singleXmlCell>
  <singleXmlCell id="526" r="F93" connectionId="0">
    <xmlCellPr id="1" uniqueName="1">
      <xmlPr mapId="43" xpath="/ns1:Root/ns1:M5/ns1:Obligations_P4" xmlDataType="double"/>
    </xmlCellPr>
  </singleXmlCell>
  <singleXmlCell id="527" r="G93" connectionId="0">
    <xmlCellPr id="1" uniqueName="1">
      <xmlPr mapId="43" xpath="/ns1:Root/ns1:M5/ns1:Obligations_P5" xmlDataType="double"/>
    </xmlCellPr>
  </singleXmlCell>
  <singleXmlCell id="528" r="H93" connectionId="0">
    <xmlCellPr id="1" uniqueName="1">
      <xmlPr mapId="43" xpath="/ns1:Root/ns1:M5/ns1:Obligations_P6" xmlDataType="double"/>
    </xmlCellPr>
  </singleXmlCell>
  <singleXmlCell id="529" r="I93" connectionId="0">
    <xmlCellPr id="1" uniqueName="1">
      <xmlPr mapId="43" xpath="/ns1:Root/ns1:M5/ns1:Obligations_P7" xmlDataType="double"/>
    </xmlCellPr>
  </singleXmlCell>
  <singleXmlCell id="530" r="J93" connectionId="0">
    <xmlCellPr id="1" uniqueName="1">
      <xmlPr mapId="43" xpath="/ns1:Root/ns1:M5/ns1:Obligations_P8" xmlDataType="double"/>
    </xmlCellPr>
  </singleXmlCell>
  <singleXmlCell id="531" r="K93" connectionId="0">
    <xmlCellPr id="1" uniqueName="1">
      <xmlPr mapId="43" xpath="/ns1:Root/ns1:M5/ns1:Obligations_P9" xmlDataType="double"/>
    </xmlCellPr>
  </singleXmlCell>
  <singleXmlCell id="532" r="L93" connectionId="0">
    <xmlCellPr id="1" uniqueName="1">
      <xmlPr mapId="43" xpath="/ns1:Root/ns1:M5/ns1:Obligations_P10" xmlDataType="double"/>
    </xmlCellPr>
  </singleXmlCell>
  <singleXmlCell id="533" r="M93" connectionId="0">
    <xmlCellPr id="1" uniqueName="1">
      <xmlPr mapId="43" xpath="/ns1:Root/ns1:M5/ns1:Obligations_P11" xmlDataType="double"/>
    </xmlCellPr>
  </singleXmlCell>
  <singleXmlCell id="534" r="N93" connectionId="0">
    <xmlCellPr id="1" uniqueName="1">
      <xmlPr mapId="43" xpath="/ns1:Root/ns1:M5/ns1:Obligations_P12" xmlDataType="double"/>
    </xmlCellPr>
  </singleXmlCell>
  <singleXmlCell id="535" r="C94" connectionId="0">
    <xmlCellPr id="1" uniqueName="1">
      <xmlPr mapId="43" xpath="/ns1:Root/ns1:M5/ns1:Expenditures_P1" xmlDataType="double"/>
    </xmlCellPr>
  </singleXmlCell>
  <singleXmlCell id="536" r="D94" connectionId="0">
    <xmlCellPr id="1" uniqueName="1">
      <xmlPr mapId="43" xpath="/ns1:Root/ns1:M5/ns1:Expenditures_P2" xmlDataType="double"/>
    </xmlCellPr>
  </singleXmlCell>
  <singleXmlCell id="537" r="E94" connectionId="0">
    <xmlCellPr id="1" uniqueName="1">
      <xmlPr mapId="43" xpath="/ns1:Root/ns1:M5/ns1:Expenditures_P3" xmlDataType="double"/>
    </xmlCellPr>
  </singleXmlCell>
  <singleXmlCell id="538" r="F94" connectionId="0">
    <xmlCellPr id="1" uniqueName="1">
      <xmlPr mapId="43" xpath="/ns1:Root/ns1:M5/ns1:Expenditures_P4" xmlDataType="double"/>
    </xmlCellPr>
  </singleXmlCell>
  <singleXmlCell id="539" r="G94" connectionId="0">
    <xmlCellPr id="1" uniqueName="1">
      <xmlPr mapId="43" xpath="/ns1:Root/ns1:M5/ns1:Expenditures_P5" xmlDataType="double"/>
    </xmlCellPr>
  </singleXmlCell>
  <singleXmlCell id="540" r="H94" connectionId="0">
    <xmlCellPr id="1" uniqueName="1">
      <xmlPr mapId="43" xpath="/ns1:Root/ns1:M5/ns1:Expenditures_P6" xmlDataType="double"/>
    </xmlCellPr>
  </singleXmlCell>
  <singleXmlCell id="541" r="I94" connectionId="0">
    <xmlCellPr id="1" uniqueName="1">
      <xmlPr mapId="43" xpath="/ns1:Root/ns1:M5/ns1:Expenditures_P7" xmlDataType="double"/>
    </xmlCellPr>
  </singleXmlCell>
  <singleXmlCell id="542" r="J94" connectionId="0">
    <xmlCellPr id="1" uniqueName="1">
      <xmlPr mapId="43" xpath="/ns1:Root/ns1:M5/ns1:Expenditures_P8" xmlDataType="double"/>
    </xmlCellPr>
  </singleXmlCell>
  <singleXmlCell id="543" r="K94" connectionId="0">
    <xmlCellPr id="1" uniqueName="1">
      <xmlPr mapId="43" xpath="/ns1:Root/ns1:M5/ns1:Expenditures_P9" xmlDataType="double"/>
    </xmlCellPr>
  </singleXmlCell>
  <singleXmlCell id="544" r="L94" connectionId="0">
    <xmlCellPr id="1" uniqueName="1">
      <xmlPr mapId="43" xpath="/ns1:Root/ns1:M5/ns1:Expenditures_P10" xmlDataType="double"/>
    </xmlCellPr>
  </singleXmlCell>
  <singleXmlCell id="545" r="M94" connectionId="0">
    <xmlCellPr id="1" uniqueName="1">
      <xmlPr mapId="43" xpath="/ns1:Root/ns1:M5/ns1:Expenditures_P11" xmlDataType="double"/>
    </xmlCellPr>
  </singleXmlCell>
  <singleXmlCell id="546" r="N94" connectionId="0">
    <xmlCellPr id="1" uniqueName="1">
      <xmlPr mapId="43" xpath="/ns1:Root/ns1:M5/ns1:Expenditures_P12" xmlDataType="double"/>
    </xmlCellPr>
  </singleXmlCell>
  <singleXmlCell id="547" r="C105" connectionId="0">
    <xmlCellPr id="1" uniqueName="1">
      <xmlPr mapId="43" xpath="/ns1:Root/ns1:M6/ns1:HIV___AIDS_Products" xmlDataType="string"/>
    </xmlCellPr>
  </singleXmlCell>
  <singleXmlCell id="548" r="D105" connectionId="0">
    <xmlCellPr id="1" uniqueName="1">
      <xmlPr mapId="43" xpath="/ns1:Root/ns1:M6/ns1:HIV___AIDS__1__Number_of_tablets_per_patient_per_day__Review_country_treatment_guidelines_" xmlDataType="double"/>
    </xmlCellPr>
  </singleXmlCell>
  <singleXmlCell id="549" r="F105" connectionId="0">
    <xmlCellPr id="1" uniqueName="1">
      <xmlPr mapId="43" xpath="/ns1:Root/ns1:M6/ns1:HIV___AIDS__3__Total_patients_in_treatment" xmlDataType="double"/>
    </xmlCellPr>
  </singleXmlCell>
  <singleXmlCell id="550" r="H105" connectionId="0">
    <xmlCellPr id="1" uniqueName="1">
      <xmlPr mapId="43" xpath="/ns1:Root/ns1:M6/ns1:HIV___AIDS__5__Current_stock_in_central_warehouse__that_does_not_expire_within_the_next_3_months_" xmlDataType="double"/>
    </xmlCellPr>
  </singleXmlCell>
  <singleXmlCell id="551" r="J105" connectionId="0">
    <xmlCellPr id="1" uniqueName="1">
      <xmlPr mapId="43" xpath="/ns1:Root/ns1:M6/ns1:HIV___AIDS__7__Level_of_safety_stock__expressed_in_months_and_defined_by_country__" xmlDataType="double"/>
    </xmlCellPr>
  </singleXmlCell>
  <singleXmlCell id="552" r="C106" connectionId="0">
    <xmlCellPr id="1" uniqueName="1">
      <xmlPr mapId="43" xpath="/ns1:Root/ns1:M6/ns1:_Products_1" xmlDataType="string"/>
    </xmlCellPr>
  </singleXmlCell>
  <singleXmlCell id="553" r="D106" connectionId="0">
    <xmlCellPr id="1" uniqueName="1">
      <xmlPr mapId="43" xpath="/ns1:Root/ns1:M6/ns1:__1__Number_of_tablets_per_patient_per_day__Review_country_treatment_guidelines__1" xmlDataType="double"/>
    </xmlCellPr>
  </singleXmlCell>
  <singleXmlCell id="554" r="F106" connectionId="0">
    <xmlCellPr id="1" uniqueName="1">
      <xmlPr mapId="43" xpath="/ns1:Root/ns1:M6/ns1:__3__Total_patients_in_treatment_1" xmlDataType="double"/>
    </xmlCellPr>
  </singleXmlCell>
  <singleXmlCell id="555" r="H106" connectionId="0">
    <xmlCellPr id="1" uniqueName="1">
      <xmlPr mapId="43" xpath="/ns1:Root/ns1:M6/ns1:__5__Current_stock_in_central_warehouse__that_does_not_expire_within_the_next_3_months__1" xmlDataType="double"/>
    </xmlCellPr>
  </singleXmlCell>
  <singleXmlCell id="556" r="J106" connectionId="0">
    <xmlCellPr id="1" uniqueName="1">
      <xmlPr mapId="43" xpath="/ns1:Root/ns1:M6/ns1:__7__Level_of_safety_stock__expressed_in_months_and_defined_by_country___1" xmlDataType="double"/>
    </xmlCellPr>
  </singleXmlCell>
  <singleXmlCell id="557" r="C107" connectionId="0">
    <xmlCellPr id="1" uniqueName="1">
      <xmlPr mapId="43" xpath="/ns1:Root/ns1:M6/ns1:_Products_2" xmlDataType="string"/>
    </xmlCellPr>
  </singleXmlCell>
  <singleXmlCell id="558" r="D107" connectionId="0">
    <xmlCellPr id="1" uniqueName="1">
      <xmlPr mapId="43" xpath="/ns1:Root/ns1:M6/ns1:__1__Number_of_tablets_per_patient_per_day__Review_country_treatment_guidelines__2" xmlDataType="double"/>
    </xmlCellPr>
  </singleXmlCell>
  <singleXmlCell id="559" r="F107" connectionId="0">
    <xmlCellPr id="1" uniqueName="1">
      <xmlPr mapId="43" xpath="/ns1:Root/ns1:M6/ns1:__3__Total_patients_in_treatment_2" xmlDataType="double"/>
    </xmlCellPr>
  </singleXmlCell>
  <singleXmlCell id="560" r="H107" connectionId="0">
    <xmlCellPr id="1" uniqueName="1">
      <xmlPr mapId="43" xpath="/ns1:Root/ns1:M6/ns1:__5__Current_stock_in_central_warehouse__that_does_not_expire_within_the_next_3_months__2" xmlDataType="double"/>
    </xmlCellPr>
  </singleXmlCell>
  <singleXmlCell id="561" r="J107" connectionId="0">
    <xmlCellPr id="1" uniqueName="1">
      <xmlPr mapId="43" xpath="/ns1:Root/ns1:M6/ns1:__7__Level_of_safety_stock__expressed_in_months_and_defined_by_country___2" xmlDataType="double"/>
    </xmlCellPr>
  </singleXmlCell>
  <singleXmlCell id="562" r="C108" connectionId="0">
    <xmlCellPr id="1" uniqueName="1">
      <xmlPr mapId="43" xpath="/ns1:Root/ns1:M6/ns1:_Products" xmlDataType="string"/>
    </xmlCellPr>
  </singleXmlCell>
  <singleXmlCell id="563" r="D108" connectionId="0">
    <xmlCellPr id="1" uniqueName="1">
      <xmlPr mapId="43" xpath="/ns1:Root/ns1:M6/ns1:__1__Number_of_tablets_per_patient_per_day__Review_country_treatment_guidelines_" xmlDataType="double"/>
    </xmlCellPr>
  </singleXmlCell>
  <singleXmlCell id="564" r="F108" connectionId="0">
    <xmlCellPr id="1" uniqueName="1">
      <xmlPr mapId="43" xpath="/ns1:Root/ns1:M6/ns1:__3__Total_patients_in_treatment" xmlDataType="double"/>
    </xmlCellPr>
  </singleXmlCell>
  <singleXmlCell id="565" r="H108" connectionId="0">
    <xmlCellPr id="1" uniqueName="1">
      <xmlPr mapId="43" xpath="/ns1:Root/ns1:M6/ns1:__5__Current_stock_in_central_warehouse__that_does_not_expire_within_the_next_3_months_" xmlDataType="double"/>
    </xmlCellPr>
  </singleXmlCell>
  <singleXmlCell id="566" r="J108" connectionId="0">
    <xmlCellPr id="1" uniqueName="1">
      <xmlPr mapId="43" xpath="/ns1:Root/ns1:M6/ns1:__7__Level_of_safety_stock__expressed_in_months_and_defined_by_country__" xmlDataType="double"/>
    </xmlCellPr>
  </singleXmlCell>
  <singleXmlCell id="567" r="H115" connectionId="0">
    <xmlCellPr id="1" uniqueName="1">
      <xmlPr mapId="43" xpath="/ns1:Root/ns1:Prog/ns1:Target_P1_1" xmlDataType="double"/>
    </xmlCellPr>
  </singleXmlCell>
  <singleXmlCell id="571" r="L115" connectionId="0">
    <xmlCellPr id="1" uniqueName="1">
      <xmlPr mapId="43" xpath="/ns1:Root/ns1:Prog/ns1:Target_P5_1" xmlDataType="double"/>
    </xmlCellPr>
  </singleXmlCell>
  <singleXmlCell id="572" r="M115" connectionId="0">
    <xmlCellPr id="1" uniqueName="1">
      <xmlPr mapId="43" xpath="/ns1:Root/ns1:Prog/ns1:Target_P6_1" xmlDataType="double"/>
    </xmlCellPr>
  </singleXmlCell>
  <singleXmlCell id="573" r="N115" connectionId="0">
    <xmlCellPr id="1" uniqueName="1">
      <xmlPr mapId="43" xpath="/ns1:Root/ns1:Prog/ns1:Target_P7_1" xmlDataType="double"/>
    </xmlCellPr>
  </singleXmlCell>
  <singleXmlCell id="574" r="O115" connectionId="0">
    <xmlCellPr id="1" uniqueName="1">
      <xmlPr mapId="43" xpath="/ns1:Root/ns1:Prog/ns1:Target_P8_1" xmlDataType="double"/>
    </xmlCellPr>
  </singleXmlCell>
  <singleXmlCell id="575" r="P115" connectionId="0">
    <xmlCellPr id="1" uniqueName="1">
      <xmlPr mapId="43" xpath="/ns1:Root/ns1:Prog/ns1:Target_P9_1" xmlDataType="double"/>
    </xmlCellPr>
  </singleXmlCell>
  <singleXmlCell id="576" r="Q115" connectionId="0">
    <xmlCellPr id="1" uniqueName="1">
      <xmlPr mapId="43" xpath="/ns1:Root/ns1:Prog/ns1:Target_P10_1" xmlDataType="double"/>
    </xmlCellPr>
  </singleXmlCell>
  <singleXmlCell id="577" r="R115" connectionId="0">
    <xmlCellPr id="1" uniqueName="1">
      <xmlPr mapId="43" xpath="/ns1:Root/ns1:Prog/ns1:Target_P11_1" xmlDataType="double"/>
    </xmlCellPr>
  </singleXmlCell>
  <singleXmlCell id="578" r="S115" connectionId="0">
    <xmlCellPr id="1" uniqueName="1">
      <xmlPr mapId="43" xpath="/ns1:Root/ns1:Prog/ns1:Target_P12_1" xmlDataType="double"/>
    </xmlCellPr>
  </singleXmlCell>
  <singleXmlCell id="579" r="H116" connectionId="0">
    <xmlCellPr id="1" uniqueName="1">
      <xmlPr mapId="43" xpath="/ns1:Root/ns1:Prog/ns1:Achieved__P1_1" xmlDataType="double"/>
    </xmlCellPr>
  </singleXmlCell>
  <singleXmlCell id="580" r="I116" connectionId="0">
    <xmlCellPr id="1" uniqueName="1">
      <xmlPr mapId="43" xpath="/ns1:Root/ns1:Prog/ns1:Achieved__P2_1" xmlDataType="double"/>
    </xmlCellPr>
  </singleXmlCell>
  <singleXmlCell id="581" r="J116" connectionId="0">
    <xmlCellPr id="1" uniqueName="1">
      <xmlPr mapId="43" xpath="/ns1:Root/ns1:Prog/ns1:Achieved__P3_1" xmlDataType="double"/>
    </xmlCellPr>
  </singleXmlCell>
  <singleXmlCell id="582" r="K116" connectionId="0">
    <xmlCellPr id="1" uniqueName="1">
      <xmlPr mapId="43" xpath="/ns1:Root/ns1:Prog/ns1:Achieved__P4_1" xmlDataType="double"/>
    </xmlCellPr>
  </singleXmlCell>
  <singleXmlCell id="583" r="L116" connectionId="0">
    <xmlCellPr id="1" uniqueName="1">
      <xmlPr mapId="43" xpath="/ns1:Root/ns1:Prog/ns1:Achieved__P5_1" xmlDataType="string"/>
    </xmlCellPr>
  </singleXmlCell>
  <singleXmlCell id="584" r="M116" connectionId="0">
    <xmlCellPr id="1" uniqueName="1">
      <xmlPr mapId="43" xpath="/ns1:Root/ns1:Prog/ns1:Achieved__P6_1" xmlDataType="string"/>
    </xmlCellPr>
  </singleXmlCell>
  <singleXmlCell id="585" r="N116" connectionId="0">
    <xmlCellPr id="1" uniqueName="1">
      <xmlPr mapId="43" xpath="/ns1:Root/ns1:Prog/ns1:Achieved__P7_1" xmlDataType="string"/>
    </xmlCellPr>
  </singleXmlCell>
  <singleXmlCell id="586" r="O116" connectionId="0">
    <xmlCellPr id="1" uniqueName="1">
      <xmlPr mapId="43" xpath="/ns1:Root/ns1:Prog/ns1:Achieved__P8_1" xmlDataType="string"/>
    </xmlCellPr>
  </singleXmlCell>
  <singleXmlCell id="587" r="P116" connectionId="0">
    <xmlCellPr id="1" uniqueName="1">
      <xmlPr mapId="43" xpath="/ns1:Root/ns1:Prog/ns1:Achieved__P9_1" xmlDataType="string"/>
    </xmlCellPr>
  </singleXmlCell>
  <singleXmlCell id="588" r="Q116" connectionId="0">
    <xmlCellPr id="1" uniqueName="1">
      <xmlPr mapId="43" xpath="/ns1:Root/ns1:Prog/ns1:Achieved__P10_1" xmlDataType="string"/>
    </xmlCellPr>
  </singleXmlCell>
  <singleXmlCell id="589" r="R116" connectionId="0">
    <xmlCellPr id="1" uniqueName="1">
      <xmlPr mapId="43" xpath="/ns1:Root/ns1:Prog/ns1:Achieved__P11_1" xmlDataType="string"/>
    </xmlCellPr>
  </singleXmlCell>
  <singleXmlCell id="590" r="S116" connectionId="0">
    <xmlCellPr id="1" uniqueName="1">
      <xmlPr mapId="43" xpath="/ns1:Root/ns1:Prog/ns1:Achieved__P12_1" xmlDataType="string"/>
    </xmlCellPr>
  </singleXmlCell>
  <singleXmlCell id="591" r="H117" connectionId="0">
    <xmlCellPr id="1" uniqueName="1">
      <xmlPr mapId="43" xpath="/ns1:Root/ns1:Prog/ns1:Target_P1_2" xmlDataType="double"/>
    </xmlCellPr>
  </singleXmlCell>
  <singleXmlCell id="592" r="I117" connectionId="0">
    <xmlCellPr id="1" uniqueName="1">
      <xmlPr mapId="43" xpath="/ns1:Root/ns1:Prog/ns1:Target_P2_2" xmlDataType="double"/>
    </xmlCellPr>
  </singleXmlCell>
  <singleXmlCell id="593" r="J117" connectionId="0">
    <xmlCellPr id="1" uniqueName="1">
      <xmlPr mapId="43" xpath="/ns1:Root/ns1:Prog/ns1:Target_P3_2" xmlDataType="double"/>
    </xmlCellPr>
  </singleXmlCell>
  <singleXmlCell id="594" r="L117" connectionId="0">
    <xmlCellPr id="1" uniqueName="1">
      <xmlPr mapId="43" xpath="/ns1:Root/ns1:Prog/ns1:Target_P5_2" xmlDataType="double"/>
    </xmlCellPr>
  </singleXmlCell>
  <singleXmlCell id="595" r="M117" connectionId="0">
    <xmlCellPr id="1" uniqueName="1">
      <xmlPr mapId="43" xpath="/ns1:Root/ns1:Prog/ns1:Target_P6_2" xmlDataType="double"/>
    </xmlCellPr>
  </singleXmlCell>
  <singleXmlCell id="596" r="N117" connectionId="0">
    <xmlCellPr id="1" uniqueName="1">
      <xmlPr mapId="43" xpath="/ns1:Root/ns1:Prog/ns1:Target_P7_2" xmlDataType="double"/>
    </xmlCellPr>
  </singleXmlCell>
  <singleXmlCell id="597" r="O117" connectionId="0">
    <xmlCellPr id="1" uniqueName="1">
      <xmlPr mapId="43" xpath="/ns1:Root/ns1:Prog/ns1:Target_P8_2" xmlDataType="double"/>
    </xmlCellPr>
  </singleXmlCell>
  <singleXmlCell id="598" r="P117" connectionId="0">
    <xmlCellPr id="1" uniqueName="1">
      <xmlPr mapId="43" xpath="/ns1:Root/ns1:Prog/ns1:Target_P9_2" xmlDataType="double"/>
    </xmlCellPr>
  </singleXmlCell>
  <singleXmlCell id="599" r="Q117" connectionId="0">
    <xmlCellPr id="1" uniqueName="1">
      <xmlPr mapId="43" xpath="/ns1:Root/ns1:Prog/ns1:Target_P10_2" xmlDataType="double"/>
    </xmlCellPr>
  </singleXmlCell>
  <singleXmlCell id="600" r="R117" connectionId="0">
    <xmlCellPr id="1" uniqueName="1">
      <xmlPr mapId="43" xpath="/ns1:Root/ns1:Prog/ns1:Target_P11_2" xmlDataType="double"/>
    </xmlCellPr>
  </singleXmlCell>
  <singleXmlCell id="601" r="S117" connectionId="0">
    <xmlCellPr id="1" uniqueName="1">
      <xmlPr mapId="43" xpath="/ns1:Root/ns1:Prog/ns1:Target_P12_2" xmlDataType="double"/>
    </xmlCellPr>
  </singleXmlCell>
  <singleXmlCell id="602" r="H118" connectionId="0">
    <xmlCellPr id="1" uniqueName="1">
      <xmlPr mapId="43" xpath="/ns1:Root/ns1:Prog/ns1:Achieved__P1_2" xmlDataType="double"/>
    </xmlCellPr>
  </singleXmlCell>
  <singleXmlCell id="603" r="I118" connectionId="0">
    <xmlCellPr id="1" uniqueName="1">
      <xmlPr mapId="43" xpath="/ns1:Root/ns1:Prog/ns1:Achieved__P2_2" xmlDataType="double"/>
    </xmlCellPr>
  </singleXmlCell>
  <singleXmlCell id="604" r="J118" connectionId="0">
    <xmlCellPr id="1" uniqueName="1">
      <xmlPr mapId="43" xpath="/ns1:Root/ns1:Prog/ns1:Achieved__P3_2" xmlDataType="double"/>
    </xmlCellPr>
  </singleXmlCell>
  <singleXmlCell id="605" r="K118" connectionId="0">
    <xmlCellPr id="1" uniqueName="1">
      <xmlPr mapId="43" xpath="/ns1:Root/ns1:Prog/ns1:Achieved__P4_2" xmlDataType="double"/>
    </xmlCellPr>
  </singleXmlCell>
  <singleXmlCell id="606" r="L118" connectionId="0">
    <xmlCellPr id="1" uniqueName="1">
      <xmlPr mapId="43" xpath="/ns1:Root/ns1:Prog/ns1:Achieved__P5_2" xmlDataType="string"/>
    </xmlCellPr>
  </singleXmlCell>
  <singleXmlCell id="607" r="M118" connectionId="0">
    <xmlCellPr id="1" uniqueName="1">
      <xmlPr mapId="43" xpath="/ns1:Root/ns1:Prog/ns1:Achieved__P6_2" xmlDataType="string"/>
    </xmlCellPr>
  </singleXmlCell>
  <singleXmlCell id="608" r="N118" connectionId="0">
    <xmlCellPr id="1" uniqueName="1">
      <xmlPr mapId="43" xpath="/ns1:Root/ns1:Prog/ns1:Achieved__P7_2" xmlDataType="string"/>
    </xmlCellPr>
  </singleXmlCell>
  <singleXmlCell id="609" r="O118" connectionId="0">
    <xmlCellPr id="1" uniqueName="1">
      <xmlPr mapId="43" xpath="/ns1:Root/ns1:Prog/ns1:Achieved__P8_2" xmlDataType="string"/>
    </xmlCellPr>
  </singleXmlCell>
  <singleXmlCell id="610" r="P118" connectionId="0">
    <xmlCellPr id="1" uniqueName="1">
      <xmlPr mapId="43" xpath="/ns1:Root/ns1:Prog/ns1:Achieved__P9_2" xmlDataType="string"/>
    </xmlCellPr>
  </singleXmlCell>
  <singleXmlCell id="611" r="Q118" connectionId="0">
    <xmlCellPr id="1" uniqueName="1">
      <xmlPr mapId="43" xpath="/ns1:Root/ns1:Prog/ns1:Achieved__P10_2" xmlDataType="string"/>
    </xmlCellPr>
  </singleXmlCell>
  <singleXmlCell id="612" r="R118" connectionId="0">
    <xmlCellPr id="1" uniqueName="1">
      <xmlPr mapId="43" xpath="/ns1:Root/ns1:Prog/ns1:Achieved__P11_2" xmlDataType="string"/>
    </xmlCellPr>
  </singleXmlCell>
  <singleXmlCell id="613" r="S118" connectionId="0">
    <xmlCellPr id="1" uniqueName="1">
      <xmlPr mapId="43" xpath="/ns1:Root/ns1:Prog/ns1:Achieved__P12_2" xmlDataType="string"/>
    </xmlCellPr>
  </singleXmlCell>
  <singleXmlCell id="614" r="H119" connectionId="0">
    <xmlCellPr id="1" uniqueName="1">
      <xmlPr mapId="43" xpath="/ns1:Root/ns1:Prog/ns1:Target_P1_3" xmlDataType="double"/>
    </xmlCellPr>
  </singleXmlCell>
  <singleXmlCell id="615" r="I119" connectionId="0">
    <xmlCellPr id="1" uniqueName="1">
      <xmlPr mapId="43" xpath="/ns1:Root/ns1:Prog/ns1:Target_P2_3" xmlDataType="double"/>
    </xmlCellPr>
  </singleXmlCell>
  <singleXmlCell id="616" r="J119" connectionId="0">
    <xmlCellPr id="1" uniqueName="1">
      <xmlPr mapId="43" xpath="/ns1:Root/ns1:Prog/ns1:Target_P3_3" xmlDataType="double"/>
    </xmlCellPr>
  </singleXmlCell>
  <singleXmlCell id="617" r="K119" connectionId="0">
    <xmlCellPr id="1" uniqueName="1">
      <xmlPr mapId="43" xpath="/ns1:Root/ns1:Prog/ns1:Target_P4_3" xmlDataType="double"/>
    </xmlCellPr>
  </singleXmlCell>
  <singleXmlCell id="618" r="L119" connectionId="0">
    <xmlCellPr id="1" uniqueName="1">
      <xmlPr mapId="43" xpath="/ns1:Root/ns1:Prog/ns1:Target_P5_3" xmlDataType="double"/>
    </xmlCellPr>
  </singleXmlCell>
  <singleXmlCell id="619" r="M119" connectionId="0">
    <xmlCellPr id="1" uniqueName="1">
      <xmlPr mapId="43" xpath="/ns1:Root/ns1:Prog/ns1:Target_P6_3" xmlDataType="double"/>
    </xmlCellPr>
  </singleXmlCell>
  <singleXmlCell id="620" r="N119" connectionId="0">
    <xmlCellPr id="1" uniqueName="1">
      <xmlPr mapId="43" xpath="/ns1:Root/ns1:Prog/ns1:Target_P7_3" xmlDataType="double"/>
    </xmlCellPr>
  </singleXmlCell>
  <singleXmlCell id="621" r="O119" connectionId="0">
    <xmlCellPr id="1" uniqueName="1">
      <xmlPr mapId="43" xpath="/ns1:Root/ns1:Prog/ns1:Target_P8_3" xmlDataType="double"/>
    </xmlCellPr>
  </singleXmlCell>
  <singleXmlCell id="622" r="P119" connectionId="0">
    <xmlCellPr id="1" uniqueName="1">
      <xmlPr mapId="43" xpath="/ns1:Root/ns1:Prog/ns1:Target_P9_3" xmlDataType="double"/>
    </xmlCellPr>
  </singleXmlCell>
  <singleXmlCell id="623" r="Q119" connectionId="0">
    <xmlCellPr id="1" uniqueName="1">
      <xmlPr mapId="43" xpath="/ns1:Root/ns1:Prog/ns1:Target_P10_3" xmlDataType="string"/>
    </xmlCellPr>
  </singleXmlCell>
  <singleXmlCell id="624" r="R119" connectionId="0">
    <xmlCellPr id="1" uniqueName="1">
      <xmlPr mapId="43" xpath="/ns1:Root/ns1:Prog/ns1:Target_P11_3" xmlDataType="string"/>
    </xmlCellPr>
  </singleXmlCell>
  <singleXmlCell id="625" r="S119" connectionId="0">
    <xmlCellPr id="1" uniqueName="1">
      <xmlPr mapId="43" xpath="/ns1:Root/ns1:Prog/ns1:Target_P12_3" xmlDataType="double"/>
    </xmlCellPr>
  </singleXmlCell>
  <singleXmlCell id="626" r="H120" connectionId="0">
    <xmlCellPr id="1" uniqueName="1">
      <xmlPr mapId="43" xpath="/ns1:Root/ns1:Prog/ns1:Achieved__P1_3" xmlDataType="string"/>
    </xmlCellPr>
  </singleXmlCell>
  <singleXmlCell id="627" r="I120" connectionId="0">
    <xmlCellPr id="1" uniqueName="1">
      <xmlPr mapId="43" xpath="/ns1:Root/ns1:Prog/ns1:Achieved__P2_3" xmlDataType="double"/>
    </xmlCellPr>
  </singleXmlCell>
  <singleXmlCell id="628" r="J120" connectionId="0">
    <xmlCellPr id="1" uniqueName="1">
      <xmlPr mapId="43" xpath="/ns1:Root/ns1:Prog/ns1:Achieved__P3_3" xmlDataType="string"/>
    </xmlCellPr>
  </singleXmlCell>
  <singleXmlCell id="629" r="K120" connectionId="0">
    <xmlCellPr id="1" uniqueName="1">
      <xmlPr mapId="43" xpath="/ns1:Root/ns1:Prog/ns1:Achieved__P4_3" xmlDataType="double"/>
    </xmlCellPr>
  </singleXmlCell>
  <singleXmlCell id="630" r="L120" connectionId="0">
    <xmlCellPr id="1" uniqueName="1">
      <xmlPr mapId="43" xpath="/ns1:Root/ns1:Prog/ns1:Achieved__P5_3" xmlDataType="string"/>
    </xmlCellPr>
  </singleXmlCell>
  <singleXmlCell id="631" r="M120" connectionId="0">
    <xmlCellPr id="1" uniqueName="1">
      <xmlPr mapId="43" xpath="/ns1:Root/ns1:Prog/ns1:Achieved__P6_3" xmlDataType="string"/>
    </xmlCellPr>
  </singleXmlCell>
  <singleXmlCell id="632" r="N120" connectionId="0">
    <xmlCellPr id="1" uniqueName="1">
      <xmlPr mapId="43" xpath="/ns1:Root/ns1:Prog/ns1:Achieved__P7_3" xmlDataType="string"/>
    </xmlCellPr>
  </singleXmlCell>
  <singleXmlCell id="633" r="O120" connectionId="0">
    <xmlCellPr id="1" uniqueName="1">
      <xmlPr mapId="43" xpath="/ns1:Root/ns1:Prog/ns1:Achieved__P8_3" xmlDataType="string"/>
    </xmlCellPr>
  </singleXmlCell>
  <singleXmlCell id="634" r="P120" connectionId="0">
    <xmlCellPr id="1" uniqueName="1">
      <xmlPr mapId="43" xpath="/ns1:Root/ns1:Prog/ns1:Achieved__P9_3" xmlDataType="string"/>
    </xmlCellPr>
  </singleXmlCell>
  <singleXmlCell id="635" r="Q120" connectionId="0">
    <xmlCellPr id="1" uniqueName="1">
      <xmlPr mapId="43" xpath="/ns1:Root/ns1:Prog/ns1:Achieved__P10_3" xmlDataType="string"/>
    </xmlCellPr>
  </singleXmlCell>
  <singleXmlCell id="636" r="R120" connectionId="0">
    <xmlCellPr id="1" uniqueName="1">
      <xmlPr mapId="43" xpath="/ns1:Root/ns1:Prog/ns1:Achieved__P11_3" xmlDataType="string"/>
    </xmlCellPr>
  </singleXmlCell>
  <singleXmlCell id="637" r="S120" connectionId="0">
    <xmlCellPr id="1" uniqueName="1">
      <xmlPr mapId="43" xpath="/ns1:Root/ns1:Prog/ns1:Achieved__P12_3" xmlDataType="string"/>
    </xmlCellPr>
  </singleXmlCell>
  <singleXmlCell id="638" r="H121" connectionId="0">
    <xmlCellPr id="1" uniqueName="1">
      <xmlPr mapId="43" xpath="/ns1:Root/ns1:Prog/ns1:Target_P1_4" xmlDataType="string"/>
    </xmlCellPr>
  </singleXmlCell>
  <singleXmlCell id="639" r="I121" connectionId="0">
    <xmlCellPr id="1" uniqueName="1">
      <xmlPr mapId="43" xpath="/ns1:Root/ns1:Prog/ns1:Target_P2_4" xmlDataType="string"/>
    </xmlCellPr>
  </singleXmlCell>
  <singleXmlCell id="640" r="J121" connectionId="0">
    <xmlCellPr id="1" uniqueName="1">
      <xmlPr mapId="43" xpath="/ns1:Root/ns1:Prog/ns1:Target_P3_4" xmlDataType="string"/>
    </xmlCellPr>
  </singleXmlCell>
  <singleXmlCell id="641" r="K121" connectionId="0">
    <xmlCellPr id="1" uniqueName="1">
      <xmlPr mapId="43" xpath="/ns1:Root/ns1:Prog/ns1:Target_P4_4" xmlDataType="double"/>
    </xmlCellPr>
  </singleXmlCell>
  <singleXmlCell id="642" r="L121" connectionId="0">
    <xmlCellPr id="1" uniqueName="1">
      <xmlPr mapId="43" xpath="/ns1:Root/ns1:Prog/ns1:Target_P5_4" xmlDataType="string"/>
    </xmlCellPr>
  </singleXmlCell>
  <singleXmlCell id="643" r="M121" connectionId="0">
    <xmlCellPr id="1" uniqueName="1">
      <xmlPr mapId="43" xpath="/ns1:Root/ns1:Prog/ns1:Target_P6_4" xmlDataType="string"/>
    </xmlCellPr>
  </singleXmlCell>
  <singleXmlCell id="644" r="N121" connectionId="0">
    <xmlCellPr id="1" uniqueName="1">
      <xmlPr mapId="43" xpath="/ns1:Root/ns1:Prog/ns1:Target_P7_4" xmlDataType="string"/>
    </xmlCellPr>
  </singleXmlCell>
  <singleXmlCell id="645" r="O121" connectionId="0">
    <xmlCellPr id="1" uniqueName="1">
      <xmlPr mapId="43" xpath="/ns1:Root/ns1:Prog/ns1:Target_P8_4" xmlDataType="double"/>
    </xmlCellPr>
  </singleXmlCell>
  <singleXmlCell id="646" r="P121" connectionId="0">
    <xmlCellPr id="1" uniqueName="1">
      <xmlPr mapId="43" xpath="/ns1:Root/ns1:Prog/ns1:Target_P9_4" xmlDataType="string"/>
    </xmlCellPr>
  </singleXmlCell>
  <singleXmlCell id="647" r="Q121" connectionId="0">
    <xmlCellPr id="1" uniqueName="1">
      <xmlPr mapId="43" xpath="/ns1:Root/ns1:Prog/ns1:Target_P10_4" xmlDataType="string"/>
    </xmlCellPr>
  </singleXmlCell>
  <singleXmlCell id="648" r="R121" connectionId="0">
    <xmlCellPr id="1" uniqueName="1">
      <xmlPr mapId="43" xpath="/ns1:Root/ns1:Prog/ns1:Target_P11_4" xmlDataType="string"/>
    </xmlCellPr>
  </singleXmlCell>
  <singleXmlCell id="649" r="S121" connectionId="0">
    <xmlCellPr id="1" uniqueName="1">
      <xmlPr mapId="43" xpath="/ns1:Root/ns1:Prog/ns1:Target_P12_4" xmlDataType="double"/>
    </xmlCellPr>
  </singleXmlCell>
  <singleXmlCell id="650" r="H122" connectionId="0">
    <xmlCellPr id="1" uniqueName="1">
      <xmlPr mapId="43" xpath="/ns1:Root/ns1:Prog/ns1:Achieved__P1_4" xmlDataType="string"/>
    </xmlCellPr>
  </singleXmlCell>
  <singleXmlCell id="651" r="I122" connectionId="0">
    <xmlCellPr id="1" uniqueName="1">
      <xmlPr mapId="43" xpath="/ns1:Root/ns1:Prog/ns1:Achieved__P2_4" xmlDataType="string"/>
    </xmlCellPr>
  </singleXmlCell>
  <singleXmlCell id="652" r="J122" connectionId="0">
    <xmlCellPr id="1" uniqueName="1">
      <xmlPr mapId="43" xpath="/ns1:Root/ns1:Prog/ns1:Achieved__P3_4" xmlDataType="string"/>
    </xmlCellPr>
  </singleXmlCell>
  <singleXmlCell id="653" r="K122" connectionId="0">
    <xmlCellPr id="1" uniqueName="1">
      <xmlPr mapId="43" xpath="/ns1:Root/ns1:Prog/ns1:Achieved__P4_4" xmlDataType="double"/>
    </xmlCellPr>
  </singleXmlCell>
  <singleXmlCell id="654" r="L122" connectionId="0">
    <xmlCellPr id="1" uniqueName="1">
      <xmlPr mapId="43" xpath="/ns1:Root/ns1:Prog/ns1:Achieved__P5_4" xmlDataType="string"/>
    </xmlCellPr>
  </singleXmlCell>
  <singleXmlCell id="655" r="M122" connectionId="0">
    <xmlCellPr id="1" uniqueName="1">
      <xmlPr mapId="43" xpath="/ns1:Root/ns1:Prog/ns1:Achieved__P6_4" xmlDataType="string"/>
    </xmlCellPr>
  </singleXmlCell>
  <singleXmlCell id="656" r="N122" connectionId="0">
    <xmlCellPr id="1" uniqueName="1">
      <xmlPr mapId="43" xpath="/ns1:Root/ns1:Prog/ns1:Achieved__P7_4" xmlDataType="string"/>
    </xmlCellPr>
  </singleXmlCell>
  <singleXmlCell id="657" r="O122" connectionId="0">
    <xmlCellPr id="1" uniqueName="1">
      <xmlPr mapId="43" xpath="/ns1:Root/ns1:Prog/ns1:Achieved__P8_4" xmlDataType="string"/>
    </xmlCellPr>
  </singleXmlCell>
  <singleXmlCell id="658" r="P122" connectionId="0">
    <xmlCellPr id="1" uniqueName="1">
      <xmlPr mapId="43" xpath="/ns1:Root/ns1:Prog/ns1:Achieved__P9_4" xmlDataType="string"/>
    </xmlCellPr>
  </singleXmlCell>
  <singleXmlCell id="659" r="Q122" connectionId="0">
    <xmlCellPr id="1" uniqueName="1">
      <xmlPr mapId="43" xpath="/ns1:Root/ns1:Prog/ns1:Achieved__P10_4" xmlDataType="string"/>
    </xmlCellPr>
  </singleXmlCell>
  <singleXmlCell id="660" r="R122" connectionId="0">
    <xmlCellPr id="1" uniqueName="1">
      <xmlPr mapId="43" xpath="/ns1:Root/ns1:Prog/ns1:Achieved__P11_4" xmlDataType="string"/>
    </xmlCellPr>
  </singleXmlCell>
  <singleXmlCell id="661" r="S122" connectionId="0">
    <xmlCellPr id="1" uniqueName="1">
      <xmlPr mapId="43" xpath="/ns1:Root/ns1:Prog/ns1:Achieved__P12_4" xmlDataType="string"/>
    </xmlCellPr>
  </singleXmlCell>
  <singleXmlCell id="662" r="H123" connectionId="0">
    <xmlCellPr id="1" uniqueName="1">
      <xmlPr mapId="43" xpath="/ns1:Root/ns1:Prog/ns1:Target_P1_5" xmlDataType="double"/>
    </xmlCellPr>
  </singleXmlCell>
  <singleXmlCell id="663" r="I123" connectionId="0">
    <xmlCellPr id="1" uniqueName="1">
      <xmlPr mapId="43" xpath="/ns1:Root/ns1:Prog/ns1:Target_P2_5" xmlDataType="double"/>
    </xmlCellPr>
  </singleXmlCell>
  <singleXmlCell id="664" r="J123" connectionId="0">
    <xmlCellPr id="1" uniqueName="1">
      <xmlPr mapId="43" xpath="/ns1:Root/ns1:Prog/ns1:Target_P3_5" xmlDataType="double"/>
    </xmlCellPr>
  </singleXmlCell>
  <singleXmlCell id="665" r="K123" connectionId="0">
    <xmlCellPr id="1" uniqueName="1">
      <xmlPr mapId="43" xpath="/ns1:Root/ns1:Prog/ns1:Target_P4_5" xmlDataType="double"/>
    </xmlCellPr>
  </singleXmlCell>
  <singleXmlCell id="666" r="L123" connectionId="0">
    <xmlCellPr id="1" uniqueName="1">
      <xmlPr mapId="43" xpath="/ns1:Root/ns1:Prog/ns1:Target_P5_5" xmlDataType="double"/>
    </xmlCellPr>
  </singleXmlCell>
  <singleXmlCell id="667" r="M123" connectionId="0">
    <xmlCellPr id="1" uniqueName="1">
      <xmlPr mapId="43" xpath="/ns1:Root/ns1:Prog/ns1:Target_P6_5" xmlDataType="double"/>
    </xmlCellPr>
  </singleXmlCell>
  <singleXmlCell id="668" r="N123" connectionId="0">
    <xmlCellPr id="1" uniqueName="1">
      <xmlPr mapId="43" xpath="/ns1:Root/ns1:Prog/ns1:Target_P7_5" xmlDataType="double"/>
    </xmlCellPr>
  </singleXmlCell>
  <singleXmlCell id="669" r="O123" connectionId="0">
    <xmlCellPr id="1" uniqueName="1">
      <xmlPr mapId="43" xpath="/ns1:Root/ns1:Prog/ns1:Target_P8_5" xmlDataType="double"/>
    </xmlCellPr>
  </singleXmlCell>
  <singleXmlCell id="670" r="P123" connectionId="0">
    <xmlCellPr id="1" uniqueName="1">
      <xmlPr mapId="43" xpath="/ns1:Root/ns1:Prog/ns1:Target_P9_5" xmlDataType="double"/>
    </xmlCellPr>
  </singleXmlCell>
  <singleXmlCell id="671" r="Q123" connectionId="0">
    <xmlCellPr id="1" uniqueName="1">
      <xmlPr mapId="43" xpath="/ns1:Root/ns1:Prog/ns1:Target_P10_5" xmlDataType="double"/>
    </xmlCellPr>
  </singleXmlCell>
  <singleXmlCell id="672" r="R123" connectionId="0">
    <xmlCellPr id="1" uniqueName="1">
      <xmlPr mapId="43" xpath="/ns1:Root/ns1:Prog/ns1:Target_P11_5" xmlDataType="double"/>
    </xmlCellPr>
  </singleXmlCell>
  <singleXmlCell id="673" r="S123" connectionId="0">
    <xmlCellPr id="1" uniqueName="1">
      <xmlPr mapId="43" xpath="/ns1:Root/ns1:Prog/ns1:Target_P12_5" xmlDataType="double"/>
    </xmlCellPr>
  </singleXmlCell>
  <singleXmlCell id="674" r="H124" connectionId="0">
    <xmlCellPr id="1" uniqueName="1">
      <xmlPr mapId="43" xpath="/ns1:Root/ns1:Prog/ns1:Achieved__P1_5" xmlDataType="double"/>
    </xmlCellPr>
  </singleXmlCell>
  <singleXmlCell id="675" r="I124" connectionId="0">
    <xmlCellPr id="1" uniqueName="1">
      <xmlPr mapId="43" xpath="/ns1:Root/ns1:Prog/ns1:Achieved__P2_5" xmlDataType="double"/>
    </xmlCellPr>
  </singleXmlCell>
  <singleXmlCell id="676" r="J124" connectionId="0">
    <xmlCellPr id="1" uniqueName="1">
      <xmlPr mapId="43" xpath="/ns1:Root/ns1:Prog/ns1:Achieved__P3_5" xmlDataType="double"/>
    </xmlCellPr>
  </singleXmlCell>
  <singleXmlCell id="677" r="K124" connectionId="0">
    <xmlCellPr id="1" uniqueName="1">
      <xmlPr mapId="43" xpath="/ns1:Root/ns1:Prog/ns1:Achieved__P4_5" xmlDataType="double"/>
    </xmlCellPr>
  </singleXmlCell>
  <singleXmlCell id="678" r="L124" connectionId="0">
    <xmlCellPr id="1" uniqueName="1">
      <xmlPr mapId="43" xpath="/ns1:Root/ns1:Prog/ns1:Achieved__P5_5" xmlDataType="string"/>
    </xmlCellPr>
  </singleXmlCell>
  <singleXmlCell id="679" r="M124" connectionId="0">
    <xmlCellPr id="1" uniqueName="1">
      <xmlPr mapId="43" xpath="/ns1:Root/ns1:Prog/ns1:Achieved__P6_5" xmlDataType="string"/>
    </xmlCellPr>
  </singleXmlCell>
  <singleXmlCell id="680" r="N124" connectionId="0">
    <xmlCellPr id="1" uniqueName="1">
      <xmlPr mapId="43" xpath="/ns1:Root/ns1:Prog/ns1:Achieved__P7_5" xmlDataType="string"/>
    </xmlCellPr>
  </singleXmlCell>
  <singleXmlCell id="681" r="O124" connectionId="0">
    <xmlCellPr id="1" uniqueName="1">
      <xmlPr mapId="43" xpath="/ns1:Root/ns1:Prog/ns1:Achieved__P8_5" xmlDataType="string"/>
    </xmlCellPr>
  </singleXmlCell>
  <singleXmlCell id="682" r="P124" connectionId="0">
    <xmlCellPr id="1" uniqueName="1">
      <xmlPr mapId="43" xpath="/ns1:Root/ns1:Prog/ns1:Achieved__P9_5" xmlDataType="string"/>
    </xmlCellPr>
  </singleXmlCell>
  <singleXmlCell id="683" r="Q124" connectionId="0">
    <xmlCellPr id="1" uniqueName="1">
      <xmlPr mapId="43" xpath="/ns1:Root/ns1:Prog/ns1:Achieved__P10_5" xmlDataType="string"/>
    </xmlCellPr>
  </singleXmlCell>
  <singleXmlCell id="684" r="R124" connectionId="0">
    <xmlCellPr id="1" uniqueName="1">
      <xmlPr mapId="43" xpath="/ns1:Root/ns1:Prog/ns1:Achieved__P11_5" xmlDataType="string"/>
    </xmlCellPr>
  </singleXmlCell>
  <singleXmlCell id="685" r="S124" connectionId="0">
    <xmlCellPr id="1" uniqueName="1">
      <xmlPr mapId="43" xpath="/ns1:Root/ns1:Prog/ns1:Achieved__P12_5" xmlDataType="string"/>
    </xmlCellPr>
  </singleXmlCell>
  <singleXmlCell id="686" r="H125" connectionId="0">
    <xmlCellPr id="1" uniqueName="1">
      <xmlPr mapId="43" xpath="/ns1:Root/ns1:Prog/ns1:Target_P1_6" xmlDataType="double"/>
    </xmlCellPr>
  </singleXmlCell>
  <singleXmlCell id="687" r="I125" connectionId="0">
    <xmlCellPr id="1" uniqueName="1">
      <xmlPr mapId="43" xpath="/ns1:Root/ns1:Prog/ns1:Target_P2_6" xmlDataType="double"/>
    </xmlCellPr>
  </singleXmlCell>
  <singleXmlCell id="688" r="J125" connectionId="0">
    <xmlCellPr id="1" uniqueName="1">
      <xmlPr mapId="43" xpath="/ns1:Root/ns1:Prog/ns1:Target_P3_6" xmlDataType="double"/>
    </xmlCellPr>
  </singleXmlCell>
  <singleXmlCell id="689" r="K125" connectionId="0">
    <xmlCellPr id="1" uniqueName="1">
      <xmlPr mapId="43" xpath="/ns1:Root/ns1:Prog/ns1:Target_P4_6" xmlDataType="double"/>
    </xmlCellPr>
  </singleXmlCell>
  <singleXmlCell id="690" r="L125" connectionId="0">
    <xmlCellPr id="1" uniqueName="1">
      <xmlPr mapId="43" xpath="/ns1:Root/ns1:Prog/ns1:Target_P5_6" xmlDataType="double"/>
    </xmlCellPr>
  </singleXmlCell>
  <singleXmlCell id="691" r="M125" connectionId="0">
    <xmlCellPr id="1" uniqueName="1">
      <xmlPr mapId="43" xpath="/ns1:Root/ns1:Prog/ns1:Target_P6_6" xmlDataType="double"/>
    </xmlCellPr>
  </singleXmlCell>
  <singleXmlCell id="692" r="N125" connectionId="0">
    <xmlCellPr id="1" uniqueName="1">
      <xmlPr mapId="43" xpath="/ns1:Root/ns1:Prog/ns1:Target_P7_6" xmlDataType="double"/>
    </xmlCellPr>
  </singleXmlCell>
  <singleXmlCell id="693" r="O125" connectionId="0">
    <xmlCellPr id="1" uniqueName="1">
      <xmlPr mapId="43" xpath="/ns1:Root/ns1:Prog/ns1:Target_P8_6" xmlDataType="double"/>
    </xmlCellPr>
  </singleXmlCell>
  <singleXmlCell id="694" r="P125" connectionId="0">
    <xmlCellPr id="1" uniqueName="1">
      <xmlPr mapId="43" xpath="/ns1:Root/ns1:Prog/ns1:Target_P9_6" xmlDataType="double"/>
    </xmlCellPr>
  </singleXmlCell>
  <singleXmlCell id="695" r="Q125" connectionId="0">
    <xmlCellPr id="1" uniqueName="1">
      <xmlPr mapId="43" xpath="/ns1:Root/ns1:Prog/ns1:Target_P10_6" xmlDataType="double"/>
    </xmlCellPr>
  </singleXmlCell>
  <singleXmlCell id="696" r="R125" connectionId="0">
    <xmlCellPr id="1" uniqueName="1">
      <xmlPr mapId="43" xpath="/ns1:Root/ns1:Prog/ns1:Target_P11_6" xmlDataType="double"/>
    </xmlCellPr>
  </singleXmlCell>
  <singleXmlCell id="697" r="S125" connectionId="0">
    <xmlCellPr id="1" uniqueName="1">
      <xmlPr mapId="43" xpath="/ns1:Root/ns1:Prog/ns1:Target_P12_6" xmlDataType="double"/>
    </xmlCellPr>
  </singleXmlCell>
  <singleXmlCell id="698" r="H126" connectionId="0">
    <xmlCellPr id="1" uniqueName="1">
      <xmlPr mapId="43" xpath="/ns1:Root/ns1:Prog/ns1:Achieved__P1_6" xmlDataType="double"/>
    </xmlCellPr>
  </singleXmlCell>
  <singleXmlCell id="699" r="I126" connectionId="0">
    <xmlCellPr id="1" uniqueName="1">
      <xmlPr mapId="43" xpath="/ns1:Root/ns1:Prog/ns1:Achieved__P2_6" xmlDataType="double"/>
    </xmlCellPr>
  </singleXmlCell>
  <singleXmlCell id="700" r="J126" connectionId="0">
    <xmlCellPr id="1" uniqueName="1">
      <xmlPr mapId="43" xpath="/ns1:Root/ns1:Prog/ns1:Achieved__P3_6" xmlDataType="double"/>
    </xmlCellPr>
  </singleXmlCell>
  <singleXmlCell id="701" r="K126" connectionId="0">
    <xmlCellPr id="1" uniqueName="1">
      <xmlPr mapId="43" xpath="/ns1:Root/ns1:Prog/ns1:Achieved__P4_6" xmlDataType="double"/>
    </xmlCellPr>
  </singleXmlCell>
  <singleXmlCell id="702" r="L126" connectionId="0">
    <xmlCellPr id="1" uniqueName="1">
      <xmlPr mapId="43" xpath="/ns1:Root/ns1:Prog/ns1:Achieved__P5_6" xmlDataType="string"/>
    </xmlCellPr>
  </singleXmlCell>
  <singleXmlCell id="703" r="M126" connectionId="0">
    <xmlCellPr id="1" uniqueName="1">
      <xmlPr mapId="43" xpath="/ns1:Root/ns1:Prog/ns1:Achieved__P6_6" xmlDataType="string"/>
    </xmlCellPr>
  </singleXmlCell>
  <singleXmlCell id="704" r="N126" connectionId="0">
    <xmlCellPr id="1" uniqueName="1">
      <xmlPr mapId="43" xpath="/ns1:Root/ns1:Prog/ns1:Achieved__P7_6" xmlDataType="string"/>
    </xmlCellPr>
  </singleXmlCell>
  <singleXmlCell id="705" r="O126" connectionId="0">
    <xmlCellPr id="1" uniqueName="1">
      <xmlPr mapId="43" xpath="/ns1:Root/ns1:Prog/ns1:Achieved__P8_6" xmlDataType="string"/>
    </xmlCellPr>
  </singleXmlCell>
  <singleXmlCell id="706" r="P126" connectionId="0">
    <xmlCellPr id="1" uniqueName="1">
      <xmlPr mapId="43" xpath="/ns1:Root/ns1:Prog/ns1:Achieved__P9_6" xmlDataType="string"/>
    </xmlCellPr>
  </singleXmlCell>
  <singleXmlCell id="707" r="Q126" connectionId="0">
    <xmlCellPr id="1" uniqueName="1">
      <xmlPr mapId="43" xpath="/ns1:Root/ns1:Prog/ns1:Achieved__P10_6" xmlDataType="string"/>
    </xmlCellPr>
  </singleXmlCell>
  <singleXmlCell id="708" r="R126" connectionId="0">
    <xmlCellPr id="1" uniqueName="1">
      <xmlPr mapId="43" xpath="/ns1:Root/ns1:Prog/ns1:Achieved__P11_6" xmlDataType="string"/>
    </xmlCellPr>
  </singleXmlCell>
  <singleXmlCell id="709" r="S126" connectionId="0">
    <xmlCellPr id="1" uniqueName="1">
      <xmlPr mapId="43" xpath="/ns1:Root/ns1:Prog/ns1:Achieved__P12_6" xmlDataType="string"/>
    </xmlCellPr>
  </singleXmlCell>
  <singleXmlCell id="710" r="H127" connectionId="0">
    <xmlCellPr id="1" uniqueName="1">
      <xmlPr mapId="43" xpath="/ns1:Root/ns1:Prog/ns1:Target_P1_7" xmlDataType="double"/>
    </xmlCellPr>
  </singleXmlCell>
  <singleXmlCell id="711" r="I127" connectionId="0">
    <xmlCellPr id="1" uniqueName="1">
      <xmlPr mapId="43" xpath="/ns1:Root/ns1:Prog/ns1:Target_P2_7" xmlDataType="double"/>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O127" connectionId="0">
    <xmlCellPr id="1" uniqueName="1">
      <xmlPr mapId="43" xpath="/ns1:Root/ns1:Prog/ns1:Target_P8_7" xmlDataType="double"/>
    </xmlCellPr>
  </singleXmlCell>
  <singleXmlCell id="718" r="P127" connectionId="0">
    <xmlCellPr id="1" uniqueName="1">
      <xmlPr mapId="43" xpath="/ns1:Root/ns1:Prog/ns1:Target_P9_7" xmlDataType="double"/>
    </xmlCellPr>
  </singleXmlCell>
  <singleXmlCell id="719" r="Q127" connectionId="0">
    <xmlCellPr id="1" uniqueName="1">
      <xmlPr mapId="43" xpath="/ns1:Root/ns1:Prog/ns1:Target_P10_7" xmlDataType="double"/>
    </xmlCellPr>
  </singleXmlCell>
  <singleXmlCell id="720" r="R127" connectionId="0">
    <xmlCellPr id="1" uniqueName="1">
      <xmlPr mapId="43" xpath="/ns1:Root/ns1:Prog/ns1:Target_P11_7" xmlDataType="double"/>
    </xmlCellPr>
  </singleXmlCell>
  <singleXmlCell id="721" r="S127" connectionId="0">
    <xmlCellPr id="1" uniqueName="1">
      <xmlPr mapId="43" xpath="/ns1:Root/ns1:Prog/ns1:Target_P12_7" xmlDataType="double"/>
    </xmlCellPr>
  </singleXmlCell>
  <singleXmlCell id="722" r="H128" connectionId="0">
    <xmlCellPr id="1" uniqueName="1">
      <xmlPr mapId="43" xpath="/ns1:Root/ns1:Prog/ns1:Achieved__P1_7" xmlDataType="double"/>
    </xmlCellPr>
  </singleXmlCell>
  <singleXmlCell id="723" r="I128" connectionId="0">
    <xmlCellPr id="1" uniqueName="1">
      <xmlPr mapId="43" xpath="/ns1:Root/ns1:Prog/ns1:Achieved__P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O128" connectionId="0">
    <xmlCellPr id="1" uniqueName="1">
      <xmlPr mapId="43" xpath="/ns1:Root/ns1:Prog/ns1:Achieved__P8_7" xmlDataType="string"/>
    </xmlCellPr>
  </singleXmlCell>
  <singleXmlCell id="730" r="P128" connectionId="0">
    <xmlCellPr id="1" uniqueName="1">
      <xmlPr mapId="43" xpath="/ns1:Root/ns1:Prog/ns1:Achieved__P9_7" xmlDataType="string"/>
    </xmlCellPr>
  </singleXmlCell>
  <singleXmlCell id="731" r="Q128" connectionId="0">
    <xmlCellPr id="1" uniqueName="1">
      <xmlPr mapId="43" xpath="/ns1:Root/ns1:Prog/ns1:Achieved__P10_7" xmlDataType="string"/>
    </xmlCellPr>
  </singleXmlCell>
  <singleXmlCell id="732" r="R128" connectionId="0">
    <xmlCellPr id="1" uniqueName="1">
      <xmlPr mapId="43" xpath="/ns1:Root/ns1:Prog/ns1:Achieved__P11_7" xmlDataType="string"/>
    </xmlCellPr>
  </singleXmlCell>
  <singleXmlCell id="733" r="S128" connectionId="0">
    <xmlCellPr id="1" uniqueName="1">
      <xmlPr mapId="43" xpath="/ns1:Root/ns1:Prog/ns1:Achieved__P12_7" xmlDataType="string"/>
    </xmlCellPr>
  </singleXmlCell>
  <singleXmlCell id="734" r="H129" connectionId="0">
    <xmlCellPr id="1" uniqueName="1">
      <xmlPr mapId="43" xpath="/ns1:Root/ns1:Prog/ns1:Target_P1_8" xmlDataType="string"/>
    </xmlCellPr>
  </singleXmlCell>
  <singleXmlCell id="735" r="I129" connectionId="0">
    <xmlCellPr id="1" uniqueName="1">
      <xmlPr mapId="43" xpath="/ns1:Root/ns1:Prog/ns1:Target_P2_8" xmlDataType="double"/>
    </xmlCellPr>
  </singleXmlCell>
  <singleXmlCell id="736" r="J129" connectionId="0">
    <xmlCellPr id="1" uniqueName="1">
      <xmlPr mapId="43" xpath="/ns1:Root/ns1:Prog/ns1:Target_P3_8" xmlDataType="string"/>
    </xmlCellPr>
  </singleXmlCell>
  <singleXmlCell id="737" r="K129" connectionId="0">
    <xmlCellPr id="1" uniqueName="1">
      <xmlPr mapId="43" xpath="/ns1:Root/ns1:Prog/ns1:Target_P4_8" xmlDataType="double"/>
    </xmlCellPr>
  </singleXmlCell>
  <singleXmlCell id="738" r="L129" connectionId="0">
    <xmlCellPr id="1" uniqueName="1">
      <xmlPr mapId="43" xpath="/ns1:Root/ns1:Prog/ns1:Target_P5_8" xmlDataType="string"/>
    </xmlCellPr>
  </singleXmlCell>
  <singleXmlCell id="739" r="M129" connectionId="0">
    <xmlCellPr id="1" uniqueName="1">
      <xmlPr mapId="43" xpath="/ns1:Root/ns1:Prog/ns1:Target_P6_8" xmlDataType="double"/>
    </xmlCellPr>
  </singleXmlCell>
  <singleXmlCell id="740" r="N129" connectionId="0">
    <xmlCellPr id="1" uniqueName="1">
      <xmlPr mapId="43" xpath="/ns1:Root/ns1:Prog/ns1:Target_P7_8" xmlDataType="string"/>
    </xmlCellPr>
  </singleXmlCell>
  <singleXmlCell id="741" r="O129" connectionId="0">
    <xmlCellPr id="1" uniqueName="1">
      <xmlPr mapId="43" xpath="/ns1:Root/ns1:Prog/ns1:Target_P8_8" xmlDataType="double"/>
    </xmlCellPr>
  </singleXmlCell>
  <singleXmlCell id="742" r="P129" connectionId="0">
    <xmlCellPr id="1" uniqueName="1">
      <xmlPr mapId="43" xpath="/ns1:Root/ns1:Prog/ns1:Target_P9_8" xmlDataType="double"/>
    </xmlCellPr>
  </singleXmlCell>
  <singleXmlCell id="743" r="Q129" connectionId="0">
    <xmlCellPr id="1" uniqueName="1">
      <xmlPr mapId="43" xpath="/ns1:Root/ns1:Prog/ns1:Target_P10_8" xmlDataType="double"/>
    </xmlCellPr>
  </singleXmlCell>
  <singleXmlCell id="744" r="R129" connectionId="0">
    <xmlCellPr id="1" uniqueName="1">
      <xmlPr mapId="43" xpath="/ns1:Root/ns1:Prog/ns1:Target_P11_8" xmlDataType="double"/>
    </xmlCellPr>
  </singleXmlCell>
  <singleXmlCell id="745" r="S129" connectionId="0">
    <xmlCellPr id="1" uniqueName="1">
      <xmlPr mapId="43" xpath="/ns1:Root/ns1:Prog/ns1:Target_P12_8" xmlDataType="double"/>
    </xmlCellPr>
  </singleXmlCell>
  <singleXmlCell id="746" r="H130" connectionId="0">
    <xmlCellPr id="1" uniqueName="1">
      <xmlPr mapId="43" xpath="/ns1:Root/ns1:Prog/ns1:Achieved__P1_8" xmlDataType="string"/>
    </xmlCellPr>
  </singleXmlCell>
  <singleXmlCell id="747" r="I130" connectionId="0">
    <xmlCellPr id="1" uniqueName="1">
      <xmlPr mapId="43" xpath="/ns1:Root/ns1:Prog/ns1:Achieved__P2_8" xmlDataType="string"/>
    </xmlCellPr>
  </singleXmlCell>
  <singleXmlCell id="748" r="J130" connectionId="0">
    <xmlCellPr id="1" uniqueName="1">
      <xmlPr mapId="43" xpath="/ns1:Root/ns1:Prog/ns1:Achieved__P3_8" xmlDataType="string"/>
    </xmlCellPr>
  </singleXmlCell>
  <singleXmlCell id="749" r="K130" connectionId="0">
    <xmlCellPr id="1" uniqueName="1">
      <xmlPr mapId="43" xpath="/ns1:Root/ns1:Prog/ns1:Achieved__P4_8" xmlDataType="string"/>
    </xmlCellPr>
  </singleXmlCell>
  <singleXmlCell id="750" r="L130" connectionId="0">
    <xmlCellPr id="1" uniqueName="1">
      <xmlPr mapId="43" xpath="/ns1:Root/ns1:Prog/ns1:Achieved__P5_8" xmlDataType="string"/>
    </xmlCellPr>
  </singleXmlCell>
  <singleXmlCell id="751" r="M130" connectionId="0">
    <xmlCellPr id="1" uniqueName="1">
      <xmlPr mapId="43" xpath="/ns1:Root/ns1:Prog/ns1:Achieved__P6_8" xmlDataType="string"/>
    </xmlCellPr>
  </singleXmlCell>
  <singleXmlCell id="752" r="N130" connectionId="0">
    <xmlCellPr id="1" uniqueName="1">
      <xmlPr mapId="43" xpath="/ns1:Root/ns1:Prog/ns1:Achieved__P7_8" xmlDataType="string"/>
    </xmlCellPr>
  </singleXmlCell>
  <singleXmlCell id="753" r="O130" connectionId="0">
    <xmlCellPr id="1" uniqueName="1">
      <xmlPr mapId="43" xpath="/ns1:Root/ns1:Prog/ns1:Achieved__P8_8" xmlDataType="string"/>
    </xmlCellPr>
  </singleXmlCell>
  <singleXmlCell id="754" r="P130" connectionId="0">
    <xmlCellPr id="1" uniqueName="1">
      <xmlPr mapId="43" xpath="/ns1:Root/ns1:Prog/ns1:Achieved__P9_8" xmlDataType="string"/>
    </xmlCellPr>
  </singleXmlCell>
  <singleXmlCell id="755" r="Q130" connectionId="0">
    <xmlCellPr id="1" uniqueName="1">
      <xmlPr mapId="43" xpath="/ns1:Root/ns1:Prog/ns1:Achieved__P10_8" xmlDataType="string"/>
    </xmlCellPr>
  </singleXmlCell>
  <singleXmlCell id="756" r="R130" connectionId="0">
    <xmlCellPr id="1" uniqueName="1">
      <xmlPr mapId="43" xpath="/ns1:Root/ns1:Prog/ns1:Achieved__P11_8" xmlDataType="string"/>
    </xmlCellPr>
  </singleXmlCell>
  <singleXmlCell id="757" r="S130" connectionId="0">
    <xmlCellPr id="1" uniqueName="1">
      <xmlPr mapId="43" xpath="/ns1:Root/ns1:Prog/ns1:Achieved__P12_8" xmlDataType="string"/>
    </xmlCellPr>
  </singleXmlCell>
  <singleXmlCell id="758" r="H131" connectionId="0">
    <xmlCellPr id="1" uniqueName="1">
      <xmlPr mapId="43" xpath="/ns1:Root/ns1:Prog/ns1:Target_P1_9" xmlDataType="double"/>
    </xmlCellPr>
  </singleXmlCell>
  <singleXmlCell id="759" r="I131" connectionId="0">
    <xmlCellPr id="1" uniqueName="1">
      <xmlPr mapId="43" xpath="/ns1:Root/ns1:Prog/ns1:Target_P2_9" xmlDataType="double"/>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O131" connectionId="0">
    <xmlCellPr id="1" uniqueName="1">
      <xmlPr mapId="43" xpath="/ns1:Root/ns1:Prog/ns1:Target_P8_9" xmlDataType="double"/>
    </xmlCellPr>
  </singleXmlCell>
  <singleXmlCell id="766" r="P131" connectionId="0">
    <xmlCellPr id="1" uniqueName="1">
      <xmlPr mapId="43" xpath="/ns1:Root/ns1:Prog/ns1:Target_P9_9" xmlDataType="double"/>
    </xmlCellPr>
  </singleXmlCell>
  <singleXmlCell id="767" r="Q131" connectionId="0">
    <xmlCellPr id="1" uniqueName="1">
      <xmlPr mapId="43" xpath="/ns1:Root/ns1:Prog/ns1:Target_P10_9" xmlDataType="double"/>
    </xmlCellPr>
  </singleXmlCell>
  <singleXmlCell id="768" r="R131" connectionId="0">
    <xmlCellPr id="1" uniqueName="1">
      <xmlPr mapId="43" xpath="/ns1:Root/ns1:Prog/ns1:Target_P11_9" xmlDataType="double"/>
    </xmlCellPr>
  </singleXmlCell>
  <singleXmlCell id="769" r="S131" connectionId="0">
    <xmlCellPr id="1" uniqueName="1">
      <xmlPr mapId="43" xpath="/ns1:Root/ns1:Prog/ns1:Target_P12_9" xmlDataType="double"/>
    </xmlCellPr>
  </singleXmlCell>
  <singleXmlCell id="770" r="H132" connectionId="0">
    <xmlCellPr id="1" uniqueName="1">
      <xmlPr mapId="43" xpath="/ns1:Root/ns1:Prog/ns1:Achieved__P1_9" xmlDataType="string"/>
    </xmlCellPr>
  </singleXmlCell>
  <singleXmlCell id="771" r="I132" connectionId="0">
    <xmlCellPr id="1" uniqueName="1">
      <xmlPr mapId="43" xpath="/ns1:Root/ns1:Prog/ns1:Achieved__P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O132" connectionId="0">
    <xmlCellPr id="1" uniqueName="1">
      <xmlPr mapId="43" xpath="/ns1:Root/ns1:Prog/ns1:Achieved__P8_9" xmlDataType="string"/>
    </xmlCellPr>
  </singleXmlCell>
  <singleXmlCell id="778" r="P132" connectionId="0">
    <xmlCellPr id="1" uniqueName="1">
      <xmlPr mapId="43" xpath="/ns1:Root/ns1:Prog/ns1:Achieved__P9_9" xmlDataType="string"/>
    </xmlCellPr>
  </singleXmlCell>
  <singleXmlCell id="779" r="Q132" connectionId="0">
    <xmlCellPr id="1" uniqueName="1">
      <xmlPr mapId="43" xpath="/ns1:Root/ns1:Prog/ns1:Achieved__P10_9" xmlDataType="string"/>
    </xmlCellPr>
  </singleXmlCell>
  <singleXmlCell id="780" r="R132" connectionId="0">
    <xmlCellPr id="1" uniqueName="1">
      <xmlPr mapId="43" xpath="/ns1:Root/ns1:Prog/ns1:Achieved__P11_9" xmlDataType="string"/>
    </xmlCellPr>
  </singleXmlCell>
  <singleXmlCell id="781" r="S132" connectionId="0">
    <xmlCellPr id="1" uniqueName="1">
      <xmlPr mapId="43" xpath="/ns1:Root/ns1:Prog/ns1:Achieved__P12_9" xmlDataType="string"/>
    </xmlCellPr>
  </singleXmlCell>
  <singleXmlCell id="782" r="H133" connectionId="0">
    <xmlCellPr id="1" uniqueName="1">
      <xmlPr mapId="43" xpath="/ns1:Root/ns1:Prog/ns1:Target_P1" xmlDataType="string"/>
    </xmlCellPr>
  </singleXmlCell>
  <singleXmlCell id="783" r="I133" connectionId="0">
    <xmlCellPr id="1" uniqueName="1">
      <xmlPr mapId="43" xpath="/ns1:Root/ns1:Prog/ns1:Target_P2"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O133" connectionId="0">
    <xmlCellPr id="1" uniqueName="1">
      <xmlPr mapId="43" xpath="/ns1:Root/ns1:Prog/ns1:Target_P8" xmlDataType="string"/>
    </xmlCellPr>
  </singleXmlCell>
  <singleXmlCell id="790" r="P133" connectionId="0">
    <xmlCellPr id="1" uniqueName="1">
      <xmlPr mapId="43" xpath="/ns1:Root/ns1:Prog/ns1:Target_P9" xmlDataType="string"/>
    </xmlCellPr>
  </singleXmlCell>
  <singleXmlCell id="791" r="Q133" connectionId="0">
    <xmlCellPr id="1" uniqueName="1">
      <xmlPr mapId="43" xpath="/ns1:Root/ns1:Prog/ns1:Target_P10" xmlDataType="string"/>
    </xmlCellPr>
  </singleXmlCell>
  <singleXmlCell id="792" r="R133" connectionId="0">
    <xmlCellPr id="1" uniqueName="1">
      <xmlPr mapId="43" xpath="/ns1:Root/ns1:Prog/ns1:Target_P11" xmlDataType="string"/>
    </xmlCellPr>
  </singleXmlCell>
  <singleXmlCell id="793" r="S133" connectionId="0">
    <xmlCellPr id="1" uniqueName="1">
      <xmlPr mapId="43" xpath="/ns1:Root/ns1:Prog/ns1:Target_P12" xmlDataType="string"/>
    </xmlCellPr>
  </singleXmlCell>
  <singleXmlCell id="794" r="H134" connectionId="0">
    <xmlCellPr id="1" uniqueName="1">
      <xmlPr mapId="43" xpath="/ns1:Root/ns1:Prog/ns1:Achieved__P1" xmlDataType="string"/>
    </xmlCellPr>
  </singleXmlCell>
  <singleXmlCell id="795" r="I134" connectionId="0">
    <xmlCellPr id="1" uniqueName="1">
      <xmlPr mapId="43" xpath="/ns1:Root/ns1:Prog/ns1:Achieved__P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O134" connectionId="0">
    <xmlCellPr id="1" uniqueName="1">
      <xmlPr mapId="43" xpath="/ns1:Root/ns1:Prog/ns1:Achieved__P8" xmlDataType="string"/>
    </xmlCellPr>
  </singleXmlCell>
  <singleXmlCell id="802" r="P134" connectionId="0">
    <xmlCellPr id="1" uniqueName="1">
      <xmlPr mapId="43" xpath="/ns1:Root/ns1:Prog/ns1:Achieved__P9" xmlDataType="string"/>
    </xmlCellPr>
  </singleXmlCell>
  <singleXmlCell id="803" r="Q134" connectionId="0">
    <xmlCellPr id="1" uniqueName="1">
      <xmlPr mapId="43" xpath="/ns1:Root/ns1:Prog/ns1:Achieved__P10" xmlDataType="string"/>
    </xmlCellPr>
  </singleXmlCell>
  <singleXmlCell id="804" r="R134" connectionId="0">
    <xmlCellPr id="1" uniqueName="1">
      <xmlPr mapId="43" xpath="/ns1:Root/ns1:Prog/ns1:Achieved__P11" xmlDataType="string"/>
    </xmlCellPr>
  </singleXmlCell>
  <singleXmlCell id="805" r="S134" connectionId="0">
    <xmlCellPr id="1" uniqueName="1">
      <xmlPr mapId="43" xpath="/ns1:Root/ns1:Prog/ns1:Achieved__P12" xmlDataType="string"/>
    </xmlCellPr>
  </singleXmlCell>
  <singleXmlCell id="806" r="K117" connectionId="0">
    <xmlCellPr id="1" uniqueName="1">
      <xmlPr mapId="43" xpath="/ns1:Root/ns1:Prog/ns1:Target_P4_2" xmlDataType="double"/>
    </xmlCellPr>
  </singleXmlCell>
  <singleXmlCell id="807" r="B115" connectionId="0">
    <xmlCellPr id="1" uniqueName="1">
      <xmlPr mapId="43" xpath="/ns1:Root/ns1:P1" xmlDataType="string"/>
    </xmlCellPr>
  </singleXmlCell>
  <singleXmlCell id="808" r="E115" connectionId="0">
    <xmlCellPr id="1" uniqueName="1">
      <xmlPr mapId="43" xpath="/ns1:Root/ns1:P1_Code" xmlDataType="double"/>
    </xmlCellPr>
  </singleXmlCell>
  <singleXmlCell id="809" r="F115" connectionId="0">
    <xmlCellPr id="1" uniqueName="1">
      <xmlPr mapId="43" xpath="/ns1:Root/ns1:P1_Tied" xmlDataType="string"/>
    </xmlCellPr>
  </singleXmlCell>
  <singleXmlCell id="810" r="B117" connectionId="0">
    <xmlCellPr id="1" uniqueName="1">
      <xmlPr mapId="43" xpath="/ns1:Root/ns1:P2" xmlDataType="string"/>
    </xmlCellPr>
  </singleXmlCell>
  <singleXmlCell id="811" r="E117" connectionId="0">
    <xmlCellPr id="1" uniqueName="1">
      <xmlPr mapId="43" xpath="/ns1:Root/ns1:P2_Code" xmlDataType="double"/>
    </xmlCellPr>
  </singleXmlCell>
  <singleXmlCell id="812" r="F117" connectionId="0">
    <xmlCellPr id="1" uniqueName="1">
      <xmlPr mapId="43" xpath="/ns1:Root/ns1:P2_Tied" xmlDataType="string"/>
    </xmlCellPr>
  </singleXmlCell>
  <singleXmlCell id="813" r="B119" connectionId="0">
    <xmlCellPr id="1" uniqueName="1">
      <xmlPr mapId="43" xpath="/ns1:Root/ns1:P3" xmlDataType="string"/>
    </xmlCellPr>
  </singleXmlCell>
  <singleXmlCell id="814" r="E119" connectionId="0">
    <xmlCellPr id="1" uniqueName="1">
      <xmlPr mapId="43" xpath="/ns1:Root/ns1:P3_Code" xmlDataType="double"/>
    </xmlCellPr>
  </singleXmlCell>
  <singleXmlCell id="815" r="F119" connectionId="0">
    <xmlCellPr id="1" uniqueName="1">
      <xmlPr mapId="43" xpath="/ns1:Root/ns1:P3_Tied" xmlDataType="string"/>
    </xmlCellPr>
  </singleXmlCell>
  <singleXmlCell id="816" r="B121" connectionId="0">
    <xmlCellPr id="1" uniqueName="1">
      <xmlPr mapId="43" xpath="/ns1:Root/ns1:P4" xmlDataType="string"/>
    </xmlCellPr>
  </singleXmlCell>
  <singleXmlCell id="817" r="E121" connectionId="0">
    <xmlCellPr id="1" uniqueName="1">
      <xmlPr mapId="43" xpath="/ns1:Root/ns1:P4_Code" xmlDataType="double"/>
    </xmlCellPr>
  </singleXmlCell>
  <singleXmlCell id="818" r="F121" connectionId="0">
    <xmlCellPr id="1" uniqueName="1">
      <xmlPr mapId="43" xpath="/ns1:Root/ns1:P4_Tied" xmlDataType="string"/>
    </xmlCellPr>
  </singleXmlCell>
  <singleXmlCell id="819" r="B123" connectionId="0">
    <xmlCellPr id="1" uniqueName="1">
      <xmlPr mapId="43" xpath="/ns1:Root/ns1:P5" xmlDataType="string"/>
    </xmlCellPr>
  </singleXmlCell>
  <singleXmlCell id="820" r="E123" connectionId="0">
    <xmlCellPr id="1" uniqueName="1">
      <xmlPr mapId="43" xpath="/ns1:Root/ns1:P5_Code" xmlDataType="double"/>
    </xmlCellPr>
  </singleXmlCell>
  <singleXmlCell id="821" r="F123" connectionId="0">
    <xmlCellPr id="1" uniqueName="1">
      <xmlPr mapId="43" xpath="/ns1:Root/ns1:P5_Tied" xmlDataType="string"/>
    </xmlCellPr>
  </singleXmlCell>
  <singleXmlCell id="822" r="B125" connectionId="0">
    <xmlCellPr id="1" uniqueName="1">
      <xmlPr mapId="43" xpath="/ns1:Root/ns1:P6" xmlDataType="string"/>
    </xmlCellPr>
  </singleXmlCell>
  <singleXmlCell id="823" r="E125" connectionId="0">
    <xmlCellPr id="1" uniqueName="1">
      <xmlPr mapId="43" xpath="/ns1:Root/ns1:P6_Code" xmlDataType="double"/>
    </xmlCellPr>
  </singleXmlCell>
  <singleXmlCell id="824" r="F125"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28" r="B129" connectionId="0">
    <xmlCellPr id="1" uniqueName="1">
      <xmlPr mapId="43" xpath="/ns1:Root/ns1:P8" xmlDataType="string"/>
    </xmlCellPr>
  </singleXmlCell>
  <singleXmlCell id="829" r="E129" connectionId="0">
    <xmlCellPr id="1" uniqueName="1">
      <xmlPr mapId="43" xpath="/ns1:Root/ns1:P8_Code" xmlDataType="double"/>
    </xmlCellPr>
  </singleXmlCell>
  <singleXmlCell id="830" r="F129" connectionId="0">
    <xmlCellPr id="1" uniqueName="1">
      <xmlPr mapId="43" xpath="/ns1:Root/ns1:P8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5" connectionId="0">
    <xmlCellPr id="1" uniqueName="1">
      <xmlPr mapId="43" xpath="/ns1:Root/ns1:Prog/ns1:Target_P2_1" xmlDataType="double"/>
    </xmlCellPr>
  </singleXmlCell>
  <singleXmlCell id="569" r="J115" connectionId="0">
    <xmlCellPr id="1" uniqueName="1">
      <xmlPr mapId="43" xpath="/ns1:Root/ns1:Prog/ns1:Target_P3_1" xmlDataType="double"/>
    </xmlCellPr>
  </singleXmlCell>
  <singleXmlCell id="570" r="K115"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499" t="str">
        <f>+'Grant Detail'!B3:J3</f>
        <v>Dashboard:  Georgia - TB</v>
      </c>
      <c r="C2" s="499"/>
      <c r="D2" s="499"/>
      <c r="E2" s="499"/>
      <c r="F2" s="499"/>
      <c r="G2" s="499"/>
      <c r="H2" s="499"/>
      <c r="I2" s="499"/>
      <c r="J2" s="499"/>
      <c r="K2" s="499"/>
      <c r="L2" s="499"/>
      <c r="M2" s="1"/>
      <c r="N2" s="1"/>
      <c r="O2" s="1"/>
    </row>
    <row r="4" spans="2:15" ht="21">
      <c r="B4" s="500" t="str">
        <f>+IF('Data Entry'!G6="Please Select", "",'Data Entry'!G6) &amp;"  "&amp;+IF('Data Entry'!G8="Please Select", "", 'Data Entry'!G8&amp;",  ")&amp;+IF('Data Entry'!I8="Please Select","",'Data Entry'!I8)</f>
        <v>TB  NFM,  Phase 2</v>
      </c>
      <c r="C4" s="500"/>
      <c r="D4" s="500"/>
      <c r="E4" s="501"/>
      <c r="F4" s="233"/>
      <c r="G4" s="233"/>
      <c r="H4" s="355" t="str">
        <f>+'Data Entry'!B6&amp;" "&amp;+'Data Entry'!C6</f>
        <v>Grant No.: GEO-T-NCDC</v>
      </c>
      <c r="I4" s="355"/>
      <c r="J4" s="232"/>
      <c r="K4" s="233"/>
      <c r="L4" s="233"/>
    </row>
    <row r="22" spans="2:12" ht="26.25">
      <c r="B22" s="502" t="s">
        <v>408</v>
      </c>
      <c r="C22" s="503"/>
      <c r="D22" s="503"/>
      <c r="E22" s="503"/>
      <c r="F22" s="503"/>
      <c r="G22" s="503"/>
      <c r="H22" s="503"/>
      <c r="I22" s="503"/>
      <c r="J22" s="503"/>
      <c r="K22" s="503"/>
      <c r="L22" s="50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14" t="str">
        <f>'Grant Detail'!B3:J3</f>
        <v>Dashboard:  Georgia - TB</v>
      </c>
      <c r="C3" s="914"/>
      <c r="D3" s="914"/>
      <c r="E3" s="914"/>
      <c r="F3" s="914"/>
      <c r="G3" s="914"/>
      <c r="H3" s="914"/>
      <c r="I3" s="1"/>
    </row>
    <row r="6" spans="2:15" ht="18.75">
      <c r="B6" s="902" t="s">
        <v>320</v>
      </c>
      <c r="C6" s="902"/>
      <c r="D6" s="902"/>
      <c r="E6" s="902"/>
      <c r="F6" s="902"/>
      <c r="G6" s="902"/>
      <c r="H6" s="902"/>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6" t="s">
        <v>374</v>
      </c>
      <c r="J9" s="86" t="s">
        <v>374</v>
      </c>
      <c r="M9" s="19"/>
      <c r="N9" s="19"/>
      <c r="O9" s="19"/>
    </row>
    <row r="10" spans="2:15">
      <c r="B10" s="57" t="s">
        <v>28</v>
      </c>
      <c r="C10" s="57" t="s">
        <v>19</v>
      </c>
      <c r="D10" s="57" t="s">
        <v>17</v>
      </c>
      <c r="E10" s="57" t="s">
        <v>18</v>
      </c>
      <c r="F10" s="57" t="s">
        <v>106</v>
      </c>
      <c r="G10" s="424" t="s">
        <v>44</v>
      </c>
      <c r="H10" s="60" t="s">
        <v>49</v>
      </c>
      <c r="I10" s="27" t="s">
        <v>300</v>
      </c>
      <c r="J10" s="86" t="s">
        <v>131</v>
      </c>
      <c r="M10" s="19"/>
      <c r="N10" s="19"/>
      <c r="O10" s="19"/>
    </row>
    <row r="11" spans="2:15">
      <c r="B11" s="57" t="s">
        <v>34</v>
      </c>
      <c r="C11" s="57" t="s">
        <v>14</v>
      </c>
      <c r="D11" s="57" t="s">
        <v>20</v>
      </c>
      <c r="E11" s="57" t="s">
        <v>16</v>
      </c>
      <c r="F11" s="57" t="s">
        <v>107</v>
      </c>
      <c r="G11" s="424" t="s">
        <v>45</v>
      </c>
      <c r="H11" s="60" t="s">
        <v>50</v>
      </c>
      <c r="I11" s="27" t="s">
        <v>301</v>
      </c>
      <c r="J11" s="86" t="s">
        <v>132</v>
      </c>
      <c r="M11" s="19"/>
      <c r="N11" s="19"/>
      <c r="O11" s="19"/>
    </row>
    <row r="12" spans="2:15">
      <c r="B12" s="57" t="s">
        <v>35</v>
      </c>
      <c r="D12" s="57" t="s">
        <v>23</v>
      </c>
      <c r="E12" s="57" t="s">
        <v>24</v>
      </c>
      <c r="F12" s="57" t="s">
        <v>108</v>
      </c>
      <c r="G12" s="424" t="s">
        <v>46</v>
      </c>
      <c r="H12" s="60" t="s">
        <v>51</v>
      </c>
      <c r="I12" s="27" t="s">
        <v>302</v>
      </c>
      <c r="J12" s="86" t="s">
        <v>133</v>
      </c>
      <c r="M12" s="199"/>
      <c r="N12" s="19"/>
      <c r="O12" s="19"/>
    </row>
    <row r="13" spans="2:15">
      <c r="B13" s="57" t="s">
        <v>84</v>
      </c>
      <c r="D13" s="57" t="s">
        <v>25</v>
      </c>
      <c r="E13" s="58"/>
      <c r="F13" s="57" t="s">
        <v>109</v>
      </c>
      <c r="G13" s="424" t="s">
        <v>47</v>
      </c>
      <c r="H13" s="60" t="s">
        <v>52</v>
      </c>
      <c r="I13" s="27" t="s">
        <v>303</v>
      </c>
      <c r="J13" s="86" t="s">
        <v>134</v>
      </c>
      <c r="M13" s="199"/>
      <c r="N13" s="19"/>
      <c r="O13" s="19"/>
    </row>
    <row r="14" spans="2:15">
      <c r="B14" s="57" t="s">
        <v>85</v>
      </c>
      <c r="D14" s="57" t="s">
        <v>38</v>
      </c>
      <c r="F14" s="57" t="s">
        <v>121</v>
      </c>
      <c r="G14" s="42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12" activePane="bottomLeft" state="frozen"/>
      <selection activeCell="E22" sqref="E22"/>
      <selection pane="bottomLeft" activeCell="E38" sqref="E38:I3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95" t="str">
        <f>+"Dashboard: "&amp;" "&amp;+IF('Data Entry'!C4="Please Select","",'Data Entry'!C4&amp;" - ")&amp;+IF('Data Entry'!G6="Please Select","",'Data Entry'!G6)</f>
        <v>Dashboard:  Georgia - TB</v>
      </c>
      <c r="C2" s="595"/>
      <c r="D2" s="595"/>
      <c r="E2" s="595"/>
      <c r="F2" s="595"/>
      <c r="G2" s="595"/>
      <c r="H2" s="595"/>
      <c r="I2" s="595"/>
      <c r="J2" s="595"/>
      <c r="K2" s="595"/>
      <c r="L2" s="595"/>
      <c r="M2" s="595"/>
    </row>
    <row r="3" spans="1:15" ht="15.75" customHeight="1">
      <c r="A3" s="3"/>
      <c r="B3" s="224"/>
      <c r="C3" s="224"/>
      <c r="D3" s="224"/>
      <c r="E3" s="224"/>
      <c r="F3" s="224"/>
      <c r="G3" s="224"/>
      <c r="H3" s="224"/>
      <c r="I3" s="224"/>
      <c r="J3" s="224"/>
      <c r="K3" s="225"/>
      <c r="L3" s="225"/>
      <c r="M3" s="3"/>
    </row>
    <row r="5" spans="1:15" ht="23.25">
      <c r="B5" s="570" t="s">
        <v>284</v>
      </c>
      <c r="C5" s="570"/>
      <c r="D5" s="570"/>
      <c r="E5" s="570"/>
      <c r="F5" s="570"/>
      <c r="G5" s="570"/>
      <c r="H5" s="570"/>
      <c r="I5" s="570"/>
      <c r="J5" s="570"/>
      <c r="K5" s="570"/>
      <c r="L5" s="570"/>
      <c r="M5" s="570"/>
      <c r="N5" s="570"/>
      <c r="O5" s="570"/>
    </row>
    <row r="7" spans="1:15" ht="21">
      <c r="B7" s="596" t="s">
        <v>273</v>
      </c>
      <c r="C7" s="597"/>
      <c r="D7" s="598"/>
      <c r="E7" s="596" t="s">
        <v>274</v>
      </c>
      <c r="F7" s="597"/>
      <c r="G7" s="597"/>
      <c r="H7" s="597"/>
      <c r="I7" s="598"/>
      <c r="J7" s="596" t="s">
        <v>275</v>
      </c>
      <c r="K7" s="597"/>
      <c r="L7" s="598"/>
      <c r="M7" s="596" t="s">
        <v>348</v>
      </c>
      <c r="N7" s="597"/>
      <c r="O7" s="598"/>
    </row>
    <row r="8" spans="1:15" ht="92.25" customHeight="1">
      <c r="B8" s="524" t="str">
        <f>+'Data Entry'!B27</f>
        <v>F1: Budget and disbursements by Global Fund</v>
      </c>
      <c r="C8" s="607"/>
      <c r="D8" s="608"/>
      <c r="E8" s="599" t="s">
        <v>395</v>
      </c>
      <c r="F8" s="600"/>
      <c r="G8" s="600"/>
      <c r="H8" s="600"/>
      <c r="I8" s="601"/>
      <c r="J8" s="510" t="s">
        <v>349</v>
      </c>
      <c r="K8" s="511"/>
      <c r="L8" s="512"/>
      <c r="M8" s="510" t="s">
        <v>396</v>
      </c>
      <c r="N8" s="511"/>
      <c r="O8" s="512"/>
    </row>
    <row r="9" spans="1:15" ht="117.75" customHeight="1">
      <c r="B9" s="524" t="str">
        <f>+'Data Entry'!B36</f>
        <v>F2: Budget and actual expenditures by Grant Objective</v>
      </c>
      <c r="C9" s="607"/>
      <c r="D9" s="608"/>
      <c r="E9" s="527" t="s">
        <v>357</v>
      </c>
      <c r="F9" s="528"/>
      <c r="G9" s="528"/>
      <c r="H9" s="528"/>
      <c r="I9" s="529"/>
      <c r="J9" s="510" t="s">
        <v>351</v>
      </c>
      <c r="K9" s="511"/>
      <c r="L9" s="512"/>
      <c r="M9" s="510" t="s">
        <v>396</v>
      </c>
      <c r="N9" s="511"/>
      <c r="O9" s="512"/>
    </row>
    <row r="10" spans="1:15" ht="152.25" customHeight="1">
      <c r="B10" s="602" t="str">
        <f>+'Data Entry'!B46</f>
        <v>F3: Disbursements and expenditures</v>
      </c>
      <c r="C10" s="605"/>
      <c r="D10" s="606"/>
      <c r="E10" s="527" t="s">
        <v>397</v>
      </c>
      <c r="F10" s="528"/>
      <c r="G10" s="528"/>
      <c r="H10" s="528"/>
      <c r="I10" s="529"/>
      <c r="J10" s="510" t="s">
        <v>358</v>
      </c>
      <c r="K10" s="511"/>
      <c r="L10" s="512"/>
      <c r="M10" s="510" t="s">
        <v>350</v>
      </c>
      <c r="N10" s="511"/>
      <c r="O10" s="512"/>
    </row>
    <row r="11" spans="1:15" ht="279.75" customHeight="1">
      <c r="B11" s="602" t="str">
        <f>+'Data Entry'!B55</f>
        <v>F4: Latest PR reporting and disbursement cycle</v>
      </c>
      <c r="C11" s="603"/>
      <c r="D11" s="604"/>
      <c r="E11" s="527" t="s">
        <v>409</v>
      </c>
      <c r="F11" s="528"/>
      <c r="G11" s="528"/>
      <c r="H11" s="528"/>
      <c r="I11" s="529"/>
      <c r="J11" s="510" t="s">
        <v>359</v>
      </c>
      <c r="K11" s="511"/>
      <c r="L11" s="512"/>
      <c r="M11" s="510" t="s">
        <v>278</v>
      </c>
      <c r="N11" s="511"/>
      <c r="O11" s="512"/>
    </row>
    <row r="12" spans="1:15" s="19" customFormat="1">
      <c r="B12" s="566"/>
      <c r="C12" s="566"/>
      <c r="D12" s="566"/>
      <c r="E12" s="594"/>
      <c r="F12" s="594"/>
      <c r="G12" s="594"/>
      <c r="H12" s="594"/>
      <c r="I12" s="594"/>
      <c r="J12" s="594"/>
      <c r="K12" s="594"/>
      <c r="L12" s="594"/>
      <c r="M12" s="594"/>
      <c r="N12" s="594"/>
      <c r="O12" s="594"/>
    </row>
    <row r="13" spans="1:15" s="19" customFormat="1">
      <c r="B13" s="592"/>
      <c r="C13" s="592"/>
      <c r="D13" s="592"/>
      <c r="E13" s="593"/>
      <c r="F13" s="593"/>
      <c r="G13" s="593"/>
      <c r="H13" s="593"/>
      <c r="I13" s="593"/>
      <c r="J13" s="593"/>
      <c r="K13" s="593"/>
      <c r="L13" s="593"/>
      <c r="M13" s="593"/>
      <c r="N13" s="593"/>
      <c r="O13" s="593"/>
    </row>
    <row r="14" spans="1:15" s="19" customFormat="1">
      <c r="B14" s="592"/>
      <c r="C14" s="592"/>
      <c r="D14" s="592"/>
      <c r="E14" s="593"/>
      <c r="F14" s="593"/>
      <c r="G14" s="593"/>
      <c r="H14" s="593"/>
      <c r="I14" s="593"/>
      <c r="J14" s="593"/>
      <c r="K14" s="593"/>
      <c r="L14" s="593"/>
      <c r="M14" s="593"/>
      <c r="N14" s="593"/>
      <c r="O14" s="593"/>
    </row>
    <row r="15" spans="1:15" s="19" customFormat="1">
      <c r="B15" s="592"/>
      <c r="C15" s="592"/>
      <c r="D15" s="592"/>
      <c r="E15" s="593"/>
      <c r="F15" s="593"/>
      <c r="G15" s="593"/>
      <c r="H15" s="593"/>
      <c r="I15" s="593"/>
      <c r="J15" s="593"/>
      <c r="K15" s="593"/>
      <c r="L15" s="593"/>
      <c r="M15" s="593"/>
      <c r="N15" s="593"/>
      <c r="O15" s="593"/>
    </row>
    <row r="16" spans="1:15" ht="23.25">
      <c r="B16" s="570" t="s">
        <v>285</v>
      </c>
      <c r="C16" s="570"/>
      <c r="D16" s="570"/>
      <c r="E16" s="570"/>
      <c r="F16" s="570"/>
      <c r="G16" s="570"/>
      <c r="H16" s="570"/>
      <c r="I16" s="570"/>
      <c r="J16" s="570"/>
      <c r="K16" s="570"/>
      <c r="L16" s="570"/>
      <c r="M16" s="570"/>
      <c r="N16" s="570"/>
      <c r="O16" s="570"/>
    </row>
    <row r="18" spans="1:15" ht="21">
      <c r="B18" s="589" t="s">
        <v>273</v>
      </c>
      <c r="C18" s="590"/>
      <c r="D18" s="591"/>
      <c r="E18" s="589" t="s">
        <v>274</v>
      </c>
      <c r="F18" s="590"/>
      <c r="G18" s="590"/>
      <c r="H18" s="590"/>
      <c r="I18" s="591"/>
      <c r="J18" s="589" t="s">
        <v>275</v>
      </c>
      <c r="K18" s="590"/>
      <c r="L18" s="591"/>
      <c r="M18" s="589" t="s">
        <v>276</v>
      </c>
      <c r="N18" s="590"/>
      <c r="O18" s="591"/>
    </row>
    <row r="19" spans="1:15" ht="114" customHeight="1">
      <c r="B19" s="524" t="str">
        <f>+'Data Entry'!B66</f>
        <v>M1: Status of Conditions Precedent (CPs) and Time Bound Actions (TBAs)</v>
      </c>
      <c r="C19" s="525"/>
      <c r="D19" s="526"/>
      <c r="E19" s="527" t="s">
        <v>283</v>
      </c>
      <c r="F19" s="528"/>
      <c r="G19" s="528"/>
      <c r="H19" s="528"/>
      <c r="I19" s="529"/>
      <c r="J19" s="510" t="s">
        <v>352</v>
      </c>
      <c r="K19" s="511"/>
      <c r="L19" s="512"/>
      <c r="M19" s="510" t="s">
        <v>353</v>
      </c>
      <c r="N19" s="511"/>
      <c r="O19" s="512"/>
    </row>
    <row r="20" spans="1:15" ht="102.75" customHeight="1">
      <c r="B20" s="524" t="str">
        <f>+'Data Entry'!B73</f>
        <v>M2: Status of key PR management positions</v>
      </c>
      <c r="C20" s="525"/>
      <c r="D20" s="526"/>
      <c r="E20" s="527" t="s">
        <v>398</v>
      </c>
      <c r="F20" s="528"/>
      <c r="G20" s="528"/>
      <c r="H20" s="528"/>
      <c r="I20" s="529"/>
      <c r="J20" s="510" t="s">
        <v>280</v>
      </c>
      <c r="K20" s="511"/>
      <c r="L20" s="512"/>
      <c r="M20" s="510" t="s">
        <v>279</v>
      </c>
      <c r="N20" s="511"/>
      <c r="O20" s="512"/>
    </row>
    <row r="21" spans="1:15" ht="111.75" customHeight="1">
      <c r="B21" s="524" t="str">
        <f>+'Data Entry'!B78</f>
        <v xml:space="preserve">M3: Contractual arrangements (SRs) </v>
      </c>
      <c r="C21" s="525"/>
      <c r="D21" s="526"/>
      <c r="E21" s="530" t="s">
        <v>0</v>
      </c>
      <c r="F21" s="528"/>
      <c r="G21" s="528"/>
      <c r="H21" s="528"/>
      <c r="I21" s="529"/>
      <c r="J21" s="510" t="s">
        <v>354</v>
      </c>
      <c r="K21" s="511"/>
      <c r="L21" s="512"/>
      <c r="M21" s="510" t="s">
        <v>355</v>
      </c>
      <c r="N21" s="511"/>
      <c r="O21" s="512"/>
    </row>
    <row r="22" spans="1:15" ht="74.25" customHeight="1">
      <c r="B22" s="524" t="str">
        <f>+'Data Entry'!B83</f>
        <v>M4: Number of complete reports received on time</v>
      </c>
      <c r="C22" s="525"/>
      <c r="D22" s="526"/>
      <c r="E22" s="530" t="s">
        <v>410</v>
      </c>
      <c r="F22" s="537"/>
      <c r="G22" s="537"/>
      <c r="H22" s="537"/>
      <c r="I22" s="538"/>
      <c r="J22" s="510" t="s">
        <v>360</v>
      </c>
      <c r="K22" s="511"/>
      <c r="L22" s="512"/>
      <c r="M22" s="510" t="s">
        <v>281</v>
      </c>
      <c r="N22" s="511"/>
      <c r="O22" s="512"/>
    </row>
    <row r="23" spans="1:15" ht="207.75" customHeight="1">
      <c r="B23" s="531" t="str">
        <f>+'Data Entry'!B89</f>
        <v>M5: Budget and Procurement of health products, health equipment, medicines and pharmaceuticals</v>
      </c>
      <c r="C23" s="532"/>
      <c r="D23" s="533"/>
      <c r="E23" s="548" t="s">
        <v>361</v>
      </c>
      <c r="F23" s="549"/>
      <c r="G23" s="549"/>
      <c r="H23" s="549"/>
      <c r="I23" s="550"/>
      <c r="J23" s="542" t="s">
        <v>277</v>
      </c>
      <c r="K23" s="543"/>
      <c r="L23" s="544"/>
      <c r="M23" s="542" t="s">
        <v>282</v>
      </c>
      <c r="N23" s="543"/>
      <c r="O23" s="544"/>
    </row>
    <row r="24" spans="1:15" ht="114.75" customHeight="1">
      <c r="B24" s="534"/>
      <c r="C24" s="535"/>
      <c r="D24" s="536"/>
      <c r="E24" s="551" t="s">
        <v>356</v>
      </c>
      <c r="F24" s="552"/>
      <c r="G24" s="552"/>
      <c r="H24" s="552"/>
      <c r="I24" s="553"/>
      <c r="J24" s="545"/>
      <c r="K24" s="546"/>
      <c r="L24" s="547"/>
      <c r="M24" s="545"/>
      <c r="N24" s="546"/>
      <c r="O24" s="547"/>
    </row>
    <row r="25" spans="1:15" ht="409.5" customHeight="1">
      <c r="B25" s="524" t="str">
        <f>+'Data Entry'!B102</f>
        <v>M6: Difference between current and safety stock</v>
      </c>
      <c r="C25" s="525"/>
      <c r="D25" s="526"/>
      <c r="E25" s="554" t="s">
        <v>411</v>
      </c>
      <c r="F25" s="555"/>
      <c r="G25" s="555"/>
      <c r="H25" s="555"/>
      <c r="I25" s="556"/>
      <c r="J25" s="560" t="s">
        <v>362</v>
      </c>
      <c r="K25" s="561"/>
      <c r="L25" s="562"/>
      <c r="M25" s="557" t="s">
        <v>367</v>
      </c>
      <c r="N25" s="558"/>
      <c r="O25" s="559"/>
    </row>
    <row r="29" spans="1:15" ht="18.75">
      <c r="B29" s="258"/>
    </row>
    <row r="30" spans="1:15" ht="23.25">
      <c r="B30" s="570" t="s">
        <v>298</v>
      </c>
      <c r="C30" s="570"/>
      <c r="D30" s="570"/>
      <c r="E30" s="570"/>
      <c r="F30" s="570"/>
      <c r="G30" s="570"/>
      <c r="H30" s="570"/>
      <c r="I30" s="570"/>
      <c r="J30" s="570"/>
      <c r="K30" s="570"/>
      <c r="L30" s="570"/>
      <c r="M30" s="570"/>
      <c r="N30" s="570"/>
      <c r="O30" s="570"/>
    </row>
    <row r="32" spans="1:15" ht="28.5" customHeight="1">
      <c r="A32" s="249"/>
      <c r="B32" s="571" t="s">
        <v>346</v>
      </c>
      <c r="C32" s="572"/>
      <c r="D32" s="573"/>
      <c r="E32" s="574" t="s">
        <v>304</v>
      </c>
      <c r="F32" s="575"/>
      <c r="G32" s="575"/>
      <c r="H32" s="575"/>
      <c r="I32" s="576"/>
      <c r="J32" s="574" t="s">
        <v>275</v>
      </c>
      <c r="K32" s="575"/>
      <c r="L32" s="576"/>
      <c r="M32" s="574" t="s">
        <v>276</v>
      </c>
      <c r="N32" s="575"/>
      <c r="O32" s="576"/>
    </row>
    <row r="33" spans="1:15" ht="47.25" customHeight="1">
      <c r="A33" s="250"/>
      <c r="B33" s="513"/>
      <c r="C33" s="514"/>
      <c r="D33" s="515"/>
      <c r="E33" s="504"/>
      <c r="F33" s="505"/>
      <c r="G33" s="505"/>
      <c r="H33" s="505"/>
      <c r="I33" s="506"/>
      <c r="J33" s="516"/>
      <c r="K33" s="517"/>
      <c r="L33" s="518"/>
      <c r="M33" s="516"/>
      <c r="N33" s="517"/>
      <c r="O33" s="518"/>
    </row>
    <row r="34" spans="1:15" ht="59.25" customHeight="1">
      <c r="A34" s="250"/>
      <c r="B34" s="513"/>
      <c r="C34" s="514"/>
      <c r="D34" s="515"/>
      <c r="E34" s="504"/>
      <c r="F34" s="505"/>
      <c r="G34" s="505"/>
      <c r="H34" s="505"/>
      <c r="I34" s="506"/>
      <c r="J34" s="516"/>
      <c r="K34" s="517"/>
      <c r="L34" s="518"/>
      <c r="M34" s="516"/>
      <c r="N34" s="517"/>
      <c r="O34" s="518"/>
    </row>
    <row r="35" spans="1:15" ht="57.75" customHeight="1">
      <c r="A35" s="250"/>
      <c r="B35" s="513"/>
      <c r="C35" s="514"/>
      <c r="D35" s="515"/>
      <c r="E35" s="516"/>
      <c r="F35" s="517"/>
      <c r="G35" s="517"/>
      <c r="H35" s="517"/>
      <c r="I35" s="518"/>
      <c r="J35" s="516"/>
      <c r="K35" s="517"/>
      <c r="L35" s="518"/>
      <c r="M35" s="516"/>
      <c r="N35" s="517"/>
      <c r="O35" s="518"/>
    </row>
    <row r="36" spans="1:15" ht="9.75" customHeight="1">
      <c r="A36" s="250"/>
      <c r="B36" s="519"/>
      <c r="C36" s="520"/>
      <c r="D36" s="521"/>
      <c r="E36" s="251"/>
      <c r="F36" s="252"/>
      <c r="G36" s="252"/>
      <c r="H36" s="252"/>
      <c r="I36" s="253"/>
      <c r="J36" s="270"/>
      <c r="K36" s="271"/>
      <c r="L36" s="272"/>
      <c r="M36" s="270"/>
      <c r="N36" s="271"/>
      <c r="O36" s="272"/>
    </row>
    <row r="37" spans="1:15" ht="46.5" customHeight="1">
      <c r="A37" s="250"/>
      <c r="B37" s="513"/>
      <c r="C37" s="514"/>
      <c r="D37" s="515"/>
      <c r="E37" s="516"/>
      <c r="F37" s="522"/>
      <c r="G37" s="522"/>
      <c r="H37" s="522"/>
      <c r="I37" s="523"/>
      <c r="J37" s="265"/>
      <c r="K37" s="266"/>
      <c r="L37" s="267"/>
      <c r="M37" s="265"/>
      <c r="N37" s="266"/>
      <c r="O37" s="267"/>
    </row>
    <row r="38" spans="1:15" ht="69" customHeight="1">
      <c r="A38" s="250"/>
      <c r="B38" s="513"/>
      <c r="C38" s="514"/>
      <c r="D38" s="515"/>
      <c r="E38" s="504"/>
      <c r="F38" s="505"/>
      <c r="G38" s="505"/>
      <c r="H38" s="505"/>
      <c r="I38" s="506"/>
      <c r="J38" s="516"/>
      <c r="K38" s="517"/>
      <c r="L38" s="518"/>
      <c r="M38" s="516"/>
      <c r="N38" s="517"/>
      <c r="O38" s="518"/>
    </row>
    <row r="39" spans="1:15" ht="64.5" customHeight="1">
      <c r="A39" s="250"/>
      <c r="B39" s="513"/>
      <c r="C39" s="514"/>
      <c r="D39" s="515"/>
      <c r="E39" s="516"/>
      <c r="F39" s="517"/>
      <c r="G39" s="517"/>
      <c r="H39" s="517"/>
      <c r="I39" s="518"/>
      <c r="J39" s="265"/>
      <c r="K39" s="266"/>
      <c r="L39" s="267"/>
      <c r="M39" s="265"/>
      <c r="N39" s="266"/>
      <c r="O39" s="267"/>
    </row>
    <row r="40" spans="1:15" ht="45" customHeight="1">
      <c r="A40" s="250"/>
      <c r="B40" s="563"/>
      <c r="C40" s="564"/>
      <c r="D40" s="565"/>
      <c r="E40" s="586"/>
      <c r="F40" s="587"/>
      <c r="G40" s="587"/>
      <c r="H40" s="587"/>
      <c r="I40" s="588"/>
      <c r="J40" s="516"/>
      <c r="K40" s="517"/>
      <c r="L40" s="518"/>
      <c r="M40" s="516"/>
      <c r="N40" s="517"/>
      <c r="O40" s="518"/>
    </row>
    <row r="41" spans="1:15" ht="62.25" customHeight="1">
      <c r="A41" s="250"/>
      <c r="B41" s="507"/>
      <c r="C41" s="508"/>
      <c r="D41" s="509"/>
      <c r="E41" s="504"/>
      <c r="F41" s="505"/>
      <c r="G41" s="505"/>
      <c r="H41" s="505"/>
      <c r="I41" s="506"/>
      <c r="J41" s="516"/>
      <c r="K41" s="517"/>
      <c r="L41" s="518"/>
      <c r="M41" s="516"/>
      <c r="N41" s="517"/>
      <c r="O41" s="518"/>
    </row>
    <row r="42" spans="1:15" ht="84" customHeight="1">
      <c r="A42" s="250"/>
      <c r="B42" s="507"/>
      <c r="C42" s="508"/>
      <c r="D42" s="509"/>
      <c r="E42" s="516"/>
      <c r="F42" s="517"/>
      <c r="G42" s="517"/>
      <c r="H42" s="517"/>
      <c r="I42" s="518"/>
      <c r="J42" s="265"/>
      <c r="K42" s="266"/>
      <c r="L42" s="267"/>
      <c r="M42" s="265"/>
      <c r="N42" s="266"/>
      <c r="O42" s="267"/>
    </row>
    <row r="43" spans="1:15" ht="45" customHeight="1">
      <c r="A43" s="250"/>
      <c r="B43" s="507"/>
      <c r="C43" s="508"/>
      <c r="D43" s="509"/>
      <c r="E43" s="504"/>
      <c r="F43" s="505"/>
      <c r="G43" s="505"/>
      <c r="H43" s="505"/>
      <c r="I43" s="506"/>
      <c r="J43" s="516"/>
      <c r="K43" s="517"/>
      <c r="L43" s="518"/>
      <c r="M43" s="265"/>
      <c r="N43" s="266"/>
      <c r="O43" s="267"/>
    </row>
    <row r="44" spans="1:15" ht="64.5" customHeight="1">
      <c r="A44" s="250"/>
      <c r="B44" s="563"/>
      <c r="C44" s="564"/>
      <c r="D44" s="565"/>
      <c r="E44" s="504"/>
      <c r="F44" s="505"/>
      <c r="G44" s="505"/>
      <c r="H44" s="505"/>
      <c r="I44" s="506"/>
      <c r="J44" s="516"/>
      <c r="K44" s="517"/>
      <c r="L44" s="518"/>
      <c r="M44" s="265"/>
      <c r="N44" s="266"/>
      <c r="O44" s="267"/>
    </row>
    <row r="45" spans="1:15" ht="49.5" customHeight="1">
      <c r="B45" s="563"/>
      <c r="C45" s="564"/>
      <c r="D45" s="565"/>
      <c r="E45" s="504"/>
      <c r="F45" s="505"/>
      <c r="G45" s="505"/>
      <c r="H45" s="505"/>
      <c r="I45" s="506"/>
      <c r="J45" s="516"/>
      <c r="K45" s="517"/>
      <c r="L45" s="518"/>
      <c r="M45" s="265"/>
      <c r="N45" s="266"/>
      <c r="O45" s="267"/>
    </row>
    <row r="46" spans="1:15" ht="30" customHeight="1">
      <c r="B46" s="539"/>
      <c r="C46" s="540"/>
      <c r="D46" s="541"/>
      <c r="E46" s="254"/>
      <c r="F46" s="255"/>
      <c r="G46" s="255"/>
      <c r="H46" s="255"/>
      <c r="I46" s="256"/>
      <c r="J46" s="265"/>
      <c r="K46" s="266"/>
      <c r="L46" s="267"/>
      <c r="M46" s="265"/>
      <c r="N46" s="266"/>
      <c r="O46" s="267"/>
    </row>
    <row r="47" spans="1:15" ht="44.25" customHeight="1">
      <c r="B47" s="580" t="s">
        <v>299</v>
      </c>
      <c r="C47" s="581"/>
      <c r="D47" s="582"/>
      <c r="E47" s="583" t="s">
        <v>274</v>
      </c>
      <c r="F47" s="584"/>
      <c r="G47" s="584"/>
      <c r="H47" s="584"/>
      <c r="I47" s="585"/>
      <c r="J47" s="583" t="s">
        <v>275</v>
      </c>
      <c r="K47" s="584"/>
      <c r="L47" s="585"/>
      <c r="M47" s="583" t="s">
        <v>276</v>
      </c>
      <c r="N47" s="584"/>
      <c r="O47" s="585"/>
    </row>
    <row r="48" spans="1:15" ht="33.75" customHeight="1">
      <c r="B48" s="246"/>
      <c r="C48" s="247"/>
      <c r="D48" s="247"/>
      <c r="E48" s="240"/>
      <c r="F48" s="242"/>
      <c r="G48" s="242"/>
      <c r="H48" s="242"/>
      <c r="I48" s="242"/>
      <c r="J48" s="240"/>
      <c r="K48" s="240"/>
      <c r="L48" s="241"/>
      <c r="M48" s="239"/>
      <c r="N48" s="240"/>
      <c r="O48" s="241"/>
    </row>
    <row r="49" spans="2:15" ht="15.75" customHeight="1">
      <c r="B49" s="577" t="s">
        <v>296</v>
      </c>
      <c r="C49" s="578"/>
      <c r="D49" s="578"/>
      <c r="E49" s="578"/>
      <c r="F49" s="578"/>
      <c r="G49" s="578"/>
      <c r="H49" s="578"/>
      <c r="I49" s="578"/>
      <c r="J49" s="578"/>
      <c r="K49" s="578"/>
      <c r="L49" s="579"/>
      <c r="M49" s="567" t="s">
        <v>286</v>
      </c>
      <c r="N49" s="568"/>
      <c r="O49" s="569"/>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9"/>
  <sheetViews>
    <sheetView showGridLines="0" tabSelected="1" workbookViewId="0">
      <selection activeCell="G32" sqref="C32:G32"/>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36" t="s">
        <v>375</v>
      </c>
      <c r="C2" s="636"/>
      <c r="D2" s="636"/>
      <c r="E2" s="636"/>
      <c r="F2" s="636"/>
      <c r="G2" s="636"/>
      <c r="H2" s="636"/>
      <c r="I2" s="636"/>
      <c r="J2" s="636"/>
      <c r="K2" s="289"/>
      <c r="L2" s="289"/>
      <c r="M2" s="289"/>
    </row>
    <row r="3" spans="1:13" ht="4.5" customHeight="1">
      <c r="A3" s="3"/>
      <c r="B3" s="3"/>
      <c r="C3" s="3"/>
      <c r="D3" s="3"/>
      <c r="E3" s="3"/>
      <c r="F3" s="3"/>
      <c r="G3" s="3"/>
      <c r="H3" s="3"/>
      <c r="I3" s="3"/>
      <c r="J3" s="3"/>
      <c r="K3" s="3"/>
      <c r="L3" s="3"/>
      <c r="M3" s="3"/>
    </row>
    <row r="4" spans="1:13">
      <c r="A4" s="3"/>
      <c r="B4" s="287" t="s">
        <v>26</v>
      </c>
      <c r="C4" s="637" t="s">
        <v>177</v>
      </c>
      <c r="D4" s="638"/>
      <c r="E4" s="609" t="s">
        <v>12</v>
      </c>
      <c r="F4" s="609"/>
      <c r="G4" s="639" t="s">
        <v>428</v>
      </c>
      <c r="H4" s="640"/>
      <c r="I4" s="640"/>
      <c r="J4" s="641"/>
      <c r="K4" s="3"/>
      <c r="L4" s="3"/>
      <c r="M4" s="3"/>
    </row>
    <row r="5" spans="1:13" ht="3" customHeight="1">
      <c r="A5" s="3"/>
      <c r="B5" s="287"/>
      <c r="C5" s="3"/>
      <c r="D5" s="3"/>
      <c r="E5" s="290"/>
      <c r="F5" s="290"/>
      <c r="G5" s="3"/>
      <c r="H5" s="3"/>
      <c r="I5" s="3"/>
      <c r="J5" s="3"/>
      <c r="K5" s="3"/>
      <c r="L5" s="3"/>
      <c r="M5" s="3"/>
    </row>
    <row r="6" spans="1:13">
      <c r="A6" s="3"/>
      <c r="B6" s="287" t="s">
        <v>117</v>
      </c>
      <c r="C6" s="637" t="s">
        <v>421</v>
      </c>
      <c r="D6" s="638"/>
      <c r="E6" s="609" t="s">
        <v>27</v>
      </c>
      <c r="F6" s="609"/>
      <c r="G6" s="319" t="s">
        <v>35</v>
      </c>
      <c r="H6" s="287" t="s">
        <v>322</v>
      </c>
      <c r="I6" s="644">
        <v>6239619</v>
      </c>
      <c r="J6" s="645"/>
      <c r="K6" s="3"/>
      <c r="L6" s="3"/>
      <c r="M6" s="3"/>
    </row>
    <row r="7" spans="1:13" ht="3" customHeight="1">
      <c r="A7" s="3"/>
      <c r="B7" s="287"/>
      <c r="C7" s="3"/>
      <c r="D7" s="3"/>
      <c r="E7" s="290"/>
      <c r="F7" s="290"/>
      <c r="G7" s="3"/>
      <c r="H7" s="287"/>
      <c r="I7" s="3"/>
      <c r="J7" s="3"/>
      <c r="K7" s="3"/>
      <c r="L7" s="3"/>
      <c r="M7" s="3"/>
    </row>
    <row r="8" spans="1:13">
      <c r="A8" s="3"/>
      <c r="B8" s="287" t="s">
        <v>269</v>
      </c>
      <c r="C8" s="637" t="s">
        <v>420</v>
      </c>
      <c r="D8" s="638"/>
      <c r="E8" s="291"/>
      <c r="F8" s="286" t="s">
        <v>324</v>
      </c>
      <c r="G8" s="401" t="s">
        <v>424</v>
      </c>
      <c r="H8" s="286" t="s">
        <v>323</v>
      </c>
      <c r="I8" s="649" t="s">
        <v>16</v>
      </c>
      <c r="J8" s="650"/>
      <c r="K8" s="3"/>
      <c r="L8" s="3"/>
      <c r="M8" s="3"/>
    </row>
    <row r="9" spans="1:13" ht="3" customHeight="1">
      <c r="A9" s="3"/>
      <c r="B9" s="290"/>
      <c r="C9" s="3"/>
      <c r="D9" s="3"/>
      <c r="E9" s="290"/>
      <c r="F9" s="290"/>
      <c r="G9" s="3"/>
      <c r="H9" s="3"/>
      <c r="I9" s="3"/>
      <c r="J9" s="3"/>
      <c r="K9" s="3"/>
      <c r="L9" s="3"/>
      <c r="M9" s="3"/>
    </row>
    <row r="10" spans="1:13">
      <c r="A10" s="3"/>
      <c r="B10" s="287" t="s">
        <v>405</v>
      </c>
      <c r="C10" s="651">
        <v>43831</v>
      </c>
      <c r="D10" s="652"/>
      <c r="E10" s="642" t="s">
        <v>31</v>
      </c>
      <c r="F10" s="643"/>
      <c r="G10" s="637" t="s">
        <v>263</v>
      </c>
      <c r="H10" s="647"/>
      <c r="I10" s="647"/>
      <c r="J10" s="638"/>
      <c r="K10" s="3"/>
      <c r="L10" s="3"/>
      <c r="M10" s="3"/>
    </row>
    <row r="11" spans="1:13" ht="5.25" customHeight="1">
      <c r="A11" s="3"/>
      <c r="B11" s="3"/>
      <c r="C11" s="3"/>
      <c r="D11" s="3"/>
      <c r="E11" s="3"/>
      <c r="F11" s="3"/>
      <c r="G11" s="3"/>
      <c r="H11" s="3"/>
      <c r="I11" s="3"/>
      <c r="J11" s="3"/>
      <c r="K11" s="3"/>
      <c r="L11" s="3"/>
      <c r="M11" s="3"/>
    </row>
    <row r="12" spans="1:13" ht="15" customHeight="1">
      <c r="A12" s="3"/>
      <c r="B12" s="287" t="s">
        <v>29</v>
      </c>
      <c r="C12" s="663" t="s">
        <v>46</v>
      </c>
      <c r="D12" s="663"/>
      <c r="E12" s="642" t="s">
        <v>290</v>
      </c>
      <c r="F12" s="609"/>
      <c r="G12" s="646" t="s">
        <v>434</v>
      </c>
      <c r="H12" s="646"/>
      <c r="I12" s="646"/>
      <c r="J12" s="646"/>
      <c r="K12" s="3"/>
      <c r="L12" s="3"/>
      <c r="M12" s="3"/>
    </row>
    <row r="13" spans="1:13" ht="5.25" customHeight="1">
      <c r="A13" s="3"/>
      <c r="B13" s="3"/>
      <c r="C13" s="3"/>
      <c r="D13" s="3"/>
      <c r="E13" s="3"/>
      <c r="F13" s="3"/>
      <c r="G13" s="3"/>
      <c r="H13" s="3"/>
      <c r="I13" s="3"/>
      <c r="J13" s="3"/>
      <c r="K13" s="3"/>
      <c r="L13" s="3"/>
      <c r="M13" s="3"/>
    </row>
    <row r="14" spans="1:13" ht="15.75" customHeight="1">
      <c r="A14" s="3"/>
      <c r="B14" s="636" t="s">
        <v>2</v>
      </c>
      <c r="C14" s="636"/>
      <c r="D14" s="636"/>
      <c r="E14" s="636"/>
      <c r="F14" s="636"/>
      <c r="G14" s="636"/>
      <c r="H14" s="636"/>
      <c r="I14" s="636"/>
      <c r="J14" s="636"/>
      <c r="K14" s="3"/>
      <c r="L14" s="3"/>
      <c r="M14" s="3"/>
    </row>
    <row r="15" spans="1:13" ht="3" customHeight="1">
      <c r="A15" s="3"/>
      <c r="B15" s="3"/>
      <c r="C15" s="3"/>
      <c r="D15" s="3"/>
      <c r="E15" s="3"/>
      <c r="F15" s="3"/>
      <c r="G15" s="3"/>
      <c r="H15" s="3"/>
      <c r="I15" s="3"/>
      <c r="J15" s="3"/>
      <c r="K15" s="3"/>
      <c r="L15" s="3"/>
      <c r="M15" s="3"/>
    </row>
    <row r="16" spans="1:13">
      <c r="A16" s="3"/>
      <c r="B16" s="287" t="s">
        <v>21</v>
      </c>
      <c r="C16" s="401" t="s">
        <v>121</v>
      </c>
      <c r="D16" s="286" t="s">
        <v>325</v>
      </c>
      <c r="E16" s="292">
        <v>44197</v>
      </c>
      <c r="F16" s="288" t="s">
        <v>8</v>
      </c>
      <c r="G16" s="292">
        <v>44286</v>
      </c>
      <c r="H16" s="642" t="s">
        <v>326</v>
      </c>
      <c r="I16" s="643"/>
      <c r="J16" s="479">
        <v>44396</v>
      </c>
      <c r="K16" s="3"/>
      <c r="L16" s="3"/>
      <c r="M16" s="3"/>
    </row>
    <row r="17" spans="1:35" ht="3" customHeight="1">
      <c r="A17" s="3"/>
      <c r="B17" s="3"/>
      <c r="C17" s="3"/>
      <c r="D17" s="3"/>
      <c r="E17" s="3"/>
      <c r="F17" s="3"/>
      <c r="G17" s="3"/>
      <c r="H17" s="3"/>
      <c r="I17" s="3"/>
      <c r="J17" s="3"/>
      <c r="K17" s="3"/>
      <c r="L17" s="3"/>
      <c r="M17" s="3"/>
    </row>
    <row r="18" spans="1:35">
      <c r="A18" s="3"/>
      <c r="B18" s="648" t="s">
        <v>32</v>
      </c>
      <c r="C18" s="643"/>
      <c r="D18" s="664" t="s">
        <v>440</v>
      </c>
      <c r="E18" s="664"/>
      <c r="F18" s="664"/>
      <c r="G18" s="293"/>
      <c r="H18" s="293"/>
      <c r="I18" s="293"/>
      <c r="J18" s="293"/>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6" t="s">
        <v>363</v>
      </c>
      <c r="C21" s="636"/>
      <c r="D21" s="636"/>
      <c r="E21" s="636"/>
      <c r="F21" s="636"/>
      <c r="G21" s="636"/>
      <c r="H21" s="636"/>
      <c r="I21" s="636"/>
      <c r="J21" s="636"/>
      <c r="K21" s="3"/>
      <c r="L21" s="3"/>
      <c r="M21" s="3"/>
    </row>
    <row r="22" spans="1:35">
      <c r="A22" s="3"/>
      <c r="B22" s="290" t="s">
        <v>3</v>
      </c>
      <c r="C22" s="3"/>
      <c r="D22" s="3"/>
      <c r="E22" s="294"/>
      <c r="F22" s="294"/>
      <c r="G22" s="3"/>
      <c r="H22" s="3"/>
      <c r="I22" s="294"/>
      <c r="J22" s="294"/>
      <c r="K22" s="3"/>
      <c r="L22" s="3"/>
      <c r="M22" s="3"/>
    </row>
    <row r="23" spans="1:35" ht="3" customHeight="1">
      <c r="A23" s="3"/>
      <c r="B23" s="3"/>
      <c r="C23" s="3"/>
      <c r="D23" s="3"/>
      <c r="E23" s="3"/>
      <c r="F23" s="3"/>
      <c r="G23" s="3"/>
      <c r="H23" s="3"/>
      <c r="I23" s="3"/>
      <c r="J23" s="3"/>
      <c r="K23" s="3"/>
      <c r="L23" s="3"/>
      <c r="M23" s="3"/>
    </row>
    <row r="24" spans="1:35" ht="15.75" thickBot="1">
      <c r="A24" s="3"/>
      <c r="B24" s="287" t="s">
        <v>400</v>
      </c>
      <c r="C24" s="390"/>
      <c r="D24" s="609" t="s">
        <v>401</v>
      </c>
      <c r="E24" s="609"/>
      <c r="F24" s="391"/>
      <c r="G24" s="609" t="s">
        <v>402</v>
      </c>
      <c r="H24" s="609"/>
      <c r="I24" s="610"/>
      <c r="J24" s="611"/>
      <c r="K24" s="3"/>
      <c r="L24" s="3"/>
      <c r="M24" s="3"/>
      <c r="N24" s="20"/>
    </row>
    <row r="25" spans="1:35" ht="19.5" thickBot="1">
      <c r="A25" s="3"/>
      <c r="B25" s="87" t="s">
        <v>400</v>
      </c>
      <c r="C25" s="88"/>
      <c r="D25" s="88"/>
      <c r="E25" s="88"/>
      <c r="F25" s="88"/>
      <c r="G25" s="88"/>
      <c r="H25" s="273"/>
      <c r="I25" s="89"/>
      <c r="J25" s="89"/>
      <c r="K25" s="273" t="s">
        <v>327</v>
      </c>
      <c r="L25" s="88"/>
      <c r="M25" s="88"/>
      <c r="N25" s="409"/>
      <c r="O25" s="40"/>
      <c r="AI25" s="44"/>
    </row>
    <row r="26" spans="1:35">
      <c r="A26" s="3"/>
      <c r="B26" s="670" t="s">
        <v>371</v>
      </c>
      <c r="C26" s="671"/>
      <c r="D26" s="42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13" t="s">
        <v>60</v>
      </c>
      <c r="C29" s="614"/>
      <c r="D29" s="614"/>
      <c r="E29" s="614"/>
      <c r="F29" s="614"/>
      <c r="G29" s="614"/>
      <c r="H29" s="614"/>
      <c r="I29" s="614"/>
      <c r="J29" s="614"/>
      <c r="K29" s="614"/>
      <c r="L29" s="614"/>
      <c r="M29" s="614"/>
      <c r="N29" s="615"/>
      <c r="P29" s="211"/>
      <c r="Q29" s="212"/>
      <c r="R29" s="213">
        <f>+C33</f>
        <v>773362.47781003895</v>
      </c>
      <c r="S29" s="211"/>
    </row>
    <row r="30" spans="1:35">
      <c r="A30" s="3"/>
      <c r="B30" s="93" t="s">
        <v>268</v>
      </c>
      <c r="C30" s="371" t="s">
        <v>106</v>
      </c>
      <c r="D30" s="371" t="s">
        <v>107</v>
      </c>
      <c r="E30" s="371" t="s">
        <v>108</v>
      </c>
      <c r="F30" s="371" t="s">
        <v>109</v>
      </c>
      <c r="G30" s="371" t="s">
        <v>121</v>
      </c>
      <c r="H30" s="371" t="s">
        <v>122</v>
      </c>
      <c r="I30" s="371" t="s">
        <v>123</v>
      </c>
      <c r="J30" s="371" t="s">
        <v>124</v>
      </c>
      <c r="K30" s="371" t="s">
        <v>125</v>
      </c>
      <c r="L30" s="371" t="s">
        <v>126</v>
      </c>
      <c r="M30" s="371" t="s">
        <v>127</v>
      </c>
      <c r="N30" s="372" t="s">
        <v>288</v>
      </c>
      <c r="O30" s="373" t="s">
        <v>4</v>
      </c>
      <c r="P30" s="211"/>
      <c r="Q30" s="212"/>
      <c r="R30" s="213">
        <f>+D33</f>
        <v>1317301.5117192203</v>
      </c>
      <c r="S30" s="211"/>
    </row>
    <row r="31" spans="1:35">
      <c r="A31" s="3"/>
      <c r="B31" s="283" t="str">
        <f>CONCATENATE("Budget (in ",'Data Entry'!$D$26,")")</f>
        <v>Budget (in $)</v>
      </c>
      <c r="C31" s="383">
        <v>773362.47781003895</v>
      </c>
      <c r="D31" s="382">
        <v>543939.03390918125</v>
      </c>
      <c r="E31" s="382">
        <v>336837.21309625928</v>
      </c>
      <c r="F31" s="382">
        <v>628290.95297447743</v>
      </c>
      <c r="G31" s="382">
        <v>789307.85970088525</v>
      </c>
      <c r="H31" s="382">
        <v>735329.26844509528</v>
      </c>
      <c r="I31" s="382">
        <v>265868.45237250999</v>
      </c>
      <c r="J31" s="382">
        <v>392320.85054494208</v>
      </c>
      <c r="K31" s="382">
        <v>723342.80842642323</v>
      </c>
      <c r="L31" s="382">
        <v>565717.77982923202</v>
      </c>
      <c r="M31" s="382">
        <v>213780.67989507812</v>
      </c>
      <c r="N31" s="382">
        <v>271521.41863237839</v>
      </c>
      <c r="O31" s="706">
        <f>+SUM(C35:N35)</f>
        <v>1.0095235488553667</v>
      </c>
      <c r="P31" s="211"/>
      <c r="Q31" s="212"/>
      <c r="R31" s="213">
        <f>+E33</f>
        <v>1654138.7248154795</v>
      </c>
      <c r="S31" s="211"/>
    </row>
    <row r="32" spans="1:35">
      <c r="A32" s="3"/>
      <c r="B32" s="93" t="str">
        <f>CONCATENATE("Disbursements by GF (in ", $D$26,")")</f>
        <v>Disbursements by GF (in $)</v>
      </c>
      <c r="C32" s="383">
        <v>882951</v>
      </c>
      <c r="D32" s="383">
        <v>583146.17000000004</v>
      </c>
      <c r="E32" s="383">
        <v>298840.76</v>
      </c>
      <c r="F32" s="383">
        <v>654836</v>
      </c>
      <c r="G32" s="383">
        <v>681217.45</v>
      </c>
      <c r="H32" s="383"/>
      <c r="I32" s="383"/>
      <c r="J32" s="382"/>
      <c r="K32" s="382"/>
      <c r="L32" s="382"/>
      <c r="M32" s="382"/>
      <c r="N32" s="382"/>
      <c r="O32" s="707"/>
      <c r="P32" s="211"/>
      <c r="Q32" s="212"/>
      <c r="R32" s="213">
        <f>+F33</f>
        <v>2282429.6777899568</v>
      </c>
      <c r="S32" s="211"/>
    </row>
    <row r="33" spans="1:35">
      <c r="A33" s="3"/>
      <c r="B33" s="94" t="s">
        <v>387</v>
      </c>
      <c r="C33" s="384">
        <f>+C31</f>
        <v>773362.47781003895</v>
      </c>
      <c r="D33" s="384">
        <f>IF(AND(D31=0,D32=0),0,+C33+D31)</f>
        <v>1317301.5117192203</v>
      </c>
      <c r="E33" s="384">
        <f t="shared" ref="E33:N33" si="0">IF(AND(E31=0,E32=0),0,+D33+E31)</f>
        <v>1654138.7248154795</v>
      </c>
      <c r="F33" s="384">
        <f t="shared" si="0"/>
        <v>2282429.6777899568</v>
      </c>
      <c r="G33" s="384">
        <f>IF(AND(G31=0,G32=0),0,+F33+G31)</f>
        <v>3071737.5374908419</v>
      </c>
      <c r="H33" s="384">
        <f t="shared" si="0"/>
        <v>3807066.805935937</v>
      </c>
      <c r="I33" s="384">
        <f t="shared" si="0"/>
        <v>4072935.258308447</v>
      </c>
      <c r="J33" s="384">
        <f>IF(AND(J31=0,J32=0),0,+I33+J31)</f>
        <v>4465256.1088533886</v>
      </c>
      <c r="K33" s="384">
        <f t="shared" si="0"/>
        <v>5188598.9172798116</v>
      </c>
      <c r="L33" s="384">
        <f t="shared" si="0"/>
        <v>5754316.6971090436</v>
      </c>
      <c r="M33" s="384">
        <f t="shared" si="0"/>
        <v>5968097.3770041214</v>
      </c>
      <c r="N33" s="384">
        <f t="shared" si="0"/>
        <v>6239618.7956365002</v>
      </c>
      <c r="O33" s="707"/>
      <c r="P33" s="368"/>
      <c r="Q33" s="212"/>
      <c r="R33" s="213">
        <f>+G33</f>
        <v>3071737.5374908419</v>
      </c>
      <c r="S33" s="211"/>
    </row>
    <row r="34" spans="1:35" ht="15.75" thickBot="1">
      <c r="A34" s="3"/>
      <c r="B34" s="95" t="s">
        <v>388</v>
      </c>
      <c r="C34" s="385">
        <f>+C32</f>
        <v>882951</v>
      </c>
      <c r="D34" s="385">
        <f>IF(AND(D31=0,D32=0),0,+C34+D32)</f>
        <v>1466097.17</v>
      </c>
      <c r="E34" s="385">
        <f t="shared" ref="E34:N34" si="1">IF(AND(E31=0,E32=0),0,+D34+E32)</f>
        <v>1764937.93</v>
      </c>
      <c r="F34" s="385">
        <f t="shared" si="1"/>
        <v>2419773.9299999997</v>
      </c>
      <c r="G34" s="385">
        <f>IF(AND(G31=0,G32=0),0,+F34+G32)</f>
        <v>3100991.38</v>
      </c>
      <c r="H34" s="385">
        <f t="shared" si="1"/>
        <v>3100991.38</v>
      </c>
      <c r="I34" s="385">
        <f t="shared" si="1"/>
        <v>3100991.38</v>
      </c>
      <c r="J34" s="385">
        <f t="shared" si="1"/>
        <v>3100991.38</v>
      </c>
      <c r="K34" s="385">
        <f t="shared" si="1"/>
        <v>3100991.38</v>
      </c>
      <c r="L34" s="385">
        <f t="shared" si="1"/>
        <v>3100991.38</v>
      </c>
      <c r="M34" s="385">
        <f t="shared" si="1"/>
        <v>3100991.38</v>
      </c>
      <c r="N34" s="385">
        <f t="shared" si="1"/>
        <v>3100991.38</v>
      </c>
      <c r="O34" s="708"/>
      <c r="P34" s="368"/>
      <c r="Q34" s="212"/>
      <c r="R34" s="213">
        <f>+H33</f>
        <v>3807066.805935937</v>
      </c>
      <c r="S34" s="211"/>
    </row>
    <row r="35" spans="1:35">
      <c r="A35" s="3"/>
      <c r="B35" s="3"/>
      <c r="C35" s="347">
        <f>+IF(AND(C30=$C$16,C33&lt;&gt;0),C34/C33,0)</f>
        <v>0</v>
      </c>
      <c r="D35" s="347">
        <f t="shared" ref="D35:N35" si="2">+IF(AND(D30=$C$16,D33&lt;&gt;0),D34/D33,0)</f>
        <v>0</v>
      </c>
      <c r="E35" s="347">
        <f t="shared" si="2"/>
        <v>0</v>
      </c>
      <c r="F35" s="347">
        <f t="shared" si="2"/>
        <v>0</v>
      </c>
      <c r="G35" s="347">
        <f t="shared" si="2"/>
        <v>1.0095235488553667</v>
      </c>
      <c r="H35" s="347">
        <f t="shared" si="2"/>
        <v>0</v>
      </c>
      <c r="I35" s="347">
        <f t="shared" si="2"/>
        <v>0</v>
      </c>
      <c r="J35" s="347">
        <f t="shared" si="2"/>
        <v>0</v>
      </c>
      <c r="K35" s="347">
        <f t="shared" si="2"/>
        <v>0</v>
      </c>
      <c r="L35" s="347">
        <f t="shared" si="2"/>
        <v>0</v>
      </c>
      <c r="M35" s="347">
        <f t="shared" si="2"/>
        <v>0</v>
      </c>
      <c r="N35" s="347">
        <f t="shared" si="2"/>
        <v>0</v>
      </c>
      <c r="O35" s="295"/>
      <c r="P35" s="214"/>
      <c r="Q35" s="215"/>
      <c r="R35" s="213">
        <f>+I33</f>
        <v>4072935.258308447</v>
      </c>
      <c r="S35" s="211"/>
    </row>
    <row r="36" spans="1:35" ht="18.75">
      <c r="A36" s="3"/>
      <c r="B36" s="90" t="s">
        <v>380</v>
      </c>
      <c r="C36" s="3"/>
      <c r="D36" s="3"/>
      <c r="E36" s="361"/>
      <c r="F36" s="3"/>
      <c r="G36" s="264"/>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3" t="s">
        <v>404</v>
      </c>
      <c r="C38" s="394" t="str">
        <f>CONCATENATE("Cumulative Budget (in ",'Data Entry'!$D$26,")")</f>
        <v>Cumulative Budget (in $)</v>
      </c>
      <c r="D38" s="395" t="str">
        <f>CONCATENATE("Cumulative Expenditures (in ",'Data Entry'!$D$26,")")</f>
        <v>Cumulative Expenditures (in $)</v>
      </c>
      <c r="E38" s="279"/>
      <c r="F38" s="475"/>
      <c r="G38" s="3"/>
      <c r="H38" s="3"/>
      <c r="I38" s="3"/>
      <c r="J38" s="101"/>
      <c r="K38" s="42"/>
      <c r="N38"/>
      <c r="O38"/>
      <c r="AE38" s="20"/>
      <c r="AF38" s="36"/>
    </row>
    <row r="39" spans="1:35" ht="27.75" customHeight="1">
      <c r="A39" s="3"/>
      <c r="B39" s="396" t="s">
        <v>429</v>
      </c>
      <c r="C39" s="392">
        <v>2229563.2057726537</v>
      </c>
      <c r="D39" s="485">
        <v>1453040.0890808473</v>
      </c>
      <c r="E39" s="369"/>
      <c r="F39" s="481"/>
      <c r="G39" s="370"/>
      <c r="H39" s="3"/>
      <c r="I39" s="205"/>
      <c r="J39" s="102"/>
      <c r="K39" s="43"/>
      <c r="N39" s="498"/>
      <c r="O39"/>
      <c r="AE39" s="20"/>
      <c r="AF39" s="36"/>
    </row>
    <row r="40" spans="1:35" ht="14.25" customHeight="1">
      <c r="A40" s="3"/>
      <c r="B40" s="396" t="s">
        <v>430</v>
      </c>
      <c r="C40" s="392">
        <v>248737.80190061222</v>
      </c>
      <c r="D40" s="485">
        <v>166836.29786183051</v>
      </c>
      <c r="E40" s="369"/>
      <c r="F40" s="481"/>
      <c r="G40" s="370"/>
      <c r="H40" s="3"/>
      <c r="I40" s="205"/>
      <c r="J40" s="3"/>
      <c r="K40" s="43"/>
      <c r="N40" s="498"/>
      <c r="O40"/>
      <c r="AE40" s="20"/>
      <c r="AF40" s="36"/>
    </row>
    <row r="41" spans="1:35" ht="18" customHeight="1">
      <c r="A41" s="3"/>
      <c r="B41" s="398" t="s">
        <v>432</v>
      </c>
      <c r="C41" s="392">
        <v>190832.64094955486</v>
      </c>
      <c r="D41" s="485">
        <v>10383.251881558053</v>
      </c>
      <c r="E41" s="369"/>
      <c r="F41" s="481"/>
      <c r="G41" s="3"/>
      <c r="H41" s="3"/>
      <c r="I41" s="205"/>
      <c r="J41" s="3"/>
      <c r="K41" s="43"/>
      <c r="N41" s="498"/>
      <c r="O41"/>
      <c r="AE41" s="20"/>
      <c r="AF41" s="36"/>
    </row>
    <row r="42" spans="1:35" ht="27" customHeight="1">
      <c r="A42" s="3"/>
      <c r="B42" s="396" t="s">
        <v>433</v>
      </c>
      <c r="C42" s="392">
        <v>136103.88886802137</v>
      </c>
      <c r="D42" s="485">
        <v>533.16</v>
      </c>
      <c r="E42" s="369"/>
      <c r="F42" s="481"/>
      <c r="G42" s="3"/>
      <c r="H42" s="3"/>
      <c r="I42" s="205"/>
      <c r="J42" s="3"/>
      <c r="K42" s="20"/>
      <c r="N42" s="498"/>
      <c r="O42"/>
      <c r="AE42" s="20"/>
      <c r="AF42" s="36"/>
    </row>
    <row r="43" spans="1:35" ht="27" customHeight="1" thickBot="1">
      <c r="A43" s="3"/>
      <c r="B43" s="494" t="s">
        <v>442</v>
      </c>
      <c r="C43" s="495">
        <v>266500</v>
      </c>
      <c r="D43" s="485">
        <v>80715.578389075905</v>
      </c>
      <c r="E43" s="369"/>
      <c r="F43" s="481"/>
      <c r="G43" s="3"/>
      <c r="H43" s="3"/>
      <c r="I43" s="205"/>
      <c r="J43" s="3"/>
      <c r="K43" s="20"/>
      <c r="N43" s="498"/>
      <c r="O43"/>
      <c r="AE43" s="20"/>
      <c r="AF43" s="36"/>
    </row>
    <row r="44" spans="1:35" ht="15.75" thickBot="1">
      <c r="A44" s="3"/>
      <c r="B44" s="399" t="s">
        <v>59</v>
      </c>
      <c r="C44" s="400">
        <f>SUM(C39:C43)</f>
        <v>3071737.5374908419</v>
      </c>
      <c r="D44" s="400">
        <f>SUM(D39:D43)</f>
        <v>1711508.3772133116</v>
      </c>
      <c r="E44" s="295"/>
      <c r="F44" s="713" t="str">
        <f ca="1">+IF((ROUND(C44,0)=ROUND(OFFSET(B33,0,RIGHT('Data Entry'!$C$16,LEN('Data Entry'!$C$16)-1),1,1),0)),"OK: Data match","Warning: Data does not match")</f>
        <v>OK: Data match</v>
      </c>
      <c r="G44" s="714"/>
      <c r="H44" s="714"/>
      <c r="I44" s="715"/>
      <c r="J44" s="205"/>
      <c r="K44" s="205"/>
      <c r="L44" s="205"/>
      <c r="M44" s="214"/>
      <c r="N44" s="215"/>
      <c r="O44" s="213"/>
      <c r="P44" s="211"/>
      <c r="AE44" s="36"/>
      <c r="AF44" s="36"/>
    </row>
    <row r="45" spans="1:35">
      <c r="A45" s="3"/>
      <c r="B45" s="3"/>
      <c r="C45" s="205"/>
      <c r="D45" s="205"/>
      <c r="E45" s="276"/>
      <c r="F45" s="205"/>
      <c r="G45" s="205"/>
      <c r="H45" s="205"/>
      <c r="I45" s="205"/>
      <c r="J45" s="205"/>
      <c r="K45" s="205"/>
      <c r="L45" s="205"/>
      <c r="M45" s="205"/>
      <c r="N45" s="205"/>
      <c r="O45" s="205"/>
      <c r="P45" s="214"/>
      <c r="Q45" s="215"/>
      <c r="R45" s="213"/>
      <c r="S45" s="211"/>
    </row>
    <row r="46" spans="1:35" ht="18.75">
      <c r="A46" s="3"/>
      <c r="B46" s="90" t="s">
        <v>379</v>
      </c>
      <c r="C46" s="3"/>
      <c r="D46" s="3"/>
      <c r="E46" s="3"/>
      <c r="F46" s="3"/>
      <c r="G46" s="3"/>
      <c r="H46" s="3"/>
      <c r="I46" s="3"/>
      <c r="J46" s="3"/>
      <c r="K46" s="3"/>
      <c r="L46" s="3"/>
      <c r="M46" s="3"/>
      <c r="P46" s="211"/>
      <c r="Q46" s="212"/>
      <c r="R46" s="213">
        <f>+J33</f>
        <v>4465256.1088533886</v>
      </c>
      <c r="S46" s="211"/>
    </row>
    <row r="47" spans="1:35" ht="15.75" thickBot="1">
      <c r="A47" s="3"/>
      <c r="B47" s="3"/>
      <c r="C47" s="3"/>
      <c r="D47" s="3"/>
      <c r="E47" s="3"/>
      <c r="F47" s="3"/>
      <c r="G47" s="3"/>
      <c r="H47" s="3"/>
      <c r="I47" s="3"/>
      <c r="J47" s="3"/>
      <c r="K47" s="3"/>
      <c r="L47" s="3"/>
      <c r="M47" s="3"/>
      <c r="P47" s="211"/>
      <c r="Q47" s="212"/>
      <c r="R47" s="213">
        <f>+K33</f>
        <v>5188598.9172798116</v>
      </c>
      <c r="S47" s="211"/>
    </row>
    <row r="48" spans="1:35" ht="35.25" customHeight="1">
      <c r="A48" s="3"/>
      <c r="B48" s="300"/>
      <c r="C48" s="301" t="s">
        <v>377</v>
      </c>
      <c r="D48" s="301" t="s">
        <v>378</v>
      </c>
      <c r="E48" s="415" t="str">
        <f>CONCATENATE("Total Spent and Disbursement (in ",D26,")")</f>
        <v>Total Spent and Disbursement (in $)</v>
      </c>
      <c r="F48" s="3"/>
      <c r="G48" s="476"/>
      <c r="H48" s="297"/>
      <c r="I48" s="284"/>
      <c r="J48" s="284"/>
      <c r="K48" s="284"/>
      <c r="L48" s="284"/>
      <c r="M48" s="22"/>
      <c r="N48" s="22"/>
      <c r="O48" s="211"/>
      <c r="P48" s="212"/>
      <c r="Q48" s="213">
        <f>+M33</f>
        <v>5968097.3770041214</v>
      </c>
      <c r="R48" s="211"/>
      <c r="AH48" s="20"/>
    </row>
    <row r="49" spans="1:35">
      <c r="A49" s="3"/>
      <c r="B49" s="298" t="s">
        <v>312</v>
      </c>
      <c r="C49" s="492">
        <f>C32+D32+E32+F32</f>
        <v>2419773.9299999997</v>
      </c>
      <c r="D49" s="493">
        <f>G32</f>
        <v>681217.45</v>
      </c>
      <c r="E49" s="386">
        <f>+D49+C49</f>
        <v>3100991.38</v>
      </c>
      <c r="F49" s="3"/>
      <c r="G49" s="97"/>
      <c r="H49" s="477"/>
      <c r="I49" s="96"/>
      <c r="J49" s="208"/>
      <c r="K49" s="209"/>
      <c r="L49" s="98"/>
      <c r="M49" s="37"/>
      <c r="N49" s="37"/>
      <c r="O49" s="211"/>
      <c r="P49" s="211"/>
      <c r="Q49" s="211"/>
      <c r="R49" s="211"/>
      <c r="AH49" s="20"/>
    </row>
    <row r="50" spans="1:35">
      <c r="A50" s="3"/>
      <c r="B50" s="298" t="s">
        <v>291</v>
      </c>
      <c r="C50" s="392">
        <v>1544591.5472133099</v>
      </c>
      <c r="D50" s="392">
        <v>166916.82999999999</v>
      </c>
      <c r="E50" s="386">
        <f>+D50+C50</f>
        <v>1711508.37721331</v>
      </c>
      <c r="F50" s="205"/>
      <c r="G50" s="482"/>
      <c r="H50" s="208"/>
      <c r="I50" s="484"/>
      <c r="J50" s="208"/>
      <c r="K50" s="208"/>
      <c r="L50" s="98"/>
      <c r="M50" s="38"/>
      <c r="N50" s="38"/>
      <c r="O50" s="211"/>
      <c r="P50" s="211"/>
      <c r="Q50" s="211"/>
      <c r="R50" s="211"/>
      <c r="AH50" s="20"/>
    </row>
    <row r="51" spans="1:35">
      <c r="A51" s="3"/>
      <c r="B51" s="298" t="s">
        <v>270</v>
      </c>
      <c r="C51" s="392">
        <v>0</v>
      </c>
      <c r="D51" s="392">
        <v>0</v>
      </c>
      <c r="E51" s="386">
        <f>+D51+C51</f>
        <v>0</v>
      </c>
      <c r="F51" s="205"/>
      <c r="G51" s="483"/>
      <c r="H51" s="208"/>
      <c r="I51" s="484"/>
      <c r="J51" s="208"/>
      <c r="K51" s="209"/>
      <c r="L51" s="98"/>
      <c r="M51" s="37"/>
      <c r="N51" s="37"/>
      <c r="O51"/>
      <c r="AH51" s="20"/>
    </row>
    <row r="52" spans="1:35" ht="15.75" thickBot="1">
      <c r="A52" s="3"/>
      <c r="B52" s="299" t="s">
        <v>271</v>
      </c>
      <c r="C52" s="392">
        <v>0</v>
      </c>
      <c r="D52" s="392">
        <v>0</v>
      </c>
      <c r="E52" s="387">
        <f>+D52+C52</f>
        <v>0</v>
      </c>
      <c r="F52" s="205"/>
      <c r="G52" s="259"/>
      <c r="H52" s="303"/>
      <c r="I52" s="99"/>
      <c r="J52" s="99"/>
      <c r="K52" s="99"/>
      <c r="L52" s="98"/>
      <c r="M52" s="38"/>
      <c r="N52" s="38"/>
      <c r="O52"/>
      <c r="AH52" s="20"/>
    </row>
    <row r="53" spans="1:35" ht="15.75" customHeight="1">
      <c r="A53" s="3"/>
      <c r="B53" s="3"/>
      <c r="C53" s="3"/>
      <c r="D53" s="3"/>
      <c r="E53" s="3"/>
      <c r="F53" s="3"/>
      <c r="G53" s="3"/>
      <c r="H53" s="3"/>
      <c r="I53" s="3"/>
      <c r="J53" s="3"/>
      <c r="K53" s="3"/>
      <c r="L53" s="3"/>
      <c r="M53" s="3"/>
      <c r="AI53" s="20"/>
    </row>
    <row r="54" spans="1:35">
      <c r="A54" s="3"/>
      <c r="B54" s="3"/>
      <c r="C54" s="3"/>
      <c r="D54" s="282"/>
      <c r="E54" s="3"/>
      <c r="F54" s="3"/>
      <c r="G54" s="3"/>
      <c r="H54" s="3"/>
      <c r="I54" s="3"/>
      <c r="J54" s="3"/>
      <c r="K54" s="3"/>
      <c r="L54" s="3"/>
      <c r="M54" s="3"/>
    </row>
    <row r="55" spans="1:35" ht="18.75">
      <c r="A55" s="3"/>
      <c r="B55" s="90" t="s">
        <v>382</v>
      </c>
      <c r="C55" s="3"/>
      <c r="D55" s="3"/>
      <c r="E55" s="3"/>
      <c r="F55" s="3"/>
      <c r="G55" s="3"/>
      <c r="H55" s="3"/>
      <c r="I55" s="3"/>
      <c r="J55" s="3"/>
      <c r="K55" s="3"/>
      <c r="L55" s="3"/>
      <c r="M55" s="3"/>
    </row>
    <row r="56" spans="1:35" ht="15.75" thickBot="1">
      <c r="A56" s="3"/>
      <c r="B56" s="3"/>
      <c r="C56" s="3"/>
      <c r="D56" s="3"/>
      <c r="E56" s="3"/>
      <c r="F56" s="3"/>
      <c r="G56" s="3"/>
      <c r="H56" s="3"/>
      <c r="I56" s="3"/>
      <c r="J56" s="3"/>
      <c r="K56" s="3"/>
      <c r="L56" s="3"/>
      <c r="M56" s="3"/>
    </row>
    <row r="57" spans="1:35">
      <c r="A57" s="3"/>
      <c r="B57" s="622" t="s">
        <v>347</v>
      </c>
      <c r="C57" s="623"/>
      <c r="D57" s="624"/>
      <c r="E57" s="3"/>
      <c r="F57" s="3"/>
      <c r="G57" s="3"/>
      <c r="H57" s="3"/>
      <c r="I57" s="3"/>
      <c r="J57" s="3"/>
      <c r="K57" s="3"/>
      <c r="L57" s="3"/>
      <c r="M57" s="36"/>
      <c r="O57"/>
    </row>
    <row r="58" spans="1:35">
      <c r="A58" s="3"/>
      <c r="B58" s="103"/>
      <c r="C58" s="305" t="s">
        <v>61</v>
      </c>
      <c r="D58" s="306" t="s">
        <v>62</v>
      </c>
      <c r="E58" s="3"/>
      <c r="F58" s="3"/>
      <c r="G58" s="3"/>
      <c r="H58" s="3"/>
      <c r="I58" s="3"/>
      <c r="J58" s="3"/>
      <c r="K58" s="3"/>
      <c r="L58" s="3"/>
      <c r="M58" s="36"/>
      <c r="O58"/>
    </row>
    <row r="59" spans="1:35">
      <c r="A59" s="3"/>
      <c r="B59" s="104" t="s">
        <v>1</v>
      </c>
      <c r="C59" s="392">
        <v>60</v>
      </c>
      <c r="D59" s="478" t="s">
        <v>423</v>
      </c>
      <c r="E59" s="3"/>
      <c r="F59" s="3"/>
      <c r="G59" s="3"/>
      <c r="H59" s="3"/>
      <c r="I59" s="3"/>
      <c r="J59" s="3"/>
      <c r="K59" s="3"/>
      <c r="L59" s="3"/>
      <c r="M59" s="36"/>
      <c r="O59"/>
    </row>
    <row r="60" spans="1:35">
      <c r="A60" s="3"/>
      <c r="B60" s="304" t="s">
        <v>364</v>
      </c>
      <c r="C60" s="392">
        <v>45</v>
      </c>
      <c r="D60" s="478" t="s">
        <v>423</v>
      </c>
      <c r="E60" s="3"/>
      <c r="F60" s="3"/>
      <c r="G60" s="3"/>
      <c r="H60" s="302"/>
      <c r="I60" s="302"/>
      <c r="J60" s="3"/>
      <c r="K60" s="3"/>
      <c r="L60" s="3"/>
      <c r="M60" s="36"/>
      <c r="O60"/>
    </row>
    <row r="61" spans="1:35" ht="15.75" thickBot="1">
      <c r="A61" s="3"/>
      <c r="B61" s="105" t="s">
        <v>365</v>
      </c>
      <c r="C61" s="392">
        <v>5</v>
      </c>
      <c r="D61" s="397">
        <v>5</v>
      </c>
      <c r="E61" s="3"/>
      <c r="F61" s="3"/>
      <c r="G61" s="3"/>
      <c r="H61" s="302"/>
      <c r="I61" s="302"/>
      <c r="J61" s="3"/>
      <c r="K61" s="3"/>
      <c r="L61" s="3"/>
      <c r="M61" s="36"/>
      <c r="O61"/>
    </row>
    <row r="62" spans="1:35">
      <c r="A62" s="3"/>
      <c r="B62" s="3"/>
      <c r="C62" s="3"/>
      <c r="D62" s="3"/>
      <c r="E62" s="3"/>
      <c r="F62" s="3"/>
      <c r="G62" s="3"/>
      <c r="H62" s="3"/>
      <c r="I62" s="3"/>
      <c r="J62" s="3"/>
      <c r="K62" s="3"/>
      <c r="L62" s="3"/>
      <c r="M62" s="3"/>
    </row>
    <row r="63" spans="1:35" ht="15.75" thickBot="1">
      <c r="A63" s="3"/>
      <c r="B63" s="3"/>
      <c r="C63" s="3"/>
      <c r="D63" s="3"/>
      <c r="E63" s="3"/>
      <c r="F63" s="3"/>
      <c r="G63" s="3"/>
      <c r="H63" s="3"/>
      <c r="I63" s="3"/>
      <c r="J63" s="3"/>
      <c r="K63" s="3"/>
      <c r="L63" s="411"/>
      <c r="M63" s="3"/>
      <c r="AC63" s="19"/>
      <c r="AD63" s="19"/>
    </row>
    <row r="64" spans="1:35" ht="19.5" thickBot="1">
      <c r="A64" s="3"/>
      <c r="B64" s="106" t="s">
        <v>264</v>
      </c>
      <c r="C64" s="107"/>
      <c r="D64" s="107"/>
      <c r="E64" s="107"/>
      <c r="F64" s="107"/>
      <c r="G64" s="107"/>
      <c r="H64" s="330" t="s">
        <v>305</v>
      </c>
      <c r="I64" s="107"/>
      <c r="J64" s="108"/>
      <c r="K64" s="108"/>
      <c r="L64" s="412"/>
      <c r="M64" s="413"/>
      <c r="N64" s="84"/>
      <c r="O64" s="84"/>
      <c r="P64" s="84"/>
      <c r="S64" s="44"/>
      <c r="AC64" s="19"/>
      <c r="AD64" s="19"/>
    </row>
    <row r="65" spans="1:30" ht="18.75">
      <c r="A65" s="3"/>
      <c r="B65" s="110"/>
      <c r="C65" s="109"/>
      <c r="D65" s="109"/>
      <c r="E65" s="109"/>
      <c r="F65" s="109"/>
      <c r="G65" s="109"/>
      <c r="H65" s="109"/>
      <c r="I65" s="109"/>
      <c r="J65" s="109"/>
      <c r="K65" s="111"/>
      <c r="L65" s="111"/>
      <c r="M65" s="109"/>
      <c r="N65" s="84"/>
      <c r="O65" s="84"/>
      <c r="P65" s="84"/>
      <c r="S65" s="44"/>
      <c r="AC65" s="19"/>
      <c r="AD65" s="19"/>
    </row>
    <row r="66" spans="1:30" ht="18.75">
      <c r="A66" s="3"/>
      <c r="B66" s="110" t="s">
        <v>383</v>
      </c>
      <c r="C66" s="109"/>
      <c r="D66" s="109"/>
      <c r="E66" s="109"/>
      <c r="F66" s="109"/>
      <c r="G66" s="109"/>
      <c r="H66" s="109"/>
      <c r="I66" s="109"/>
      <c r="J66" s="109"/>
      <c r="K66" s="111"/>
      <c r="L66" s="111"/>
      <c r="M66" s="109"/>
      <c r="N66" s="84"/>
      <c r="O66" s="84"/>
      <c r="P66" s="84"/>
      <c r="S66" s="44"/>
      <c r="AC66" s="19"/>
      <c r="AD66" s="19"/>
    </row>
    <row r="67" spans="1:30" ht="15.75" thickBot="1">
      <c r="A67" s="3"/>
      <c r="B67" s="2"/>
      <c r="C67" s="112"/>
      <c r="D67" s="112"/>
      <c r="E67" s="112"/>
      <c r="F67" s="112"/>
      <c r="G67" s="112"/>
      <c r="H67" s="2"/>
      <c r="I67" s="112"/>
      <c r="J67" s="2"/>
      <c r="K67" s="2"/>
      <c r="L67" s="2"/>
      <c r="M67" s="2"/>
      <c r="N67" s="20"/>
      <c r="O67" s="19"/>
      <c r="P67" s="19"/>
      <c r="Q67" s="19"/>
      <c r="R67" s="19"/>
      <c r="S67" s="19"/>
      <c r="AD67" s="19"/>
    </row>
    <row r="68" spans="1:30" ht="30">
      <c r="A68" s="3"/>
      <c r="B68" s="668"/>
      <c r="C68" s="669"/>
      <c r="D68" s="114" t="s">
        <v>118</v>
      </c>
      <c r="E68" s="115" t="s">
        <v>297</v>
      </c>
      <c r="F68" s="115" t="s">
        <v>119</v>
      </c>
      <c r="G68" s="116" t="s">
        <v>59</v>
      </c>
      <c r="H68" s="314"/>
      <c r="I68" s="315"/>
      <c r="J68" s="15"/>
      <c r="K68" s="2"/>
      <c r="L68" s="2"/>
      <c r="M68" s="2"/>
      <c r="N68" s="20"/>
      <c r="O68" s="19"/>
      <c r="P68" s="19"/>
      <c r="Q68" s="19"/>
      <c r="R68" s="19"/>
      <c r="S68" s="19"/>
    </row>
    <row r="69" spans="1:30">
      <c r="A69" s="3"/>
      <c r="B69" s="680" t="s">
        <v>403</v>
      </c>
      <c r="C69" s="681"/>
      <c r="D69" s="261">
        <v>6</v>
      </c>
      <c r="E69" s="261">
        <v>0</v>
      </c>
      <c r="F69" s="261">
        <v>0</v>
      </c>
      <c r="G69" s="118">
        <v>6</v>
      </c>
      <c r="H69" s="296"/>
      <c r="I69" s="313"/>
      <c r="J69" s="313"/>
      <c r="K69" s="2"/>
      <c r="L69" s="2"/>
      <c r="M69" s="2"/>
      <c r="N69" s="20"/>
      <c r="O69" s="19"/>
      <c r="P69" s="19"/>
      <c r="Q69" s="19"/>
      <c r="R69" s="19"/>
      <c r="S69" s="19"/>
    </row>
    <row r="70" spans="1:30" ht="15.75" thickBot="1">
      <c r="A70" s="3"/>
      <c r="B70" s="630" t="s">
        <v>11</v>
      </c>
      <c r="C70" s="631"/>
      <c r="D70" s="262">
        <v>5</v>
      </c>
      <c r="E70" s="262">
        <v>1</v>
      </c>
      <c r="F70" s="262">
        <v>0</v>
      </c>
      <c r="G70" s="120">
        <f>SUM(D70:F70)</f>
        <v>6</v>
      </c>
      <c r="H70" s="296"/>
      <c r="I70" s="15"/>
      <c r="J70" s="15"/>
      <c r="K70" s="2"/>
      <c r="L70" s="2"/>
      <c r="M70" s="2"/>
      <c r="N70" s="19"/>
      <c r="O70" s="19"/>
      <c r="P70" s="19"/>
      <c r="Q70" s="19"/>
      <c r="R70" s="19"/>
      <c r="S70" s="19"/>
    </row>
    <row r="71" spans="1:30">
      <c r="A71" s="3"/>
      <c r="B71" s="2"/>
      <c r="C71" s="2"/>
      <c r="D71" s="2"/>
      <c r="E71" s="2"/>
      <c r="F71" s="2"/>
      <c r="G71" s="2"/>
      <c r="H71" s="2"/>
      <c r="I71" s="486"/>
      <c r="J71" s="2"/>
      <c r="K71" s="2"/>
      <c r="L71" s="2"/>
      <c r="M71" s="2"/>
      <c r="N71" s="19"/>
      <c r="O71" s="19"/>
      <c r="P71" s="19"/>
      <c r="Q71" s="19"/>
      <c r="R71" s="19"/>
      <c r="S71" s="19"/>
    </row>
    <row r="72" spans="1:30">
      <c r="A72" s="3"/>
      <c r="B72" s="2"/>
      <c r="C72" s="2"/>
      <c r="D72" s="2"/>
      <c r="E72" s="2"/>
      <c r="F72" s="2"/>
      <c r="G72" s="2"/>
      <c r="H72" s="2"/>
      <c r="I72" s="2"/>
      <c r="J72" s="2"/>
      <c r="K72" s="2"/>
      <c r="L72" s="2"/>
      <c r="M72" s="2"/>
      <c r="N72" s="19"/>
      <c r="O72" s="19"/>
      <c r="P72" s="19"/>
      <c r="S72" s="19"/>
    </row>
    <row r="73" spans="1:30" ht="18.75">
      <c r="A73" s="3"/>
      <c r="B73" s="110" t="s">
        <v>384</v>
      </c>
      <c r="C73" s="2"/>
      <c r="D73" s="2"/>
      <c r="E73" s="2"/>
      <c r="F73" s="2"/>
      <c r="G73" s="2"/>
      <c r="H73" s="2"/>
      <c r="I73" s="2"/>
      <c r="J73" s="2"/>
      <c r="K73" s="2"/>
      <c r="L73" s="2"/>
      <c r="M73" s="2"/>
      <c r="N73" s="19"/>
      <c r="O73" s="19"/>
      <c r="P73" s="19"/>
      <c r="S73" s="19"/>
    </row>
    <row r="74" spans="1:30" ht="15.75" thickBot="1">
      <c r="A74" s="3"/>
      <c r="B74" s="2"/>
      <c r="C74" s="2"/>
      <c r="D74" s="2"/>
      <c r="E74" s="2"/>
      <c r="F74" s="2"/>
      <c r="G74" s="2"/>
      <c r="H74" s="2"/>
      <c r="I74" s="2"/>
      <c r="J74" s="2"/>
      <c r="K74" s="2"/>
      <c r="L74" s="2"/>
      <c r="M74" s="2"/>
      <c r="N74" s="19"/>
      <c r="O74" s="19"/>
      <c r="P74" s="19"/>
      <c r="S74" s="19"/>
    </row>
    <row r="75" spans="1:30">
      <c r="A75" s="3"/>
      <c r="B75" s="121"/>
      <c r="C75" s="113" t="s">
        <v>64</v>
      </c>
      <c r="D75" s="113" t="s">
        <v>82</v>
      </c>
      <c r="E75" s="122" t="s">
        <v>65</v>
      </c>
      <c r="F75" s="15"/>
      <c r="G75" s="15"/>
      <c r="H75" s="15"/>
      <c r="I75" s="315"/>
      <c r="J75" s="2"/>
      <c r="K75" s="2"/>
      <c r="L75" s="2"/>
      <c r="M75" s="2"/>
      <c r="N75" s="19"/>
      <c r="O75" s="19"/>
      <c r="P75" s="19"/>
      <c r="S75" s="19"/>
    </row>
    <row r="76" spans="1:30" ht="15.75" thickBot="1">
      <c r="A76" s="3"/>
      <c r="B76" s="123" t="s">
        <v>313</v>
      </c>
      <c r="C76" s="362">
        <v>11</v>
      </c>
      <c r="D76" s="362">
        <v>11</v>
      </c>
      <c r="E76" s="363">
        <f>+C76-D76</f>
        <v>0</v>
      </c>
      <c r="F76" s="269"/>
      <c r="G76" s="277"/>
      <c r="H76" s="15"/>
      <c r="I76" s="313"/>
      <c r="J76" s="2"/>
      <c r="K76" s="2"/>
      <c r="L76" s="2"/>
      <c r="M76" s="2"/>
      <c r="N76" s="19"/>
      <c r="O76" s="19"/>
      <c r="P76" s="19"/>
      <c r="S76" s="19"/>
    </row>
    <row r="77" spans="1:30">
      <c r="A77" s="3"/>
      <c r="B77" s="2"/>
      <c r="C77" s="2"/>
      <c r="D77" s="2"/>
      <c r="E77" s="2"/>
      <c r="F77" s="2"/>
      <c r="G77" s="2"/>
      <c r="H77" s="2"/>
      <c r="I77" s="2"/>
      <c r="J77" s="2"/>
      <c r="K77" s="2"/>
      <c r="L77" s="2"/>
      <c r="M77" s="2"/>
      <c r="N77" s="19"/>
      <c r="O77" s="19"/>
      <c r="P77" s="19"/>
      <c r="S77" s="19"/>
    </row>
    <row r="78" spans="1:30" ht="18.75">
      <c r="A78" s="3"/>
      <c r="B78" s="110" t="s">
        <v>389</v>
      </c>
      <c r="C78" s="2"/>
      <c r="D78" s="2"/>
      <c r="E78" s="2"/>
      <c r="F78" s="2"/>
      <c r="G78" s="2"/>
      <c r="H78" s="2"/>
      <c r="I78" s="2"/>
      <c r="J78" s="2"/>
      <c r="K78" s="2"/>
      <c r="L78" s="2"/>
      <c r="M78" s="2"/>
      <c r="N78" s="19"/>
      <c r="O78" s="19"/>
      <c r="P78" s="19"/>
      <c r="S78" s="19"/>
    </row>
    <row r="79" spans="1:30" ht="15.75" thickBot="1">
      <c r="A79" s="3"/>
      <c r="B79" s="2"/>
      <c r="C79" s="2"/>
      <c r="D79" s="2"/>
      <c r="E79" s="2"/>
      <c r="F79" s="2"/>
      <c r="G79" s="2"/>
      <c r="H79" s="2"/>
      <c r="I79" s="2"/>
      <c r="J79" s="2"/>
      <c r="K79" s="2"/>
      <c r="L79" s="2"/>
      <c r="M79" s="2"/>
      <c r="N79" s="19"/>
      <c r="O79" s="19"/>
      <c r="P79" s="19"/>
      <c r="S79" s="19"/>
    </row>
    <row r="80" spans="1:30" ht="30">
      <c r="A80" s="3"/>
      <c r="B80" s="121"/>
      <c r="C80" s="113" t="s">
        <v>292</v>
      </c>
      <c r="D80" s="113" t="s">
        <v>68</v>
      </c>
      <c r="E80" s="113" t="s">
        <v>83</v>
      </c>
      <c r="F80" s="113" t="s">
        <v>69</v>
      </c>
      <c r="G80" s="153" t="s">
        <v>120</v>
      </c>
      <c r="H80" s="278"/>
      <c r="I80" s="315"/>
      <c r="J80" s="2"/>
      <c r="K80" s="2"/>
      <c r="L80" s="2"/>
      <c r="M80" s="2"/>
      <c r="N80" s="19"/>
      <c r="O80" s="19"/>
      <c r="P80" s="19"/>
      <c r="S80" s="19"/>
    </row>
    <row r="81" spans="1:36" ht="15.75" thickBot="1">
      <c r="A81" s="3"/>
      <c r="B81" s="123" t="s">
        <v>128</v>
      </c>
      <c r="C81" s="362">
        <v>1</v>
      </c>
      <c r="D81" s="362">
        <v>1</v>
      </c>
      <c r="E81" s="362">
        <v>1</v>
      </c>
      <c r="F81" s="362">
        <v>1</v>
      </c>
      <c r="G81" s="364">
        <v>1</v>
      </c>
      <c r="H81" s="316"/>
      <c r="I81" s="296"/>
      <c r="J81" s="2"/>
      <c r="K81" s="2"/>
      <c r="L81" s="2"/>
      <c r="M81" s="2"/>
      <c r="N81" s="19"/>
      <c r="O81" s="19"/>
      <c r="P81" s="19"/>
      <c r="S81" s="19"/>
    </row>
    <row r="82" spans="1:36">
      <c r="A82" s="3"/>
      <c r="B82" s="2"/>
      <c r="C82" s="2"/>
      <c r="D82" s="2"/>
      <c r="E82" s="2"/>
      <c r="F82" s="2"/>
      <c r="G82" s="2"/>
      <c r="H82" s="2"/>
      <c r="J82" s="2"/>
      <c r="K82" s="2"/>
      <c r="L82" s="2"/>
      <c r="M82" s="2"/>
      <c r="N82" s="19"/>
      <c r="O82" s="19"/>
      <c r="P82" s="19"/>
      <c r="S82" s="19"/>
    </row>
    <row r="83" spans="1:36" ht="18.75">
      <c r="A83" s="3"/>
      <c r="B83" s="110" t="s">
        <v>385</v>
      </c>
      <c r="C83" s="2"/>
      <c r="D83" s="2"/>
      <c r="E83" s="2"/>
      <c r="F83" s="2"/>
      <c r="G83" s="2"/>
      <c r="H83" s="2"/>
      <c r="I83" s="2"/>
      <c r="J83" s="2"/>
      <c r="K83" s="2"/>
      <c r="L83" s="2"/>
      <c r="M83" s="2"/>
      <c r="N83" s="19"/>
      <c r="O83" s="19"/>
      <c r="P83" s="19"/>
      <c r="S83" s="19"/>
    </row>
    <row r="84" spans="1:36" ht="15.75" thickBot="1">
      <c r="A84" s="3"/>
      <c r="B84" s="2"/>
      <c r="C84" s="2"/>
      <c r="D84" s="2"/>
      <c r="E84" s="2"/>
      <c r="F84" s="2"/>
      <c r="G84" s="2"/>
      <c r="H84" s="2"/>
      <c r="I84" s="2"/>
      <c r="J84" s="2"/>
      <c r="K84" s="2"/>
      <c r="L84" s="2"/>
      <c r="M84" s="2"/>
      <c r="N84" s="19"/>
      <c r="O84" s="19"/>
      <c r="P84" s="19"/>
      <c r="S84" s="19"/>
    </row>
    <row r="85" spans="1:36">
      <c r="A85" s="3"/>
      <c r="B85" s="121"/>
      <c r="C85" s="124" t="s">
        <v>66</v>
      </c>
      <c r="D85" s="124" t="s">
        <v>67</v>
      </c>
      <c r="E85" s="125" t="s">
        <v>289</v>
      </c>
      <c r="F85" s="2"/>
      <c r="G85" s="2"/>
      <c r="H85" s="2"/>
      <c r="I85" s="2"/>
      <c r="J85" s="19"/>
      <c r="K85" s="19"/>
      <c r="L85" s="19"/>
      <c r="N85"/>
      <c r="O85" s="19"/>
      <c r="AG85" s="36"/>
      <c r="AJ85"/>
    </row>
    <row r="86" spans="1:36">
      <c r="A86" s="3"/>
      <c r="B86" s="117" t="s">
        <v>390</v>
      </c>
      <c r="C86" s="261"/>
      <c r="D86" s="263"/>
      <c r="E86" s="317">
        <f>C86-D86</f>
        <v>0</v>
      </c>
      <c r="F86" s="2"/>
      <c r="G86" s="2"/>
      <c r="H86" s="2"/>
      <c r="I86" s="2"/>
      <c r="J86" s="19"/>
      <c r="K86" s="19"/>
      <c r="L86" s="19"/>
      <c r="N86"/>
      <c r="O86" s="19"/>
      <c r="AG86" s="36"/>
      <c r="AJ86"/>
    </row>
    <row r="87" spans="1:36" ht="15.75" thickBot="1">
      <c r="A87" s="3"/>
      <c r="B87" s="119" t="s">
        <v>391</v>
      </c>
      <c r="C87" s="262">
        <v>1</v>
      </c>
      <c r="D87" s="318">
        <v>1</v>
      </c>
      <c r="E87" s="464">
        <f>C87-D87</f>
        <v>0</v>
      </c>
      <c r="F87" s="2"/>
      <c r="G87" s="2"/>
      <c r="H87" s="2"/>
      <c r="I87" s="2"/>
      <c r="J87" s="19"/>
      <c r="K87" s="19"/>
      <c r="L87" s="19"/>
      <c r="N87"/>
      <c r="O87" s="19"/>
      <c r="AG87" s="36"/>
      <c r="AJ87"/>
    </row>
    <row r="88" spans="1:36">
      <c r="A88" s="3"/>
      <c r="B88" s="2"/>
      <c r="C88" s="2"/>
      <c r="D88" s="2"/>
      <c r="E88" s="2"/>
      <c r="F88" s="2"/>
      <c r="G88" s="2"/>
      <c r="H88" s="2"/>
      <c r="I88" s="2"/>
      <c r="J88" s="2"/>
      <c r="K88" s="2"/>
      <c r="L88" s="2"/>
      <c r="M88" s="2"/>
      <c r="N88" s="19"/>
      <c r="O88" s="19"/>
      <c r="P88" s="19"/>
      <c r="S88" s="19"/>
    </row>
    <row r="89" spans="1:36" ht="18.75">
      <c r="A89" s="3"/>
      <c r="B89" s="110" t="s">
        <v>392</v>
      </c>
      <c r="C89" s="2"/>
      <c r="D89" s="2"/>
      <c r="E89" s="2"/>
      <c r="F89" s="2"/>
      <c r="G89" s="2"/>
      <c r="H89" s="2"/>
      <c r="I89" s="2"/>
      <c r="J89" s="2"/>
      <c r="K89" s="2"/>
      <c r="L89" s="2"/>
      <c r="M89" s="2"/>
      <c r="N89" s="19"/>
      <c r="O89" s="19"/>
      <c r="P89" s="19"/>
      <c r="S89" s="19"/>
    </row>
    <row r="90" spans="1:36" ht="15.75" thickBot="1">
      <c r="A90" s="3"/>
      <c r="B90" s="2"/>
      <c r="C90" s="2"/>
      <c r="D90" s="2"/>
      <c r="E90" s="2"/>
      <c r="F90" s="2"/>
      <c r="G90" s="2"/>
      <c r="H90" s="2"/>
      <c r="I90" s="15"/>
      <c r="J90" s="15"/>
      <c r="K90" s="15"/>
      <c r="L90" s="15"/>
      <c r="M90" s="15"/>
      <c r="N90" s="20"/>
      <c r="O90" s="20"/>
      <c r="P90" s="20"/>
      <c r="S90" s="19"/>
    </row>
    <row r="91" spans="1:36">
      <c r="A91" s="3"/>
      <c r="B91" s="223"/>
      <c r="C91" s="374" t="s">
        <v>106</v>
      </c>
      <c r="D91" s="374" t="s">
        <v>107</v>
      </c>
      <c r="E91" s="374" t="s">
        <v>108</v>
      </c>
      <c r="F91" s="374" t="s">
        <v>109</v>
      </c>
      <c r="G91" s="374" t="s">
        <v>121</v>
      </c>
      <c r="H91" s="374" t="s">
        <v>122</v>
      </c>
      <c r="I91" s="374" t="s">
        <v>123</v>
      </c>
      <c r="J91" s="374" t="s">
        <v>124</v>
      </c>
      <c r="K91" s="374" t="s">
        <v>125</v>
      </c>
      <c r="L91" s="374" t="s">
        <v>126</v>
      </c>
      <c r="M91" s="374" t="s">
        <v>127</v>
      </c>
      <c r="N91" s="375" t="s">
        <v>288</v>
      </c>
      <c r="O91" s="20"/>
      <c r="P91" s="20"/>
      <c r="S91" s="19"/>
    </row>
    <row r="92" spans="1:36" ht="15" customHeight="1">
      <c r="A92" s="3"/>
      <c r="B92" s="376" t="s">
        <v>369</v>
      </c>
      <c r="C92" s="365">
        <v>252046.43</v>
      </c>
      <c r="D92" s="365">
        <v>278921.13</v>
      </c>
      <c r="E92" s="365">
        <v>73289.728808988904</v>
      </c>
      <c r="F92" s="365">
        <v>308233.78167672752</v>
      </c>
      <c r="G92" s="365">
        <v>400375.39</v>
      </c>
      <c r="H92" s="365">
        <v>393436.01956317597</v>
      </c>
      <c r="I92" s="365">
        <v>0</v>
      </c>
      <c r="J92" s="365">
        <v>84487.738678761205</v>
      </c>
      <c r="K92" s="365">
        <v>375700.43</v>
      </c>
      <c r="L92" s="365">
        <v>251019.23287709799</v>
      </c>
      <c r="M92" s="365">
        <v>0</v>
      </c>
      <c r="N92" s="465">
        <v>16359.401019913101</v>
      </c>
      <c r="O92" s="20"/>
      <c r="P92" s="20"/>
      <c r="S92" s="19"/>
    </row>
    <row r="93" spans="1:36" ht="15" customHeight="1">
      <c r="A93" s="3"/>
      <c r="B93" s="376" t="s">
        <v>366</v>
      </c>
      <c r="C93" s="365">
        <f>1026790.198/3.2845</f>
        <v>312616.89694017352</v>
      </c>
      <c r="D93" s="365">
        <f>(1215656.34-1185226.34)/3.0552</f>
        <v>9960.0680806493838</v>
      </c>
      <c r="E93" s="365">
        <f>(1266321.34-1208801.34)/3.2878+39600+110636</f>
        <v>167730.98144656001</v>
      </c>
      <c r="F93" s="365">
        <v>43709.300485259111</v>
      </c>
      <c r="G93" s="365">
        <v>0</v>
      </c>
      <c r="H93" s="365"/>
      <c r="I93" s="365"/>
      <c r="J93" s="365"/>
      <c r="K93" s="365"/>
      <c r="L93" s="365"/>
      <c r="M93" s="365"/>
      <c r="N93" s="465"/>
      <c r="O93" s="20"/>
      <c r="P93" s="20"/>
      <c r="S93" s="19"/>
    </row>
    <row r="94" spans="1:36" ht="15" customHeight="1">
      <c r="A94" s="3"/>
      <c r="B94" s="376" t="s">
        <v>314</v>
      </c>
      <c r="C94" s="365">
        <v>0</v>
      </c>
      <c r="D94" s="365">
        <v>545748.58753029502</v>
      </c>
      <c r="E94" s="365">
        <v>65551.322071349132</v>
      </c>
      <c r="F94" s="365">
        <v>307227.9129269236</v>
      </c>
      <c r="G94" s="365">
        <v>45094.16</v>
      </c>
      <c r="H94" s="365"/>
      <c r="I94" s="365"/>
      <c r="J94" s="365"/>
      <c r="K94" s="365"/>
      <c r="L94" s="365"/>
      <c r="M94" s="365"/>
      <c r="N94" s="465"/>
      <c r="O94" s="20"/>
      <c r="P94" s="20"/>
      <c r="S94" s="19"/>
    </row>
    <row r="95" spans="1:36" ht="15" customHeight="1">
      <c r="A95" s="3"/>
      <c r="B95" s="320" t="s">
        <v>412</v>
      </c>
      <c r="C95" s="366">
        <f>+C92</f>
        <v>252046.43</v>
      </c>
      <c r="D95" s="366">
        <f t="shared" ref="D95:N95" si="3">+C95+D92</f>
        <v>530967.56000000006</v>
      </c>
      <c r="E95" s="366">
        <f>+D95+E92</f>
        <v>604257.28880898899</v>
      </c>
      <c r="F95" s="366">
        <f t="shared" si="3"/>
        <v>912491.07048571645</v>
      </c>
      <c r="G95" s="366">
        <f t="shared" si="3"/>
        <v>1312866.4604857164</v>
      </c>
      <c r="H95" s="366">
        <f t="shared" si="3"/>
        <v>1706302.4800488923</v>
      </c>
      <c r="I95" s="366">
        <f t="shared" si="3"/>
        <v>1706302.4800488923</v>
      </c>
      <c r="J95" s="366">
        <f t="shared" si="3"/>
        <v>1790790.2187276536</v>
      </c>
      <c r="K95" s="366">
        <f t="shared" si="3"/>
        <v>2166490.6487276535</v>
      </c>
      <c r="L95" s="366">
        <f t="shared" si="3"/>
        <v>2417509.8816047516</v>
      </c>
      <c r="M95" s="366">
        <f t="shared" si="3"/>
        <v>2417509.8816047516</v>
      </c>
      <c r="N95" s="466">
        <f t="shared" si="3"/>
        <v>2433869.2826246647</v>
      </c>
      <c r="O95" s="20"/>
      <c r="P95" s="20"/>
      <c r="S95" s="19"/>
    </row>
    <row r="96" spans="1:36" ht="15" customHeight="1">
      <c r="A96" s="3"/>
      <c r="B96" s="320" t="s">
        <v>5</v>
      </c>
      <c r="C96" s="366">
        <f>+C93</f>
        <v>312616.89694017352</v>
      </c>
      <c r="D96" s="366">
        <f t="shared" ref="D96:N96" si="4">+C96+D93</f>
        <v>322576.96502082288</v>
      </c>
      <c r="E96" s="366">
        <f>+D96+E93</f>
        <v>490307.94646738289</v>
      </c>
      <c r="F96" s="366">
        <f t="shared" si="4"/>
        <v>534017.24695264199</v>
      </c>
      <c r="G96" s="366">
        <f t="shared" si="4"/>
        <v>534017.24695264199</v>
      </c>
      <c r="H96" s="366">
        <f t="shared" si="4"/>
        <v>534017.24695264199</v>
      </c>
      <c r="I96" s="366">
        <f t="shared" si="4"/>
        <v>534017.24695264199</v>
      </c>
      <c r="J96" s="366">
        <f t="shared" si="4"/>
        <v>534017.24695264199</v>
      </c>
      <c r="K96" s="366">
        <f t="shared" si="4"/>
        <v>534017.24695264199</v>
      </c>
      <c r="L96" s="366">
        <f t="shared" si="4"/>
        <v>534017.24695264199</v>
      </c>
      <c r="M96" s="366">
        <f t="shared" si="4"/>
        <v>534017.24695264199</v>
      </c>
      <c r="N96" s="466">
        <f t="shared" si="4"/>
        <v>534017.24695264199</v>
      </c>
      <c r="O96" s="20"/>
      <c r="P96" s="20"/>
      <c r="S96" s="19"/>
    </row>
    <row r="97" spans="1:19" ht="15.75" thickBot="1">
      <c r="A97" s="3"/>
      <c r="B97" s="461" t="s">
        <v>6</v>
      </c>
      <c r="C97" s="462">
        <f>+C94</f>
        <v>0</v>
      </c>
      <c r="D97" s="463">
        <f t="shared" ref="D97:N97" si="5">+C97+D94</f>
        <v>545748.58753029502</v>
      </c>
      <c r="E97" s="463">
        <f>+D97+E94</f>
        <v>611299.90960164415</v>
      </c>
      <c r="F97" s="463">
        <f t="shared" si="5"/>
        <v>918527.82252856775</v>
      </c>
      <c r="G97" s="463">
        <f t="shared" si="5"/>
        <v>963621.98252856778</v>
      </c>
      <c r="H97" s="463">
        <f t="shared" si="5"/>
        <v>963621.98252856778</v>
      </c>
      <c r="I97" s="463">
        <f t="shared" si="5"/>
        <v>963621.98252856778</v>
      </c>
      <c r="J97" s="463">
        <f t="shared" si="5"/>
        <v>963621.98252856778</v>
      </c>
      <c r="K97" s="463">
        <f t="shared" si="5"/>
        <v>963621.98252856778</v>
      </c>
      <c r="L97" s="463">
        <f t="shared" si="5"/>
        <v>963621.98252856778</v>
      </c>
      <c r="M97" s="463">
        <f t="shared" si="5"/>
        <v>963621.98252856778</v>
      </c>
      <c r="N97" s="467">
        <f t="shared" si="5"/>
        <v>963621.98252856778</v>
      </c>
      <c r="O97" s="20"/>
      <c r="P97" s="20"/>
      <c r="S97" s="19"/>
    </row>
    <row r="98" spans="1:19">
      <c r="A98" s="3"/>
      <c r="B98" s="3"/>
      <c r="C98" s="2"/>
      <c r="D98" s="2"/>
      <c r="E98" s="2"/>
      <c r="F98" s="2"/>
      <c r="G98" s="2"/>
      <c r="H98" s="2"/>
      <c r="I98" s="15"/>
      <c r="J98" s="126"/>
      <c r="K98" s="127"/>
      <c r="L98" s="15"/>
      <c r="M98" s="128"/>
      <c r="N98" s="20"/>
      <c r="O98" s="20"/>
      <c r="P98" s="20"/>
      <c r="S98" s="19"/>
    </row>
    <row r="99" spans="1:19">
      <c r="A99" s="3"/>
      <c r="B99" s="2" t="s">
        <v>406</v>
      </c>
      <c r="C99" s="2"/>
      <c r="D99" s="2"/>
      <c r="E99" s="2"/>
      <c r="F99" s="2"/>
      <c r="G99" s="2"/>
      <c r="H99" s="2"/>
      <c r="I99" s="15"/>
      <c r="J99" s="126"/>
      <c r="K99" s="127"/>
      <c r="L99" s="15"/>
      <c r="M99" s="128"/>
      <c r="N99" s="20"/>
      <c r="O99" s="20"/>
      <c r="P99" s="20"/>
      <c r="S99" s="19"/>
    </row>
    <row r="100" spans="1:19">
      <c r="A100" s="3"/>
      <c r="C100" s="2"/>
      <c r="D100" s="2"/>
      <c r="E100" s="2"/>
      <c r="F100" s="2"/>
      <c r="G100" s="2"/>
      <c r="H100" s="2"/>
      <c r="I100" s="15"/>
      <c r="J100" s="126"/>
      <c r="K100" s="128"/>
      <c r="L100" s="15"/>
      <c r="M100" s="128"/>
      <c r="N100" s="20"/>
      <c r="O100" s="20"/>
      <c r="P100" s="20"/>
      <c r="S100" s="19"/>
    </row>
    <row r="101" spans="1:19">
      <c r="A101" s="3"/>
      <c r="B101" s="3"/>
      <c r="C101" s="3"/>
      <c r="D101" s="3"/>
      <c r="E101" s="3"/>
      <c r="F101" s="3"/>
      <c r="G101" s="3"/>
      <c r="H101" s="3"/>
      <c r="I101" s="15"/>
      <c r="J101" s="15"/>
      <c r="K101" s="15"/>
      <c r="L101" s="15"/>
      <c r="M101" s="15"/>
      <c r="N101" s="20"/>
      <c r="O101" s="20"/>
      <c r="P101" s="20"/>
    </row>
    <row r="102" spans="1:19" ht="18.75">
      <c r="A102" s="3"/>
      <c r="B102" s="110" t="s">
        <v>386</v>
      </c>
      <c r="C102" s="3"/>
      <c r="D102" s="3"/>
      <c r="E102" s="3"/>
      <c r="F102" s="3"/>
      <c r="G102" s="3"/>
      <c r="H102" s="3"/>
      <c r="I102" s="15"/>
      <c r="J102" s="15"/>
      <c r="K102" s="15"/>
      <c r="L102" s="15"/>
      <c r="M102" s="15"/>
      <c r="N102" s="20"/>
      <c r="O102" s="20"/>
      <c r="P102" s="20"/>
    </row>
    <row r="103" spans="1:19" ht="15.75" thickBot="1">
      <c r="A103" s="3"/>
      <c r="B103" s="3"/>
      <c r="C103" s="15"/>
      <c r="D103" s="15"/>
      <c r="E103" s="15"/>
      <c r="F103" s="15"/>
      <c r="G103" s="2"/>
      <c r="H103" s="2"/>
      <c r="I103" s="2"/>
      <c r="J103" s="15"/>
      <c r="K103" s="2"/>
      <c r="L103" s="15"/>
      <c r="M103" s="15"/>
      <c r="N103" s="20"/>
      <c r="O103" s="20"/>
      <c r="P103" s="20"/>
      <c r="Q103" s="19"/>
      <c r="S103" s="20"/>
    </row>
    <row r="104" spans="1:19" ht="90.75" customHeight="1">
      <c r="A104" s="3"/>
      <c r="B104" s="321" t="s">
        <v>33</v>
      </c>
      <c r="C104" s="322" t="s">
        <v>80</v>
      </c>
      <c r="D104" s="324" t="s">
        <v>368</v>
      </c>
      <c r="E104" s="324" t="s">
        <v>337</v>
      </c>
      <c r="F104" s="323" t="s">
        <v>338</v>
      </c>
      <c r="G104" s="323" t="s">
        <v>339</v>
      </c>
      <c r="H104" s="324" t="s">
        <v>340</v>
      </c>
      <c r="I104" s="324" t="s">
        <v>341</v>
      </c>
      <c r="J104" s="324" t="s">
        <v>342</v>
      </c>
      <c r="K104" s="325" t="s">
        <v>343</v>
      </c>
      <c r="L104" s="2"/>
      <c r="M104" s="20"/>
      <c r="N104" s="20"/>
      <c r="O104" s="20"/>
      <c r="P104" s="19"/>
      <c r="R104" s="20"/>
    </row>
    <row r="105" spans="1:19">
      <c r="A105" s="3"/>
      <c r="B105" s="672" t="s">
        <v>35</v>
      </c>
      <c r="C105" s="402" t="s">
        <v>416</v>
      </c>
      <c r="D105" s="403">
        <v>3</v>
      </c>
      <c r="E105" s="404">
        <f>IF(ISBLANK(D105),"",D105*30)</f>
        <v>90</v>
      </c>
      <c r="F105" s="496">
        <v>129.92592592592592</v>
      </c>
      <c r="G105" s="367">
        <f>IF(AND(E105&gt;0,F105&gt;0),(F105*E105),"")</f>
        <v>11693.333333333334</v>
      </c>
      <c r="H105" s="367">
        <v>424024</v>
      </c>
      <c r="I105" s="419">
        <f>IF(AND(G105&gt;0,H105&gt;0),H105/G105,"")</f>
        <v>36.26202964652223</v>
      </c>
      <c r="J105" s="405">
        <v>3</v>
      </c>
      <c r="K105" s="468">
        <f>IF(AND(I105&gt;0,J105&gt;0),I105-J105,"")</f>
        <v>33.26202964652223</v>
      </c>
      <c r="L105" s="2"/>
      <c r="M105" s="20"/>
      <c r="N105" s="20"/>
      <c r="O105" s="20"/>
      <c r="P105" s="19"/>
      <c r="R105" s="20"/>
    </row>
    <row r="106" spans="1:19">
      <c r="A106" s="3"/>
      <c r="B106" s="673"/>
      <c r="C106" s="402" t="s">
        <v>431</v>
      </c>
      <c r="D106" s="403">
        <v>1</v>
      </c>
      <c r="E106" s="404">
        <f>IF(ISBLANK(D106),"",D106*30)</f>
        <v>30</v>
      </c>
      <c r="F106" s="496">
        <v>14</v>
      </c>
      <c r="G106" s="367">
        <f>IF(AND(E106&gt;0,F106&gt;0),(F106*E106),"")</f>
        <v>420</v>
      </c>
      <c r="H106" s="367">
        <v>6558</v>
      </c>
      <c r="I106" s="419">
        <f>IF(AND(G106&gt;0,H106&gt;0),H106/G106,"")</f>
        <v>15.614285714285714</v>
      </c>
      <c r="J106" s="405">
        <v>3</v>
      </c>
      <c r="K106" s="468">
        <f>IF(AND(I106&gt;0,J106&gt;0),I106-J106,"")</f>
        <v>12.614285714285714</v>
      </c>
      <c r="L106" s="2"/>
      <c r="M106" s="20"/>
      <c r="N106" s="20"/>
      <c r="O106" s="20"/>
      <c r="P106" s="19"/>
    </row>
    <row r="107" spans="1:19" ht="15.75" thickBot="1">
      <c r="A107" s="3"/>
      <c r="B107" s="673"/>
      <c r="C107" s="406" t="s">
        <v>419</v>
      </c>
      <c r="D107" s="403">
        <v>3</v>
      </c>
      <c r="E107" s="404">
        <v>90</v>
      </c>
      <c r="F107" s="496">
        <v>86.785185185185185</v>
      </c>
      <c r="G107" s="367">
        <f>IF(AND(E107&gt;0,F107&gt;0),(F107*E107),"")</f>
        <v>7810.666666666667</v>
      </c>
      <c r="H107" s="367">
        <v>153503</v>
      </c>
      <c r="I107" s="419">
        <f>IF(AND(G107&gt;0,H107&gt;0),H107/G107,"")</f>
        <v>19.65299590303858</v>
      </c>
      <c r="J107" s="405">
        <v>3</v>
      </c>
      <c r="K107" s="468">
        <f>IF(AND(I107&gt;0,J107&gt;0),I107-J107,"")</f>
        <v>16.65299590303858</v>
      </c>
      <c r="L107" s="2"/>
      <c r="M107" s="20"/>
      <c r="N107" s="20"/>
      <c r="O107" s="20"/>
      <c r="P107" s="19"/>
      <c r="R107" s="20"/>
    </row>
    <row r="108" spans="1:19" ht="15.75" thickBot="1">
      <c r="A108" s="3"/>
      <c r="B108" s="674"/>
      <c r="C108" s="406" t="s">
        <v>425</v>
      </c>
      <c r="D108" s="407">
        <v>1</v>
      </c>
      <c r="E108" s="458">
        <f>IF(ISBLANK(D108),"",D108*30)</f>
        <v>30</v>
      </c>
      <c r="F108" s="497">
        <v>111.66666666666667</v>
      </c>
      <c r="G108" s="459">
        <f>IF(AND(E108&gt;0,F108&gt;0),(F108*E108),"")</f>
        <v>3350</v>
      </c>
      <c r="H108" s="459">
        <v>156941</v>
      </c>
      <c r="I108" s="460">
        <f>IF(AND(G108&gt;0,H108&gt;0),H108/G108,"")</f>
        <v>46.848059701492538</v>
      </c>
      <c r="J108" s="408">
        <v>3</v>
      </c>
      <c r="K108" s="469">
        <f>IF(AND(I108&gt;0,J108&gt;0),I108-J108,"")</f>
        <v>43.848059701492538</v>
      </c>
      <c r="L108" s="2"/>
      <c r="M108" s="20"/>
      <c r="N108" s="20"/>
      <c r="O108" s="20"/>
      <c r="P108" s="19"/>
      <c r="R108" s="20"/>
    </row>
    <row r="109" spans="1:19">
      <c r="A109" s="3"/>
      <c r="B109" s="3"/>
      <c r="C109" s="3"/>
      <c r="D109" s="3"/>
      <c r="E109" s="3"/>
      <c r="F109" s="3"/>
      <c r="G109" s="2"/>
      <c r="H109" s="2"/>
      <c r="I109" s="2"/>
      <c r="J109" s="3"/>
      <c r="K109" s="3"/>
      <c r="L109" s="2"/>
      <c r="M109" s="2"/>
      <c r="N109" s="20"/>
      <c r="O109" s="20"/>
      <c r="P109" s="20"/>
      <c r="Q109" s="19"/>
      <c r="S109" s="20"/>
    </row>
    <row r="110" spans="1:19" ht="45.75" thickBot="1">
      <c r="A110" s="3"/>
      <c r="B110" s="3"/>
      <c r="C110" s="3"/>
      <c r="D110" s="3"/>
      <c r="E110" s="3"/>
      <c r="F110" s="474" t="s">
        <v>417</v>
      </c>
      <c r="G110" s="474" t="s">
        <v>418</v>
      </c>
      <c r="H110" s="474" t="s">
        <v>417</v>
      </c>
      <c r="I110" s="2"/>
      <c r="J110" s="109"/>
      <c r="K110" s="109"/>
      <c r="L110" s="3"/>
      <c r="M110" s="3"/>
    </row>
    <row r="111" spans="1:19" ht="19.5" thickBot="1">
      <c r="A111" s="3"/>
      <c r="B111" s="243" t="s">
        <v>393</v>
      </c>
      <c r="C111" s="129"/>
      <c r="D111" s="129"/>
      <c r="E111" s="130"/>
      <c r="F111" s="130"/>
      <c r="G111" s="130"/>
      <c r="H111" s="257"/>
      <c r="I111" s="244"/>
      <c r="J111" s="343"/>
      <c r="K111" s="344" t="s">
        <v>372</v>
      </c>
      <c r="L111" s="130"/>
      <c r="M111" s="345"/>
      <c r="N111" s="346"/>
      <c r="O111" s="346"/>
      <c r="P111" s="410"/>
      <c r="Q111" s="36"/>
    </row>
    <row r="112" spans="1:19" ht="15.75" thickBot="1">
      <c r="A112" s="3"/>
      <c r="B112" s="3"/>
      <c r="C112" s="3"/>
      <c r="D112" s="3"/>
      <c r="E112" s="3"/>
      <c r="F112" s="3"/>
      <c r="G112" s="3"/>
      <c r="H112" s="3"/>
      <c r="I112" s="3"/>
      <c r="J112" s="3"/>
      <c r="K112" s="3"/>
      <c r="L112" s="3"/>
      <c r="M112" s="3"/>
      <c r="N112"/>
      <c r="O112"/>
      <c r="P112" s="36"/>
      <c r="Q112" s="36"/>
    </row>
    <row r="113" spans="1:20">
      <c r="A113" s="3"/>
      <c r="B113" s="633" t="s">
        <v>399</v>
      </c>
      <c r="C113" s="634"/>
      <c r="D113" s="635"/>
      <c r="E113" s="329" t="s">
        <v>328</v>
      </c>
      <c r="F113" s="285" t="s">
        <v>345</v>
      </c>
      <c r="G113" s="248"/>
      <c r="H113" s="388" t="s">
        <v>106</v>
      </c>
      <c r="I113" s="388" t="s">
        <v>107</v>
      </c>
      <c r="J113" s="388" t="s">
        <v>108</v>
      </c>
      <c r="K113" s="388" t="s">
        <v>109</v>
      </c>
      <c r="L113" s="388" t="s">
        <v>121</v>
      </c>
      <c r="M113" s="388" t="s">
        <v>122</v>
      </c>
      <c r="N113" s="388" t="s">
        <v>123</v>
      </c>
      <c r="O113" s="388" t="s">
        <v>124</v>
      </c>
      <c r="P113" s="388" t="s">
        <v>125</v>
      </c>
      <c r="Q113" s="388" t="s">
        <v>126</v>
      </c>
      <c r="R113" s="388" t="s">
        <v>127</v>
      </c>
      <c r="S113" s="389" t="s">
        <v>288</v>
      </c>
      <c r="T113" s="64"/>
    </row>
    <row r="114" spans="1:20" ht="1.5" customHeight="1">
      <c r="A114" s="3"/>
      <c r="B114" s="435"/>
      <c r="C114" s="436"/>
      <c r="D114" s="436"/>
      <c r="E114" s="437"/>
      <c r="F114" s="438"/>
      <c r="G114" s="439"/>
      <c r="H114" s="440"/>
      <c r="I114" s="440"/>
      <c r="J114" s="440"/>
      <c r="K114" s="440"/>
      <c r="L114" s="440"/>
      <c r="M114" s="440"/>
      <c r="N114" s="440"/>
      <c r="O114" s="440"/>
      <c r="P114" s="440"/>
      <c r="Q114" s="440"/>
      <c r="R114" s="440"/>
      <c r="S114" s="441"/>
      <c r="T114" s="64"/>
    </row>
    <row r="115" spans="1:20" ht="15" customHeight="1">
      <c r="A115" s="612" t="s">
        <v>376</v>
      </c>
      <c r="B115" s="616" t="s">
        <v>426</v>
      </c>
      <c r="C115" s="617"/>
      <c r="D115" s="618"/>
      <c r="E115" s="632" t="s">
        <v>437</v>
      </c>
      <c r="F115" s="709" t="s">
        <v>115</v>
      </c>
      <c r="G115" s="487" t="s">
        <v>86</v>
      </c>
      <c r="H115" s="491">
        <f>320/4</f>
        <v>80</v>
      </c>
      <c r="I115" s="491">
        <f t="shared" ref="I115:K115" si="6">320/4</f>
        <v>80</v>
      </c>
      <c r="J115" s="491">
        <f t="shared" si="6"/>
        <v>80</v>
      </c>
      <c r="K115" s="491">
        <f t="shared" si="6"/>
        <v>80</v>
      </c>
      <c r="L115" s="280">
        <v>78</v>
      </c>
      <c r="M115" s="280">
        <v>78</v>
      </c>
      <c r="N115" s="280">
        <v>78</v>
      </c>
      <c r="O115" s="280">
        <v>79</v>
      </c>
      <c r="P115" s="280">
        <v>77</v>
      </c>
      <c r="Q115" s="280">
        <v>77</v>
      </c>
      <c r="R115" s="280">
        <v>77</v>
      </c>
      <c r="S115" s="280">
        <v>76</v>
      </c>
      <c r="T115" s="64"/>
    </row>
    <row r="116" spans="1:20">
      <c r="A116" s="612"/>
      <c r="B116" s="619"/>
      <c r="C116" s="620"/>
      <c r="D116" s="621"/>
      <c r="E116" s="632"/>
      <c r="F116" s="709"/>
      <c r="G116" s="488" t="s">
        <v>87</v>
      </c>
      <c r="H116" s="133">
        <v>80</v>
      </c>
      <c r="I116" s="133">
        <v>54</v>
      </c>
      <c r="J116" s="133">
        <v>42</v>
      </c>
      <c r="K116" s="280">
        <v>40</v>
      </c>
      <c r="L116" s="133">
        <v>52</v>
      </c>
      <c r="M116" s="133"/>
      <c r="N116" s="133"/>
      <c r="O116" s="133"/>
      <c r="P116" s="133"/>
      <c r="Q116" s="133"/>
      <c r="R116" s="133"/>
      <c r="S116" s="134"/>
      <c r="T116" s="64"/>
    </row>
    <row r="117" spans="1:20" ht="15" customHeight="1">
      <c r="A117" s="612"/>
      <c r="B117" s="627" t="s">
        <v>435</v>
      </c>
      <c r="C117" s="628"/>
      <c r="D117" s="629"/>
      <c r="E117" s="712" t="s">
        <v>438</v>
      </c>
      <c r="F117" s="710" t="s">
        <v>115</v>
      </c>
      <c r="G117" s="489" t="s">
        <v>86</v>
      </c>
      <c r="H117" s="281">
        <v>77</v>
      </c>
      <c r="I117" s="281">
        <v>77</v>
      </c>
      <c r="J117" s="281">
        <v>76</v>
      </c>
      <c r="K117" s="281">
        <v>76</v>
      </c>
      <c r="L117" s="281">
        <v>75</v>
      </c>
      <c r="M117" s="281">
        <v>75</v>
      </c>
      <c r="N117" s="281">
        <v>75</v>
      </c>
      <c r="O117" s="281">
        <v>75</v>
      </c>
      <c r="P117" s="281">
        <v>71</v>
      </c>
      <c r="Q117" s="281">
        <v>71</v>
      </c>
      <c r="R117" s="281">
        <v>71</v>
      </c>
      <c r="S117" s="281">
        <v>71</v>
      </c>
      <c r="T117" s="64"/>
    </row>
    <row r="118" spans="1:20" ht="21" customHeight="1">
      <c r="A118" s="612"/>
      <c r="B118" s="627"/>
      <c r="C118" s="628"/>
      <c r="D118" s="629"/>
      <c r="E118" s="712"/>
      <c r="F118" s="711"/>
      <c r="G118" s="489" t="s">
        <v>87</v>
      </c>
      <c r="H118" s="245">
        <v>77</v>
      </c>
      <c r="I118" s="245">
        <v>54</v>
      </c>
      <c r="J118" s="327">
        <v>42</v>
      </c>
      <c r="K118" s="328">
        <v>35</v>
      </c>
      <c r="L118" s="327">
        <v>54</v>
      </c>
      <c r="M118" s="327"/>
      <c r="N118" s="327"/>
      <c r="O118" s="327"/>
      <c r="P118" s="245"/>
      <c r="Q118" s="245"/>
      <c r="R118" s="245"/>
      <c r="S118" s="326"/>
      <c r="T118" s="64"/>
    </row>
    <row r="119" spans="1:20" ht="15" customHeight="1">
      <c r="A119" s="612"/>
      <c r="B119" s="619" t="s">
        <v>436</v>
      </c>
      <c r="C119" s="620"/>
      <c r="D119" s="621"/>
      <c r="E119" s="632" t="s">
        <v>439</v>
      </c>
      <c r="F119" s="625" t="s">
        <v>115</v>
      </c>
      <c r="G119" s="488" t="s">
        <v>86</v>
      </c>
      <c r="H119" s="280">
        <v>84</v>
      </c>
      <c r="I119" s="280">
        <v>84</v>
      </c>
      <c r="J119" s="280">
        <v>84</v>
      </c>
      <c r="K119" s="280">
        <v>84</v>
      </c>
      <c r="L119" s="280">
        <v>85</v>
      </c>
      <c r="M119" s="280">
        <v>85</v>
      </c>
      <c r="N119" s="280">
        <v>85</v>
      </c>
      <c r="O119" s="280">
        <v>85</v>
      </c>
      <c r="P119" s="280">
        <v>87</v>
      </c>
      <c r="Q119" s="280">
        <v>87</v>
      </c>
      <c r="R119" s="280">
        <v>87</v>
      </c>
      <c r="S119" s="280">
        <v>87</v>
      </c>
      <c r="T119" s="64"/>
    </row>
    <row r="120" spans="1:20" ht="26.25" customHeight="1" thickBot="1">
      <c r="A120" s="612"/>
      <c r="B120" s="619"/>
      <c r="C120" s="620"/>
      <c r="D120" s="621"/>
      <c r="E120" s="632"/>
      <c r="F120" s="626"/>
      <c r="G120" s="490" t="s">
        <v>87</v>
      </c>
      <c r="H120" s="133">
        <v>80</v>
      </c>
      <c r="I120" s="133">
        <v>89.5</v>
      </c>
      <c r="J120" s="133">
        <v>81</v>
      </c>
      <c r="K120" s="133">
        <v>92</v>
      </c>
      <c r="L120" s="133">
        <v>95</v>
      </c>
      <c r="M120" s="133"/>
      <c r="N120" s="133"/>
      <c r="O120" s="133"/>
      <c r="P120" s="133"/>
      <c r="Q120" s="133"/>
      <c r="R120" s="133"/>
      <c r="S120" s="134"/>
      <c r="T120" s="64"/>
    </row>
    <row r="121" spans="1:20" ht="15" customHeight="1">
      <c r="A121" s="3"/>
      <c r="B121" s="627"/>
      <c r="C121" s="656"/>
      <c r="D121" s="657"/>
      <c r="E121" s="679"/>
      <c r="F121" s="675"/>
      <c r="G121" s="446"/>
      <c r="H121" s="327"/>
      <c r="I121" s="245"/>
      <c r="J121" s="245"/>
      <c r="K121" s="281"/>
      <c r="L121" s="245"/>
      <c r="M121" s="245"/>
      <c r="N121" s="245"/>
      <c r="O121" s="245"/>
      <c r="P121" s="245"/>
      <c r="Q121" s="245"/>
      <c r="R121" s="245"/>
      <c r="S121" s="326"/>
      <c r="T121" s="64"/>
    </row>
    <row r="122" spans="1:20" ht="25.5" customHeight="1">
      <c r="A122" s="3"/>
      <c r="B122" s="658"/>
      <c r="C122" s="656"/>
      <c r="D122" s="657"/>
      <c r="E122" s="679"/>
      <c r="F122" s="676"/>
      <c r="G122" s="446"/>
      <c r="H122" s="327"/>
      <c r="I122" s="245"/>
      <c r="J122" s="245"/>
      <c r="K122" s="281"/>
      <c r="L122" s="245"/>
      <c r="M122" s="245"/>
      <c r="N122" s="245"/>
      <c r="O122" s="245"/>
      <c r="P122" s="245"/>
      <c r="Q122" s="245"/>
      <c r="R122" s="245"/>
      <c r="S122" s="326"/>
      <c r="T122" s="64"/>
    </row>
    <row r="123" spans="1:20" ht="15" customHeight="1">
      <c r="A123" s="3"/>
      <c r="B123" s="659"/>
      <c r="C123" s="660"/>
      <c r="D123" s="661"/>
      <c r="E123" s="677"/>
      <c r="F123" s="666"/>
      <c r="G123" s="447"/>
      <c r="H123" s="448"/>
      <c r="I123" s="448"/>
      <c r="J123" s="448"/>
      <c r="K123" s="449"/>
      <c r="L123" s="448"/>
      <c r="M123" s="448"/>
      <c r="N123" s="448"/>
      <c r="O123" s="448"/>
      <c r="P123" s="448"/>
      <c r="Q123" s="448"/>
      <c r="R123" s="448"/>
      <c r="S123" s="450"/>
      <c r="T123" s="64"/>
    </row>
    <row r="124" spans="1:20">
      <c r="A124" s="3"/>
      <c r="B124" s="662"/>
      <c r="C124" s="660"/>
      <c r="D124" s="661"/>
      <c r="E124" s="677"/>
      <c r="F124" s="667"/>
      <c r="G124" s="447"/>
      <c r="H124" s="448"/>
      <c r="I124" s="448"/>
      <c r="J124" s="448"/>
      <c r="K124" s="449"/>
      <c r="L124" s="448"/>
      <c r="M124" s="448"/>
      <c r="N124" s="448"/>
      <c r="O124" s="448"/>
      <c r="P124" s="448"/>
      <c r="Q124" s="448"/>
      <c r="R124" s="448"/>
      <c r="S124" s="450"/>
      <c r="T124" s="64"/>
    </row>
    <row r="125" spans="1:20" ht="15" customHeight="1">
      <c r="A125" s="3"/>
      <c r="B125" s="627"/>
      <c r="C125" s="656"/>
      <c r="D125" s="657"/>
      <c r="E125" s="679"/>
      <c r="F125" s="675"/>
      <c r="G125" s="446"/>
      <c r="H125" s="327"/>
      <c r="I125" s="327"/>
      <c r="J125" s="327"/>
      <c r="K125" s="328"/>
      <c r="L125" s="327"/>
      <c r="M125" s="327"/>
      <c r="N125" s="327"/>
      <c r="O125" s="327"/>
      <c r="P125" s="327"/>
      <c r="Q125" s="327"/>
      <c r="R125" s="327"/>
      <c r="S125" s="451"/>
      <c r="T125" s="64"/>
    </row>
    <row r="126" spans="1:20">
      <c r="A126" s="3"/>
      <c r="B126" s="658"/>
      <c r="C126" s="656"/>
      <c r="D126" s="657"/>
      <c r="E126" s="679"/>
      <c r="F126" s="676"/>
      <c r="G126" s="446"/>
      <c r="H126" s="327"/>
      <c r="I126" s="245"/>
      <c r="J126" s="245"/>
      <c r="K126" s="281"/>
      <c r="L126" s="245"/>
      <c r="M126" s="245"/>
      <c r="N126" s="245"/>
      <c r="O126" s="245"/>
      <c r="P126" s="327"/>
      <c r="Q126" s="327"/>
      <c r="R126" s="327"/>
      <c r="S126" s="451"/>
      <c r="T126" s="64"/>
    </row>
    <row r="127" spans="1:20">
      <c r="A127" s="3"/>
      <c r="B127" s="659"/>
      <c r="C127" s="660"/>
      <c r="D127" s="661"/>
      <c r="E127" s="677"/>
      <c r="F127" s="678"/>
      <c r="G127" s="447"/>
      <c r="H127" s="448"/>
      <c r="I127" s="448"/>
      <c r="J127" s="448"/>
      <c r="K127" s="449"/>
      <c r="L127" s="448"/>
      <c r="M127" s="448"/>
      <c r="N127" s="448"/>
      <c r="O127" s="448"/>
      <c r="P127" s="448"/>
      <c r="Q127" s="448"/>
      <c r="R127" s="448"/>
      <c r="S127" s="450"/>
      <c r="T127" s="64"/>
    </row>
    <row r="128" spans="1:20">
      <c r="A128" s="3"/>
      <c r="B128" s="662"/>
      <c r="C128" s="660"/>
      <c r="D128" s="661"/>
      <c r="E128" s="677"/>
      <c r="F128" s="678"/>
      <c r="G128" s="447"/>
      <c r="H128" s="448"/>
      <c r="I128" s="448"/>
      <c r="J128" s="448"/>
      <c r="K128" s="449"/>
      <c r="L128" s="448"/>
      <c r="M128" s="448"/>
      <c r="N128" s="448"/>
      <c r="O128" s="448"/>
      <c r="P128" s="448"/>
      <c r="Q128" s="448"/>
      <c r="R128" s="448"/>
      <c r="S128" s="450"/>
      <c r="T128" s="64"/>
    </row>
    <row r="129" spans="1:21" ht="14.25" customHeight="1">
      <c r="A129" s="3"/>
      <c r="B129" s="627"/>
      <c r="C129" s="656"/>
      <c r="D129" s="657"/>
      <c r="E129" s="679"/>
      <c r="F129" s="665"/>
      <c r="G129" s="446"/>
      <c r="H129" s="327"/>
      <c r="I129" s="327"/>
      <c r="J129" s="327"/>
      <c r="K129" s="327"/>
      <c r="L129" s="327"/>
      <c r="M129" s="327"/>
      <c r="N129" s="327"/>
      <c r="O129" s="327"/>
      <c r="P129" s="327"/>
      <c r="Q129" s="327"/>
      <c r="R129" s="327"/>
      <c r="S129" s="451"/>
      <c r="T129" s="64"/>
    </row>
    <row r="130" spans="1:21">
      <c r="A130" s="3"/>
      <c r="B130" s="658"/>
      <c r="C130" s="656"/>
      <c r="D130" s="657"/>
      <c r="E130" s="679"/>
      <c r="F130" s="665"/>
      <c r="G130" s="446"/>
      <c r="H130" s="327"/>
      <c r="I130" s="327"/>
      <c r="J130" s="327"/>
      <c r="K130" s="327"/>
      <c r="L130" s="327"/>
      <c r="M130" s="327"/>
      <c r="N130" s="327"/>
      <c r="O130" s="327"/>
      <c r="P130" s="327"/>
      <c r="Q130" s="327"/>
      <c r="R130" s="327"/>
      <c r="S130" s="451"/>
      <c r="T130" s="64"/>
    </row>
    <row r="131" spans="1:21" ht="14.25" customHeight="1">
      <c r="A131" s="3"/>
      <c r="B131" s="659"/>
      <c r="C131" s="660"/>
      <c r="D131" s="661"/>
      <c r="E131" s="677"/>
      <c r="F131" s="697"/>
      <c r="G131" s="447"/>
      <c r="H131" s="448"/>
      <c r="I131" s="448"/>
      <c r="J131" s="448"/>
      <c r="K131" s="448"/>
      <c r="L131" s="448"/>
      <c r="M131" s="448"/>
      <c r="N131" s="448"/>
      <c r="O131" s="448"/>
      <c r="P131" s="448"/>
      <c r="Q131" s="448"/>
      <c r="R131" s="448"/>
      <c r="S131" s="450"/>
      <c r="T131" s="64"/>
    </row>
    <row r="132" spans="1:21">
      <c r="A132" s="3"/>
      <c r="B132" s="662"/>
      <c r="C132" s="660"/>
      <c r="D132" s="661"/>
      <c r="E132" s="677"/>
      <c r="F132" s="697"/>
      <c r="G132" s="447"/>
      <c r="H132" s="448"/>
      <c r="I132" s="448"/>
      <c r="J132" s="448"/>
      <c r="K132" s="448"/>
      <c r="L132" s="448"/>
      <c r="M132" s="448"/>
      <c r="N132" s="448"/>
      <c r="O132" s="448"/>
      <c r="P132" s="448"/>
      <c r="Q132" s="448"/>
      <c r="R132" s="448"/>
      <c r="S132" s="450"/>
      <c r="T132" s="64"/>
    </row>
    <row r="133" spans="1:21" ht="14.25" customHeight="1">
      <c r="A133" s="3"/>
      <c r="B133" s="627"/>
      <c r="C133" s="656"/>
      <c r="D133" s="657"/>
      <c r="E133" s="679"/>
      <c r="F133" s="665"/>
      <c r="G133" s="446"/>
      <c r="H133" s="327"/>
      <c r="I133" s="327"/>
      <c r="J133" s="327"/>
      <c r="K133" s="327"/>
      <c r="L133" s="327"/>
      <c r="M133" s="327"/>
      <c r="N133" s="327"/>
      <c r="O133" s="327"/>
      <c r="P133" s="327"/>
      <c r="Q133" s="327"/>
      <c r="R133" s="327"/>
      <c r="S133" s="451"/>
      <c r="T133" s="64"/>
    </row>
    <row r="134" spans="1:21" ht="15.75" thickBot="1">
      <c r="A134" s="3"/>
      <c r="B134" s="688"/>
      <c r="C134" s="689"/>
      <c r="D134" s="690"/>
      <c r="E134" s="698"/>
      <c r="F134" s="699"/>
      <c r="G134" s="452"/>
      <c r="H134" s="453"/>
      <c r="I134" s="453"/>
      <c r="J134" s="453"/>
      <c r="K134" s="453"/>
      <c r="L134" s="453"/>
      <c r="M134" s="453"/>
      <c r="N134" s="453"/>
      <c r="O134" s="453"/>
      <c r="P134" s="453"/>
      <c r="Q134" s="453"/>
      <c r="R134" s="453"/>
      <c r="S134" s="454"/>
      <c r="T134" s="64"/>
    </row>
    <row r="135" spans="1:21">
      <c r="A135" s="3"/>
      <c r="B135" s="3"/>
      <c r="C135" s="3"/>
      <c r="D135" s="3"/>
      <c r="E135" s="3"/>
      <c r="F135" s="3"/>
      <c r="G135" s="2"/>
      <c r="H135" s="3"/>
      <c r="I135" s="3"/>
      <c r="J135" s="3"/>
      <c r="K135" s="3"/>
      <c r="L135" s="3"/>
      <c r="M135" s="3"/>
      <c r="N135" s="3"/>
      <c r="O135" s="3"/>
      <c r="R135" s="36"/>
      <c r="S135" s="36"/>
    </row>
    <row r="136" spans="1:21">
      <c r="A136" s="3"/>
      <c r="B136" s="3"/>
      <c r="C136" s="3"/>
      <c r="D136" s="3"/>
      <c r="E136" s="3"/>
      <c r="F136" s="3"/>
      <c r="G136" s="2"/>
      <c r="H136" s="3"/>
      <c r="I136" s="3"/>
      <c r="J136" s="3"/>
      <c r="K136" s="3"/>
      <c r="L136" s="3"/>
      <c r="M136" s="3"/>
      <c r="N136" s="3"/>
      <c r="O136" s="3"/>
      <c r="R136" s="36"/>
      <c r="S136" s="36"/>
    </row>
    <row r="137" spans="1:21">
      <c r="A137" s="3"/>
      <c r="B137" s="3"/>
      <c r="C137" s="3"/>
      <c r="D137" s="3"/>
      <c r="E137" s="3"/>
      <c r="F137" s="3"/>
      <c r="G137" s="2"/>
      <c r="H137" s="3"/>
      <c r="I137" s="3"/>
      <c r="J137" s="3"/>
      <c r="K137" s="3"/>
      <c r="L137" s="3"/>
      <c r="M137" s="3"/>
      <c r="N137" s="3"/>
      <c r="O137" s="3"/>
      <c r="R137" s="36"/>
      <c r="S137" s="36"/>
    </row>
    <row r="138" spans="1:21" ht="16.5" thickBot="1">
      <c r="A138" s="3"/>
      <c r="B138" s="331"/>
      <c r="C138" s="3"/>
      <c r="D138" s="3"/>
      <c r="E138" s="3"/>
      <c r="F138" s="3"/>
      <c r="G138" s="2"/>
      <c r="H138" s="3"/>
      <c r="I138" s="3"/>
      <c r="J138" s="3"/>
      <c r="K138" s="3"/>
      <c r="L138" s="3"/>
      <c r="M138" s="3"/>
      <c r="N138" s="3"/>
      <c r="O138" s="3"/>
      <c r="R138" s="36"/>
      <c r="S138" s="36"/>
    </row>
    <row r="139" spans="1:21" ht="15.75" thickBot="1">
      <c r="A139" s="3"/>
      <c r="B139" s="3" t="s">
        <v>407</v>
      </c>
      <c r="C139" s="3"/>
      <c r="D139" s="3"/>
      <c r="E139" s="329" t="s">
        <v>328</v>
      </c>
      <c r="F139" s="285" t="s">
        <v>345</v>
      </c>
      <c r="G139" s="248"/>
      <c r="H139" s="388" t="str">
        <f t="shared" ref="H139:S139" si="7">C30</f>
        <v>P1</v>
      </c>
      <c r="I139" s="388" t="str">
        <f t="shared" si="7"/>
        <v>P2</v>
      </c>
      <c r="J139" s="388" t="str">
        <f t="shared" si="7"/>
        <v>P3</v>
      </c>
      <c r="K139" s="388" t="str">
        <f t="shared" si="7"/>
        <v>P4</v>
      </c>
      <c r="L139" s="388" t="str">
        <f t="shared" si="7"/>
        <v>P5</v>
      </c>
      <c r="M139" s="388" t="str">
        <f t="shared" si="7"/>
        <v>P6</v>
      </c>
      <c r="N139" s="388" t="str">
        <f t="shared" si="7"/>
        <v>P7</v>
      </c>
      <c r="O139" s="388" t="str">
        <f t="shared" si="7"/>
        <v>P8</v>
      </c>
      <c r="P139" s="388" t="str">
        <f t="shared" si="7"/>
        <v>P9</v>
      </c>
      <c r="Q139" s="388" t="str">
        <f t="shared" si="7"/>
        <v>P10</v>
      </c>
      <c r="R139" s="388" t="str">
        <f t="shared" si="7"/>
        <v>P11</v>
      </c>
      <c r="S139" s="389" t="str">
        <f t="shared" si="7"/>
        <v>P12</v>
      </c>
      <c r="T139" s="36"/>
      <c r="U139" s="36"/>
    </row>
    <row r="140" spans="1:21">
      <c r="A140" s="3"/>
      <c r="B140" s="700" t="str">
        <f>IF(ISBLANK(B115),"",(B115))</f>
        <v>MDR TB-3: Number of cases with drug resistant TB (RR-TB and/or MDR-TB) that began second-line treatment</v>
      </c>
      <c r="C140" s="701"/>
      <c r="D140" s="702"/>
      <c r="E140" s="693" t="str">
        <f>IF(ISBLANK(E115),"",(E115))</f>
        <v>MDR-TB-3(M)</v>
      </c>
      <c r="F140" s="695" t="str">
        <f>IF(ISBLANK(F115),"",(F115))</f>
        <v>Yes</v>
      </c>
      <c r="G140" s="357" t="s">
        <v>86</v>
      </c>
      <c r="H140" s="417">
        <f t="shared" ref="H140:L141" si="8">H115</f>
        <v>80</v>
      </c>
      <c r="I140" s="417">
        <f t="shared" si="8"/>
        <v>80</v>
      </c>
      <c r="J140" s="417">
        <f t="shared" si="8"/>
        <v>80</v>
      </c>
      <c r="K140" s="417">
        <f t="shared" si="8"/>
        <v>80</v>
      </c>
      <c r="L140" s="417">
        <f t="shared" ref="L140:S140" si="9">L115</f>
        <v>78</v>
      </c>
      <c r="M140" s="417">
        <f t="shared" si="9"/>
        <v>78</v>
      </c>
      <c r="N140" s="417">
        <f t="shared" si="9"/>
        <v>78</v>
      </c>
      <c r="O140" s="417">
        <f t="shared" si="9"/>
        <v>79</v>
      </c>
      <c r="P140" s="417">
        <f t="shared" si="9"/>
        <v>77</v>
      </c>
      <c r="Q140" s="417">
        <f t="shared" si="9"/>
        <v>77</v>
      </c>
      <c r="R140" s="417">
        <f t="shared" si="9"/>
        <v>77</v>
      </c>
      <c r="S140" s="470">
        <f t="shared" si="9"/>
        <v>76</v>
      </c>
      <c r="T140" s="36"/>
      <c r="U140" s="36"/>
    </row>
    <row r="141" spans="1:21">
      <c r="A141" s="3"/>
      <c r="B141" s="703"/>
      <c r="C141" s="704"/>
      <c r="D141" s="705"/>
      <c r="E141" s="693"/>
      <c r="F141" s="695"/>
      <c r="G141" s="131" t="s">
        <v>87</v>
      </c>
      <c r="H141" s="417">
        <f t="shared" si="8"/>
        <v>80</v>
      </c>
      <c r="I141" s="417">
        <v>54</v>
      </c>
      <c r="J141" s="417">
        <f t="shared" si="8"/>
        <v>42</v>
      </c>
      <c r="K141" s="417">
        <f t="shared" si="8"/>
        <v>40</v>
      </c>
      <c r="L141" s="417">
        <f t="shared" si="8"/>
        <v>52</v>
      </c>
      <c r="M141" s="417">
        <f t="shared" ref="M141:S141" si="10">M116</f>
        <v>0</v>
      </c>
      <c r="N141" s="417">
        <f t="shared" si="10"/>
        <v>0</v>
      </c>
      <c r="O141" s="417">
        <f t="shared" si="10"/>
        <v>0</v>
      </c>
      <c r="P141" s="417">
        <f t="shared" si="10"/>
        <v>0</v>
      </c>
      <c r="Q141" s="417">
        <f t="shared" si="10"/>
        <v>0</v>
      </c>
      <c r="R141" s="417">
        <f t="shared" si="10"/>
        <v>0</v>
      </c>
      <c r="S141" s="470">
        <f t="shared" si="10"/>
        <v>0</v>
      </c>
      <c r="T141" s="36"/>
      <c r="U141" s="36"/>
    </row>
    <row r="142" spans="1:21">
      <c r="A142" s="3"/>
      <c r="B142" s="653" t="str">
        <f>IF(ISBLANK(B117),"",(B117))</f>
        <v>MDR TB-2: Number of TB cases with RR-TB and/or MDR-TB notified</v>
      </c>
      <c r="C142" s="654"/>
      <c r="D142" s="655"/>
      <c r="E142" s="691" t="str">
        <f>IF(ISBLANK(E117),"",(E117))</f>
        <v>MDR TB-2(M)</v>
      </c>
      <c r="F142" s="692" t="str">
        <f>IF(ISBLANK(F117),"",(F117))</f>
        <v>Yes</v>
      </c>
      <c r="G142" s="455" t="s">
        <v>86</v>
      </c>
      <c r="H142" s="456">
        <f t="shared" ref="H142:L145" si="11">H117</f>
        <v>77</v>
      </c>
      <c r="I142" s="456">
        <f>I117</f>
        <v>77</v>
      </c>
      <c r="J142" s="456">
        <f t="shared" si="11"/>
        <v>76</v>
      </c>
      <c r="K142" s="456">
        <f>K117</f>
        <v>76</v>
      </c>
      <c r="L142" s="456">
        <f t="shared" ref="L142:S142" si="12">L117</f>
        <v>75</v>
      </c>
      <c r="M142" s="456">
        <f t="shared" si="12"/>
        <v>75</v>
      </c>
      <c r="N142" s="456">
        <f t="shared" si="12"/>
        <v>75</v>
      </c>
      <c r="O142" s="456">
        <f t="shared" si="12"/>
        <v>75</v>
      </c>
      <c r="P142" s="456">
        <f t="shared" si="12"/>
        <v>71</v>
      </c>
      <c r="Q142" s="456">
        <f t="shared" si="12"/>
        <v>71</v>
      </c>
      <c r="R142" s="456">
        <f t="shared" si="12"/>
        <v>71</v>
      </c>
      <c r="S142" s="471">
        <f t="shared" si="12"/>
        <v>71</v>
      </c>
      <c r="T142" s="36"/>
      <c r="U142" s="36"/>
    </row>
    <row r="143" spans="1:21">
      <c r="A143" s="3"/>
      <c r="B143" s="653"/>
      <c r="C143" s="654"/>
      <c r="D143" s="655"/>
      <c r="E143" s="691"/>
      <c r="F143" s="692"/>
      <c r="G143" s="455" t="s">
        <v>87</v>
      </c>
      <c r="H143" s="456">
        <f t="shared" si="11"/>
        <v>77</v>
      </c>
      <c r="I143" s="456">
        <v>54</v>
      </c>
      <c r="J143" s="456">
        <f t="shared" si="11"/>
        <v>42</v>
      </c>
      <c r="K143" s="456">
        <f t="shared" si="11"/>
        <v>35</v>
      </c>
      <c r="L143" s="456">
        <f t="shared" si="11"/>
        <v>54</v>
      </c>
      <c r="M143" s="456">
        <f t="shared" ref="M143:S143" si="13">M118</f>
        <v>0</v>
      </c>
      <c r="N143" s="456">
        <f t="shared" si="13"/>
        <v>0</v>
      </c>
      <c r="O143" s="456">
        <f t="shared" si="13"/>
        <v>0</v>
      </c>
      <c r="P143" s="456">
        <f t="shared" si="13"/>
        <v>0</v>
      </c>
      <c r="Q143" s="456">
        <f t="shared" si="13"/>
        <v>0</v>
      </c>
      <c r="R143" s="456">
        <f t="shared" si="13"/>
        <v>0</v>
      </c>
      <c r="S143" s="471">
        <f t="shared" si="13"/>
        <v>0</v>
      </c>
      <c r="T143" s="36"/>
      <c r="U143" s="36"/>
    </row>
    <row r="144" spans="1:21">
      <c r="A144" s="3"/>
      <c r="B144" s="682" t="str">
        <f>IF(ISBLANK(B119),"",(B119))</f>
        <v>TCP-8: Percentage of new and relapse TB patients tested using WHO recommended rapid tests at the time of diagnosis</v>
      </c>
      <c r="C144" s="683"/>
      <c r="D144" s="684"/>
      <c r="E144" s="693" t="str">
        <f>IF(ISBLANK(E119),"",(E119))</f>
        <v>TCP-8</v>
      </c>
      <c r="F144" s="695" t="str">
        <f>IF(ISBLANK(F119),"",(F119))</f>
        <v>Yes</v>
      </c>
      <c r="G144" s="131" t="s">
        <v>86</v>
      </c>
      <c r="H144" s="417">
        <f t="shared" si="11"/>
        <v>84</v>
      </c>
      <c r="I144" s="417">
        <f t="shared" si="11"/>
        <v>84</v>
      </c>
      <c r="J144" s="417">
        <f t="shared" si="11"/>
        <v>84</v>
      </c>
      <c r="K144" s="417">
        <f t="shared" si="11"/>
        <v>84</v>
      </c>
      <c r="L144" s="417">
        <f t="shared" ref="L144:S144" si="14">L119</f>
        <v>85</v>
      </c>
      <c r="M144" s="417">
        <f t="shared" si="14"/>
        <v>85</v>
      </c>
      <c r="N144" s="417">
        <f t="shared" si="14"/>
        <v>85</v>
      </c>
      <c r="O144" s="417">
        <f t="shared" si="14"/>
        <v>85</v>
      </c>
      <c r="P144" s="417">
        <f t="shared" si="14"/>
        <v>87</v>
      </c>
      <c r="Q144" s="417">
        <f t="shared" si="14"/>
        <v>87</v>
      </c>
      <c r="R144" s="417">
        <f t="shared" si="14"/>
        <v>87</v>
      </c>
      <c r="S144" s="470">
        <f t="shared" si="14"/>
        <v>87</v>
      </c>
      <c r="T144" s="36"/>
      <c r="U144" s="36"/>
    </row>
    <row r="145" spans="1:21" ht="15.75" thickBot="1">
      <c r="A145" s="3"/>
      <c r="B145" s="685"/>
      <c r="C145" s="686"/>
      <c r="D145" s="687"/>
      <c r="E145" s="694"/>
      <c r="F145" s="696"/>
      <c r="G145" s="132" t="s">
        <v>87</v>
      </c>
      <c r="H145" s="418">
        <f t="shared" si="11"/>
        <v>80</v>
      </c>
      <c r="I145" s="418">
        <f t="shared" si="11"/>
        <v>89.5</v>
      </c>
      <c r="J145" s="418">
        <f t="shared" si="11"/>
        <v>81</v>
      </c>
      <c r="K145" s="418">
        <f t="shared" si="11"/>
        <v>92</v>
      </c>
      <c r="L145" s="418">
        <f t="shared" si="11"/>
        <v>95</v>
      </c>
      <c r="M145" s="418">
        <f t="shared" ref="M145:S145" si="15">M120</f>
        <v>0</v>
      </c>
      <c r="N145" s="418">
        <f t="shared" si="15"/>
        <v>0</v>
      </c>
      <c r="O145" s="418">
        <f t="shared" si="15"/>
        <v>0</v>
      </c>
      <c r="P145" s="418">
        <f t="shared" si="15"/>
        <v>0</v>
      </c>
      <c r="Q145" s="418">
        <f t="shared" si="15"/>
        <v>0</v>
      </c>
      <c r="R145" s="418">
        <f t="shared" si="15"/>
        <v>0</v>
      </c>
      <c r="S145" s="472">
        <f t="shared" si="15"/>
        <v>0</v>
      </c>
      <c r="T145" s="36"/>
      <c r="U145" s="36"/>
    </row>
    <row r="146" spans="1:21">
      <c r="A146" s="3"/>
      <c r="B146" s="3"/>
      <c r="C146" s="3"/>
      <c r="D146" s="3"/>
      <c r="E146" s="3"/>
      <c r="F146" s="3"/>
      <c r="G146" s="3"/>
      <c r="H146" s="3"/>
      <c r="I146" s="3"/>
      <c r="J146" s="3"/>
      <c r="K146" s="3"/>
      <c r="L146" s="3"/>
      <c r="M146" s="3"/>
      <c r="N146"/>
      <c r="O146"/>
      <c r="P146" s="36"/>
      <c r="Q146" s="36"/>
      <c r="S146" s="457"/>
    </row>
    <row r="147" spans="1:21">
      <c r="N147"/>
      <c r="O147"/>
      <c r="P147" s="36"/>
      <c r="Q147" s="36"/>
    </row>
    <row r="148" spans="1:21">
      <c r="N148"/>
      <c r="O148"/>
      <c r="P148" s="36"/>
      <c r="Q148" s="36"/>
    </row>
    <row r="149" spans="1:21">
      <c r="N149"/>
      <c r="O149"/>
      <c r="P149" s="36"/>
      <c r="Q149" s="36"/>
    </row>
  </sheetData>
  <mergeCells count="73">
    <mergeCell ref="O31:O34"/>
    <mergeCell ref="E115:E116"/>
    <mergeCell ref="F115:F116"/>
    <mergeCell ref="F117:F118"/>
    <mergeCell ref="E117:E118"/>
    <mergeCell ref="F44:I44"/>
    <mergeCell ref="B144:D145"/>
    <mergeCell ref="B133:D134"/>
    <mergeCell ref="E142:E143"/>
    <mergeCell ref="E123:E124"/>
    <mergeCell ref="F142:F143"/>
    <mergeCell ref="E144:E145"/>
    <mergeCell ref="F144:F145"/>
    <mergeCell ref="E131:E132"/>
    <mergeCell ref="F131:F132"/>
    <mergeCell ref="E133:E134"/>
    <mergeCell ref="F133:F134"/>
    <mergeCell ref="E140:E141"/>
    <mergeCell ref="F140:F141"/>
    <mergeCell ref="B123:D124"/>
    <mergeCell ref="E129:E130"/>
    <mergeCell ref="B140:D141"/>
    <mergeCell ref="B121:D122"/>
    <mergeCell ref="C12:D12"/>
    <mergeCell ref="D18:F18"/>
    <mergeCell ref="F129:F130"/>
    <mergeCell ref="F123:F124"/>
    <mergeCell ref="B68:C68"/>
    <mergeCell ref="B26:C26"/>
    <mergeCell ref="B105:B108"/>
    <mergeCell ref="F125:F126"/>
    <mergeCell ref="E127:E128"/>
    <mergeCell ref="F127:F128"/>
    <mergeCell ref="E121:E122"/>
    <mergeCell ref="E125:E126"/>
    <mergeCell ref="F121:F122"/>
    <mergeCell ref="B21:J21"/>
    <mergeCell ref="B69:C69"/>
    <mergeCell ref="B142:D143"/>
    <mergeCell ref="B125:D126"/>
    <mergeCell ref="B127:D128"/>
    <mergeCell ref="B129:D130"/>
    <mergeCell ref="B131:D132"/>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5:A120"/>
    <mergeCell ref="B29:N29"/>
    <mergeCell ref="B115:D116"/>
    <mergeCell ref="B57:D57"/>
    <mergeCell ref="F119:F120"/>
    <mergeCell ref="B117:D118"/>
    <mergeCell ref="B119:D120"/>
    <mergeCell ref="B70:C70"/>
    <mergeCell ref="E119:E120"/>
    <mergeCell ref="B113:D113"/>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1:N91">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3:S114 H139:S139">
    <cfRule type="cellIs" dxfId="39" priority="21" stopIfTrue="1" operator="equal">
      <formula>$C$16</formula>
    </cfRule>
  </conditionalFormatting>
  <conditionalFormatting sqref="F44:I44">
    <cfRule type="expression" dxfId="38" priority="22" stopIfTrue="1">
      <formula>LEFT($F$44,2)="OK"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disablePrompts="1" count="9">
    <dataValidation type="list" allowBlank="1" showInputMessage="1" showErrorMessage="1" sqref="B105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5:C108">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2" max="16383" man="1"/>
    <brk id="64" max="16383" man="1"/>
  </rowBreaks>
  <ignoredErrors>
    <ignoredError sqref="H139:S139 E140 E87 C5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D18" sqref="D18"/>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5"/>
      <c r="H1" s="2"/>
      <c r="I1" s="2"/>
      <c r="J1" s="2"/>
    </row>
    <row r="2" spans="1:24" ht="25.5" customHeight="1"/>
    <row r="3" spans="1:24" ht="36">
      <c r="B3" s="716" t="str">
        <f>+"Dashboard: "&amp;" "&amp;+IF('Data Entry'!C4="Please Select","",'Data Entry'!C4&amp;" - ")&amp;+IF('Data Entry'!G6="Please Select","",'Data Entry'!G6)</f>
        <v>Dashboard:  Georgia - TB</v>
      </c>
      <c r="C3" s="716"/>
      <c r="D3" s="716"/>
      <c r="E3" s="716"/>
      <c r="F3" s="716"/>
      <c r="G3" s="716"/>
      <c r="H3" s="716"/>
      <c r="I3" s="716"/>
      <c r="J3" s="716"/>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8" t="s">
        <v>26</v>
      </c>
      <c r="B6" s="718" t="str">
        <f>+IF('Data Entry'!C4="Please Select","",'Data Entry'!C4)</f>
        <v>Georgia</v>
      </c>
      <c r="C6" s="718"/>
      <c r="D6" s="722" t="s">
        <v>12</v>
      </c>
      <c r="E6" s="722"/>
      <c r="F6" s="723" t="str">
        <f>+'Data Entry'!G4</f>
        <v>Sustaining Universal Access to Quality Diagnosis and Treatment of all forms of TB</v>
      </c>
      <c r="G6" s="723"/>
      <c r="H6" s="723"/>
      <c r="I6" s="723"/>
      <c r="J6" s="723"/>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27</v>
      </c>
      <c r="B9" s="348" t="str">
        <f>+IF('Data Entry'!G6="Please Select","",'Data Entry'!G6)</f>
        <v>TB</v>
      </c>
      <c r="C9" s="228" t="s">
        <v>329</v>
      </c>
      <c r="D9" s="349" t="str">
        <f>+'Data Entry'!C6</f>
        <v>GEO-T-NCDC</v>
      </c>
      <c r="E9" s="720" t="s">
        <v>13</v>
      </c>
      <c r="F9" s="720"/>
      <c r="G9" s="350">
        <f>+IF(ISBLANK('Data Entry'!C10),"",'Data Entry'!C10)</f>
        <v>43831</v>
      </c>
      <c r="H9" s="380" t="s">
        <v>330</v>
      </c>
      <c r="I9" s="719">
        <f>+IF(ISBLANK('Data Entry'!I6),"",'Data Entry'!I6)</f>
        <v>6239619</v>
      </c>
      <c r="J9" s="719"/>
      <c r="K9" s="50"/>
      <c r="L9" s="50"/>
      <c r="M9" s="50"/>
      <c r="N9" s="50"/>
      <c r="O9" s="52"/>
      <c r="P9" s="51"/>
      <c r="Q9" s="52"/>
      <c r="R9" s="53"/>
      <c r="S9" s="17"/>
      <c r="T9" s="11"/>
      <c r="U9" s="11"/>
      <c r="V9" s="10"/>
      <c r="W9" s="10"/>
      <c r="X9" s="10"/>
    </row>
    <row r="10" spans="1:24" ht="25.5" customHeight="1">
      <c r="A10" s="380" t="s">
        <v>324</v>
      </c>
      <c r="B10" s="351" t="str">
        <f>+IF('Data Entry'!G8="Please Select","",'Data Entry'!G8)</f>
        <v>NFM</v>
      </c>
      <c r="C10" s="228" t="s">
        <v>323</v>
      </c>
      <c r="D10" s="352" t="str">
        <f>+IF('Data Entry'!I8="Please Select","",'Data Entry'!I8)</f>
        <v>Phase 2</v>
      </c>
      <c r="E10" s="721" t="s">
        <v>269</v>
      </c>
      <c r="F10" s="721"/>
      <c r="G10" s="717" t="str">
        <f>+'Data Entry'!C8</f>
        <v>NCDC</v>
      </c>
      <c r="H10" s="717"/>
      <c r="I10" s="717"/>
      <c r="J10" s="717"/>
      <c r="K10" s="54"/>
      <c r="L10" s="54"/>
      <c r="M10" s="50"/>
      <c r="N10" s="54"/>
      <c r="O10" s="52"/>
      <c r="P10" s="51"/>
      <c r="Q10" s="11"/>
      <c r="R10" s="53"/>
      <c r="S10" s="17"/>
      <c r="T10" s="11"/>
      <c r="U10" s="11"/>
    </row>
    <row r="11" spans="1:24" ht="25.5" customHeight="1">
      <c r="A11" s="380" t="s">
        <v>21</v>
      </c>
      <c r="B11" s="353" t="str">
        <f>+'Data Entry'!C16</f>
        <v>P5</v>
      </c>
      <c r="C11" s="334" t="s">
        <v>267</v>
      </c>
      <c r="D11" s="354">
        <f>+IF(ISBLANK('Data Entry'!E16),"",'Data Entry'!E16)</f>
        <v>44197</v>
      </c>
      <c r="E11" s="720" t="s">
        <v>22</v>
      </c>
      <c r="F11" s="720"/>
      <c r="G11" s="354">
        <f>+IF(ISBLANK('Data Entry'!G16),"",'Data Entry'!G16)</f>
        <v>44286</v>
      </c>
      <c r="H11" s="380" t="s">
        <v>29</v>
      </c>
      <c r="I11" s="724" t="str">
        <f>+IF('Data Entry'!C12="Please Select","",'Data Entry'!C12)</f>
        <v>B1</v>
      </c>
      <c r="J11" s="724"/>
      <c r="K11" s="274"/>
      <c r="L11" s="54"/>
      <c r="M11" s="50"/>
      <c r="N11" s="54"/>
      <c r="O11" s="54"/>
      <c r="P11" s="51"/>
      <c r="Q11" s="11"/>
      <c r="R11" s="53"/>
      <c r="S11" s="17"/>
      <c r="T11" s="12"/>
      <c r="U11" s="11"/>
    </row>
    <row r="12" spans="1:24" ht="25.5" customHeight="1">
      <c r="A12" s="380" t="s">
        <v>31</v>
      </c>
      <c r="B12" s="717" t="str">
        <f>+IF('Data Entry'!G10="Please Select","",'Data Entry'!G10)</f>
        <v>UNOPS</v>
      </c>
      <c r="C12" s="717"/>
      <c r="D12" s="717"/>
      <c r="E12" s="721" t="s">
        <v>290</v>
      </c>
      <c r="F12" s="721"/>
      <c r="G12" s="717" t="str">
        <f>+'Data Entry'!G12</f>
        <v>Tatyana Vinichenko</v>
      </c>
      <c r="H12" s="717"/>
      <c r="I12" s="717"/>
      <c r="J12" s="717"/>
      <c r="K12" s="54"/>
      <c r="L12" s="54"/>
      <c r="M12" s="50"/>
      <c r="N12" s="54"/>
      <c r="O12" s="17"/>
      <c r="P12" s="51"/>
      <c r="Q12" s="11"/>
      <c r="R12" s="53"/>
      <c r="S12" s="17"/>
      <c r="T12" s="11"/>
      <c r="U12" s="55"/>
      <c r="V12" s="11"/>
      <c r="W12" s="12"/>
      <c r="X12" s="11"/>
    </row>
    <row r="13" spans="1:24" ht="25.5" customHeight="1">
      <c r="A13" s="380" t="s">
        <v>32</v>
      </c>
      <c r="B13" s="717" t="str">
        <f>+'Data Entry'!D18</f>
        <v>Natalia Adamashvili, Maka Danelia, Nino Vakhania</v>
      </c>
      <c r="C13" s="717"/>
      <c r="D13" s="717"/>
      <c r="E13" s="721" t="s">
        <v>30</v>
      </c>
      <c r="F13" s="721"/>
      <c r="G13" s="725">
        <f>+IF(ISBLANK('Data Entry'!J16),"",'Data Entry'!J16)</f>
        <v>44396</v>
      </c>
      <c r="H13" s="726"/>
      <c r="I13" s="726"/>
      <c r="J13" s="726"/>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31" zoomScale="150" zoomScaleNormal="150" zoomScalePageLayoutView="150" workbookViewId="0">
      <selection activeCell="K3" sqref="K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6" t="str">
        <f>+"Dashboard:  "&amp;"  "&amp;IF(+'Data Entry'!C4="Please Select","",'Data Entry'!C4&amp;" - ")&amp;IF('Data Entry'!G6="Please Select","",'Data Entry'!G6)</f>
        <v>Dashboard:    Georgia - TB</v>
      </c>
      <c r="C2" s="636"/>
      <c r="D2" s="636"/>
      <c r="E2" s="636"/>
      <c r="F2" s="636"/>
      <c r="G2" s="636"/>
      <c r="H2" s="636"/>
      <c r="I2" s="636"/>
      <c r="J2" s="636"/>
      <c r="K2" s="636"/>
      <c r="L2" s="1"/>
      <c r="M2" s="1"/>
      <c r="N2" s="1"/>
      <c r="O2" s="1"/>
    </row>
    <row r="3" spans="2:15">
      <c r="B3" s="135" t="str">
        <f>+IF('Data Entry'!G8="Please Select","",'Data Entry'!G8)</f>
        <v>NFM</v>
      </c>
      <c r="C3" s="733" t="str">
        <f>+IF('Data Entry'!I8="Please Select","",'Data Entry'!I8)</f>
        <v>Phase 2</v>
      </c>
      <c r="D3" s="733"/>
      <c r="E3" s="732"/>
      <c r="F3" s="732"/>
      <c r="G3" s="732"/>
      <c r="H3" s="732"/>
      <c r="I3" s="730" t="str">
        <f>+'Data Entry'!B16</f>
        <v>Report Period:</v>
      </c>
      <c r="J3" s="730"/>
      <c r="K3" s="201" t="str">
        <f>+'Data Entry'!C16</f>
        <v>P5</v>
      </c>
      <c r="L3" s="83"/>
    </row>
    <row r="4" spans="2:15">
      <c r="B4" s="135" t="str">
        <f>+'Data Entry'!B12</f>
        <v>Latest Rating:</v>
      </c>
      <c r="C4" s="734" t="str">
        <f>+IF('Data Entry'!C12="Please Select","",'Data Entry'!C12)</f>
        <v>B1</v>
      </c>
      <c r="D4" s="734"/>
      <c r="E4" s="732" t="str">
        <f>+'Data Entry'!C8</f>
        <v>NCDC</v>
      </c>
      <c r="F4" s="732"/>
      <c r="G4" s="732"/>
      <c r="H4" s="732"/>
      <c r="I4" s="730" t="str">
        <f>+'Data Entry'!D16</f>
        <v>From:</v>
      </c>
      <c r="J4" s="731"/>
      <c r="K4" s="203">
        <f>+IF(ISBLANK('Data Entry'!E16),"",'Data Entry'!E16)</f>
        <v>44197</v>
      </c>
    </row>
    <row r="5" spans="2:15" ht="18.75" customHeight="1">
      <c r="B5" s="135"/>
      <c r="C5" s="135"/>
      <c r="D5" s="729" t="str">
        <f>+'Data Entry'!G4</f>
        <v>Sustaining Universal Access to Quality Diagnosis and Treatment of all forms of TB</v>
      </c>
      <c r="E5" s="729"/>
      <c r="F5" s="729"/>
      <c r="G5" s="729"/>
      <c r="H5" s="729"/>
      <c r="I5" s="729"/>
      <c r="J5" s="135" t="str">
        <f>+'Data Entry'!F16</f>
        <v>To:</v>
      </c>
      <c r="K5" s="203">
        <f>+IF(ISBLANK('Data Entry'!G16),"",'Data Entry'!G16)</f>
        <v>44286</v>
      </c>
    </row>
    <row r="6" spans="2:15" ht="18.75">
      <c r="B6" s="139"/>
      <c r="C6" s="135"/>
      <c r="D6" s="136"/>
      <c r="E6" s="735" t="s">
        <v>63</v>
      </c>
      <c r="F6" s="735"/>
      <c r="G6" s="735"/>
      <c r="H6" s="735"/>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P5</v>
      </c>
      <c r="C8" s="145"/>
      <c r="D8" s="2"/>
      <c r="E8" s="2"/>
      <c r="F8" s="2"/>
      <c r="H8" s="206" t="str">
        <f>+'Data Entry'!B46&amp; " - in ("&amp;'Data Entry'!D26&amp;")         "&amp;+I3&amp;" "&amp;+K3</f>
        <v>F3: Disbursements and expenditures - in ($)         Report Period: P5</v>
      </c>
      <c r="I8" s="3"/>
      <c r="J8" s="3"/>
      <c r="K8" s="3"/>
    </row>
    <row r="9" spans="2:15">
      <c r="B9" s="358" t="s">
        <v>9</v>
      </c>
      <c r="C9" s="743"/>
      <c r="D9" s="744"/>
      <c r="E9" s="744"/>
      <c r="F9" s="745"/>
      <c r="H9" s="359" t="s">
        <v>9</v>
      </c>
      <c r="I9" s="746"/>
      <c r="J9" s="744"/>
      <c r="K9" s="745"/>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P5</v>
      </c>
      <c r="C22" s="2"/>
      <c r="D22" s="2"/>
      <c r="E22" s="2"/>
      <c r="F22" s="2"/>
      <c r="H22" s="207" t="str">
        <f>+'Data Entry'!B55&amp;"      "&amp;+I3&amp;" "&amp;+K3</f>
        <v>F4: Latest PR reporting and disbursement cycle      Report Period: P5</v>
      </c>
      <c r="J22" s="3"/>
      <c r="K22" s="3"/>
    </row>
    <row r="23" spans="1:11">
      <c r="B23" s="359" t="s">
        <v>10</v>
      </c>
      <c r="C23" s="746"/>
      <c r="D23" s="744"/>
      <c r="E23" s="744"/>
      <c r="F23" s="745"/>
      <c r="G23" s="377"/>
      <c r="H23" s="359" t="s">
        <v>9</v>
      </c>
      <c r="I23" s="746"/>
      <c r="J23" s="747"/>
      <c r="K23" s="748"/>
    </row>
    <row r="24" spans="1:11" ht="15.75" thickBot="1">
      <c r="B24" s="216"/>
      <c r="C24" s="216"/>
      <c r="D24" s="216"/>
      <c r="E24" s="216"/>
      <c r="F24" s="216"/>
      <c r="G24" s="216"/>
      <c r="H24" s="217"/>
      <c r="I24" s="217"/>
      <c r="J24" s="216"/>
      <c r="K24" s="216"/>
    </row>
    <row r="25" spans="1:11" ht="29.25" customHeight="1" thickBot="1">
      <c r="B25" s="3"/>
      <c r="C25" s="3"/>
      <c r="D25" s="3"/>
      <c r="E25" s="3"/>
      <c r="F25" s="3"/>
      <c r="G25" s="332"/>
      <c r="H25" s="736" t="s">
        <v>309</v>
      </c>
      <c r="I25" s="737"/>
      <c r="J25" s="737"/>
      <c r="K25" s="738"/>
    </row>
    <row r="26" spans="1:11" ht="24.75">
      <c r="B26" s="3"/>
      <c r="C26" s="3"/>
      <c r="D26" s="3"/>
      <c r="E26" s="3"/>
      <c r="F26" s="3"/>
      <c r="G26" s="293"/>
      <c r="H26" s="739"/>
      <c r="I26" s="740"/>
      <c r="J26" s="308" t="s">
        <v>61</v>
      </c>
      <c r="K26" s="309" t="s">
        <v>62</v>
      </c>
    </row>
    <row r="27" spans="1:11" ht="23.25" customHeight="1">
      <c r="B27" s="3"/>
      <c r="C27" s="3"/>
      <c r="D27" s="3"/>
      <c r="E27" s="3"/>
      <c r="F27" s="3"/>
      <c r="G27" s="333"/>
      <c r="H27" s="741" t="str">
        <f>'Data Entry'!B59</f>
        <v>Days taken to submit final PU/DR to LFA</v>
      </c>
      <c r="I27" s="742"/>
      <c r="J27" s="310">
        <f>+'Data Entry'!C59</f>
        <v>60</v>
      </c>
      <c r="K27" s="307" t="str">
        <f>+'Data Entry'!D59</f>
        <v>N/A</v>
      </c>
    </row>
    <row r="28" spans="1:11" ht="21" customHeight="1">
      <c r="B28" s="3"/>
      <c r="C28" s="3"/>
      <c r="D28" s="3"/>
      <c r="E28" s="3"/>
      <c r="F28" s="3"/>
      <c r="G28" s="333"/>
      <c r="H28" s="741" t="str">
        <f>'Data Entry'!B60</f>
        <v>Days taken for disbursement to reach PR</v>
      </c>
      <c r="I28" s="742"/>
      <c r="J28" s="310">
        <f>+'Data Entry'!C60</f>
        <v>45</v>
      </c>
      <c r="K28" s="307" t="str">
        <f>+'Data Entry'!D60</f>
        <v>N/A</v>
      </c>
    </row>
    <row r="29" spans="1:11" ht="21" customHeight="1" thickBot="1">
      <c r="B29" s="3"/>
      <c r="C29" s="3"/>
      <c r="D29" s="3"/>
      <c r="E29" s="3"/>
      <c r="F29" s="3"/>
      <c r="G29" s="333"/>
      <c r="H29" s="727" t="str">
        <f>'Data Entry'!B61</f>
        <v xml:space="preserve">Days taken for disbursement to reach SRs </v>
      </c>
      <c r="I29" s="728"/>
      <c r="J29" s="311">
        <f>+'Data Entry'!C61</f>
        <v>5</v>
      </c>
      <c r="K29" s="312">
        <f>+'Data Entry'!D61</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4" zoomScale="130" zoomScaleNormal="130" zoomScalePageLayoutView="130" workbookViewId="0">
      <selection activeCell="L33" sqref="L33"/>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54" t="str">
        <f>+"Dashboard:  "&amp;"  "&amp;IF(+'Data Entry'!C4="Please Select","",'Data Entry'!C4&amp;" - ")&amp;IF('Data Entry'!G6="Please Select","",'Data Entry'!G6)</f>
        <v>Dashboard:    Georgia - TB</v>
      </c>
      <c r="C2" s="754"/>
      <c r="D2" s="754"/>
      <c r="E2" s="754"/>
      <c r="F2" s="754"/>
      <c r="G2" s="754"/>
      <c r="H2" s="754"/>
      <c r="I2" s="754"/>
      <c r="J2" s="754"/>
      <c r="K2" s="754"/>
      <c r="L2" s="754"/>
      <c r="M2" s="26"/>
      <c r="N2" s="26"/>
      <c r="O2" s="26"/>
      <c r="P2" s="26"/>
    </row>
    <row r="3" spans="1:16">
      <c r="B3" s="24" t="str">
        <f>+IF('Data Entry'!G8="Please Select","",'Data Entry'!G8)</f>
        <v>NFM</v>
      </c>
      <c r="C3" s="752" t="str">
        <f>+IF('Data Entry'!I8="Please Select","",'Data Entry'!I8)</f>
        <v>Phase 2</v>
      </c>
      <c r="D3" s="752"/>
      <c r="E3" s="753"/>
      <c r="F3" s="753"/>
      <c r="G3" s="753"/>
      <c r="H3" s="753"/>
      <c r="I3" s="753"/>
      <c r="J3" s="756" t="str">
        <f>+'Data Entry'!B16</f>
        <v>Report Period:</v>
      </c>
      <c r="K3" s="756"/>
      <c r="L3" s="201" t="str">
        <f>+'Data Entry'!C16</f>
        <v>P5</v>
      </c>
    </row>
    <row r="4" spans="1:16">
      <c r="B4" s="24" t="str">
        <f>+'Data Entry'!B12</f>
        <v>Latest Rating:</v>
      </c>
      <c r="C4" s="734" t="str">
        <f>+IF('Data Entry'!C12="Please Select","",'Data Entry'!C12)</f>
        <v>B1</v>
      </c>
      <c r="D4" s="734"/>
      <c r="E4" s="753" t="str">
        <f>+'Data Entry'!C8</f>
        <v>NCDC</v>
      </c>
      <c r="F4" s="753"/>
      <c r="G4" s="753"/>
      <c r="H4" s="753"/>
      <c r="I4" s="753"/>
      <c r="J4" s="756" t="str">
        <f>+'Data Entry'!D16</f>
        <v>From:</v>
      </c>
      <c r="K4" s="760"/>
      <c r="L4" s="203">
        <f>+IF(ISBLANK('Data Entry'!E16),"",'Data Entry'!E16)</f>
        <v>44197</v>
      </c>
    </row>
    <row r="5" spans="1:16" ht="18.75" customHeight="1">
      <c r="B5" s="24"/>
      <c r="C5" s="24"/>
      <c r="D5" s="753" t="str">
        <f>+'Data Entry'!G4</f>
        <v>Sustaining Universal Access to Quality Diagnosis and Treatment of all forms of TB</v>
      </c>
      <c r="E5" s="753"/>
      <c r="F5" s="753"/>
      <c r="G5" s="753"/>
      <c r="H5" s="753"/>
      <c r="I5" s="753"/>
      <c r="J5" s="753"/>
      <c r="K5" s="24" t="str">
        <f>+'Data Entry'!F16</f>
        <v>To:</v>
      </c>
      <c r="L5" s="203">
        <f>+IF(ISBLANK('Data Entry'!G16),"",'Data Entry'!G16)</f>
        <v>44286</v>
      </c>
    </row>
    <row r="6" spans="1:16" ht="18.75">
      <c r="B6" s="23"/>
      <c r="C6" s="24"/>
      <c r="D6" s="25"/>
      <c r="E6" s="755" t="s">
        <v>70</v>
      </c>
      <c r="F6" s="755"/>
      <c r="G6" s="755"/>
      <c r="H6" s="755"/>
      <c r="I6" s="755"/>
    </row>
    <row r="7" spans="1:16">
      <c r="B7" s="378" t="str">
        <f>+'Data Entry'!B66&amp;"                "&amp;+J3&amp;" "&amp;+L3</f>
        <v>M1: Status of Conditions Precedent (CPs) and Time Bound Actions (TBAs)                Report Period: P5</v>
      </c>
      <c r="C7" s="21"/>
      <c r="H7" s="378" t="str">
        <f>+'Data Entry'!B73&amp;"                                                                             "&amp;+J3&amp;"  "&amp;+L3</f>
        <v>M2: Status of key PR management positions                                                                             Report Period:  P5</v>
      </c>
    </row>
    <row r="8" spans="1:16">
      <c r="B8" s="360" t="s">
        <v>9</v>
      </c>
      <c r="C8" s="746"/>
      <c r="D8" s="747"/>
      <c r="E8" s="747"/>
      <c r="F8" s="748"/>
      <c r="G8" s="379"/>
      <c r="H8" s="359" t="s">
        <v>9</v>
      </c>
      <c r="I8" s="746"/>
      <c r="J8" s="749"/>
      <c r="K8" s="749"/>
      <c r="L8" s="750"/>
    </row>
    <row r="9" spans="1:16">
      <c r="B9" s="19"/>
      <c r="C9" s="19"/>
      <c r="D9" s="19"/>
      <c r="E9" s="19"/>
      <c r="F9" s="19"/>
      <c r="G9" s="19"/>
      <c r="H9" s="19"/>
    </row>
    <row r="10" spans="1:16">
      <c r="A10" s="47"/>
      <c r="B10" s="19"/>
      <c r="C10" s="19"/>
      <c r="D10" s="761"/>
      <c r="E10" s="592"/>
      <c r="F10" s="592"/>
      <c r="G10" s="210"/>
      <c r="H10" s="19"/>
      <c r="N10" s="49"/>
      <c r="O10" s="49"/>
      <c r="P10" s="48"/>
    </row>
    <row r="11" spans="1:16">
      <c r="B11" s="19"/>
      <c r="C11" s="28"/>
      <c r="D11" s="761"/>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+'Data Entry'!B78&amp;"                                                                                                  "&amp;+J3&amp;" "&amp;+L3</f>
        <v>M3: Contractual arrangements (SRs)                                                                                                   Report Period: P5</v>
      </c>
      <c r="H15" s="378" t="str">
        <f>+'Data Entry'!B83&amp;"                                                             "&amp;+J3&amp;" "&amp;+L3</f>
        <v>M4: Number of complete reports received on time                                                             Report Period: P5</v>
      </c>
    </row>
    <row r="16" spans="1:16">
      <c r="B16" s="360" t="s">
        <v>9</v>
      </c>
      <c r="C16" s="746"/>
      <c r="D16" s="749"/>
      <c r="E16" s="749"/>
      <c r="F16" s="750"/>
      <c r="G16" s="379"/>
      <c r="H16" s="359" t="s">
        <v>9</v>
      </c>
      <c r="I16" s="746"/>
      <c r="J16" s="747"/>
      <c r="K16" s="747"/>
      <c r="L16" s="748"/>
    </row>
    <row r="17" spans="2:13">
      <c r="B17" s="29"/>
      <c r="H17" s="30"/>
    </row>
    <row r="18" spans="2:13">
      <c r="M18" s="83"/>
    </row>
    <row r="26" spans="2:13">
      <c r="B26" s="378" t="str">
        <f>+'Data Entry'!B89</f>
        <v>M5: Budget and Procurement of health products, health equipment, medicines and pharmaceuticals</v>
      </c>
      <c r="H26" s="378" t="str">
        <f>+'Data Entry'!B102&amp;"                                                                "&amp;+J3&amp;"  "&amp;+L3</f>
        <v>M6: Difference between current and safety stock                                                                Report Period:  P5</v>
      </c>
    </row>
    <row r="27" spans="2:13" ht="36" customHeight="1">
      <c r="B27" s="358" t="s">
        <v>9</v>
      </c>
      <c r="C27" s="743"/>
      <c r="D27" s="749"/>
      <c r="E27" s="749"/>
      <c r="F27" s="750"/>
      <c r="G27" s="379"/>
      <c r="H27" s="359" t="s">
        <v>9</v>
      </c>
      <c r="I27" s="746"/>
      <c r="J27" s="747"/>
      <c r="K27" s="747"/>
      <c r="L27" s="748"/>
    </row>
    <row r="28" spans="2:13" ht="15.75" thickBot="1"/>
    <row r="29" spans="2:13" ht="44.25" customHeight="1">
      <c r="F29" s="339"/>
      <c r="G29" s="339"/>
      <c r="H29" s="222" t="s">
        <v>33</v>
      </c>
      <c r="I29" s="335" t="s">
        <v>80</v>
      </c>
      <c r="J29" s="356" t="s">
        <v>344</v>
      </c>
      <c r="K29" s="221" t="s">
        <v>332</v>
      </c>
      <c r="L29" s="336" t="s">
        <v>331</v>
      </c>
    </row>
    <row r="30" spans="2:13" ht="15" customHeight="1">
      <c r="F30" s="339"/>
      <c r="G30" s="339"/>
      <c r="H30" s="757" t="str">
        <f>+'Data Entry'!B105</f>
        <v>TB</v>
      </c>
      <c r="I30" s="337" t="str">
        <f>+'Data Entry'!C105</f>
        <v>Cycloserine</v>
      </c>
      <c r="J30" s="442">
        <f>+'Data Entry'!I105</f>
        <v>36.26202964652223</v>
      </c>
      <c r="K30" s="443">
        <f>+'Data Entry'!J105</f>
        <v>3</v>
      </c>
      <c r="L30" s="420">
        <f>+'Data Entry'!K105</f>
        <v>33.26202964652223</v>
      </c>
    </row>
    <row r="31" spans="2:13">
      <c r="F31" s="339"/>
      <c r="G31" s="339"/>
      <c r="H31" s="758"/>
      <c r="I31" s="337" t="str">
        <f>+'Data Entry'!C106</f>
        <v>Moxifloxacin</v>
      </c>
      <c r="J31" s="442">
        <f>+'Data Entry'!I106</f>
        <v>15.614285714285714</v>
      </c>
      <c r="K31" s="443">
        <f>+'Data Entry'!J106</f>
        <v>3</v>
      </c>
      <c r="L31" s="421">
        <f>+'Data Entry'!K106</f>
        <v>12.614285714285714</v>
      </c>
    </row>
    <row r="32" spans="2:13">
      <c r="F32" s="339"/>
      <c r="G32" s="339"/>
      <c r="H32" s="758"/>
      <c r="I32" s="337" t="str">
        <f>+'Data Entry'!C107</f>
        <v>Clofazimine</v>
      </c>
      <c r="J32" s="442">
        <f>+'Data Entry'!I107</f>
        <v>19.65299590303858</v>
      </c>
      <c r="K32" s="443">
        <f>+'Data Entry'!J107</f>
        <v>3</v>
      </c>
      <c r="L32" s="420">
        <f>+'Data Entry'!K107</f>
        <v>16.65299590303858</v>
      </c>
    </row>
    <row r="33" spans="2:12" ht="15.75" thickBot="1">
      <c r="F33" s="339"/>
      <c r="G33" s="339"/>
      <c r="H33" s="759"/>
      <c r="I33" s="338" t="str">
        <f>+'Data Entry'!C108</f>
        <v>Linezolid</v>
      </c>
      <c r="J33" s="444">
        <f>+'Data Entry'!I108</f>
        <v>46.848059701492538</v>
      </c>
      <c r="K33" s="445">
        <f>+'Data Entry'!J108</f>
        <v>3</v>
      </c>
      <c r="L33" s="421">
        <f>+'Data Entry'!K108</f>
        <v>43.848059701492538</v>
      </c>
    </row>
    <row r="34" spans="2:12" ht="24.75" customHeight="1">
      <c r="B34" s="751" t="str">
        <f>+'Data Entry'!B99</f>
        <v>* Includes only EFR category 4 and 5  (Health products and health equipment &amp; Medicines and Pharmaceuticals)</v>
      </c>
      <c r="C34" s="751"/>
      <c r="D34" s="751"/>
      <c r="E34" s="751"/>
      <c r="F34" s="19"/>
      <c r="G34" s="19"/>
      <c r="H34" s="218"/>
      <c r="I34" s="219"/>
      <c r="J34" s="220"/>
      <c r="K34" s="210"/>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95" t="str">
        <f>+"Dashboard:  "&amp;"  "&amp;IF(+'Data Entry'!C4="Please Select","",'Data Entry'!C4&amp;" - ")&amp;IF('Data Entry'!G6="Please Select","",'Data Entry'!G6)</f>
        <v>Dashboard:    Georgia - TB</v>
      </c>
      <c r="C2" s="795"/>
      <c r="D2" s="795"/>
      <c r="E2" s="795"/>
      <c r="F2" s="795"/>
      <c r="G2" s="795"/>
      <c r="H2" s="795"/>
      <c r="I2" s="795"/>
      <c r="J2" s="795"/>
      <c r="K2" s="795"/>
      <c r="L2" s="795"/>
      <c r="M2" s="795"/>
      <c r="N2" s="795"/>
      <c r="O2" s="795"/>
      <c r="P2" s="795"/>
      <c r="Q2" s="795"/>
    </row>
    <row r="3" spans="1:35" ht="18.75">
      <c r="A3" s="3"/>
      <c r="B3" s="135" t="str">
        <f>+IF('Data Entry'!G8="Please Select","",'Data Entry'!G8)</f>
        <v>NFM</v>
      </c>
      <c r="C3" s="733" t="str">
        <f>+IF('Data Entry'!I8="Please Select","",'Data Entry'!I8)</f>
        <v>Phase 2</v>
      </c>
      <c r="D3" s="733"/>
      <c r="E3" s="732"/>
      <c r="F3" s="732"/>
      <c r="G3" s="732"/>
      <c r="H3" s="732"/>
      <c r="I3" s="797"/>
      <c r="J3" s="797"/>
      <c r="K3" s="797"/>
      <c r="L3" s="3"/>
      <c r="M3" s="3"/>
      <c r="O3" s="730" t="str">
        <f>+'Data Entry'!B16</f>
        <v>Report Period:</v>
      </c>
      <c r="P3" s="730"/>
      <c r="Q3" s="202" t="str">
        <f>+'Data Entry'!C16</f>
        <v>P5</v>
      </c>
    </row>
    <row r="4" spans="1:35" ht="12" customHeight="1">
      <c r="A4" s="3"/>
      <c r="B4" s="135" t="str">
        <f>+'Data Entry'!B12</f>
        <v>Latest Rating:</v>
      </c>
      <c r="C4" s="798" t="str">
        <f>+IF('Data Entry'!C12="Please Select","",'Data Entry'!C12)</f>
        <v>B1</v>
      </c>
      <c r="D4" s="798"/>
      <c r="E4" s="732" t="str">
        <f>+'Data Entry'!C8</f>
        <v>NCDC</v>
      </c>
      <c r="F4" s="732"/>
      <c r="G4" s="732"/>
      <c r="H4" s="732"/>
      <c r="I4" s="732"/>
      <c r="J4" s="732"/>
      <c r="K4" s="732"/>
      <c r="L4" s="732"/>
      <c r="M4" s="3"/>
      <c r="O4" s="341"/>
      <c r="P4" s="135" t="str">
        <f>+'Data Entry'!D16</f>
        <v>From:</v>
      </c>
      <c r="Q4" s="342">
        <f>+IF(ISBLANK('Data Entry'!E16),"",'Data Entry'!E16)</f>
        <v>44197</v>
      </c>
      <c r="Y4" s="71"/>
      <c r="Z4" s="71"/>
      <c r="AA4" s="71"/>
      <c r="AB4" s="71"/>
      <c r="AC4" s="71"/>
    </row>
    <row r="5" spans="1:35" ht="15.75" customHeight="1">
      <c r="A5" s="3"/>
      <c r="B5" s="135"/>
      <c r="C5" s="135"/>
      <c r="D5" s="732" t="str">
        <f>+'Data Entry'!G4</f>
        <v>Sustaining Universal Access to Quality Diagnosis and Treatment of all forms of TB</v>
      </c>
      <c r="E5" s="732"/>
      <c r="F5" s="732"/>
      <c r="G5" s="732"/>
      <c r="H5" s="732"/>
      <c r="I5" s="732"/>
      <c r="J5" s="732"/>
      <c r="K5" s="732"/>
      <c r="L5" s="732"/>
      <c r="M5" s="732"/>
      <c r="N5" s="732"/>
      <c r="P5" s="135" t="str">
        <f>+'Data Entry'!F16</f>
        <v>To:</v>
      </c>
      <c r="Q5" s="342">
        <f>+IF(ISBLANK('Data Entry'!G16),"",'Data Entry'!G16)</f>
        <v>44286</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96" t="s">
        <v>394</v>
      </c>
      <c r="G6" s="796"/>
      <c r="H6" s="796"/>
      <c r="I6" s="796"/>
      <c r="J6" s="796"/>
      <c r="K6" s="796"/>
      <c r="L6" s="227"/>
      <c r="M6" s="3"/>
      <c r="N6" s="3"/>
      <c r="O6" s="204"/>
      <c r="P6" s="260"/>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67" t="str">
        <f>+'Data Entry'!B115</f>
        <v>MDR TB-3: Number of cases with drug resistant TB (RR-TB and/or MDR-TB) that began second-line treatment</v>
      </c>
      <c r="C8" s="767"/>
      <c r="D8" s="767"/>
      <c r="E8" s="767"/>
      <c r="F8" s="767" t="str">
        <f>+'Data Entry'!B117</f>
        <v>MDR TB-2: Number of TB cases with RR-TB and/or MDR-TB notified</v>
      </c>
      <c r="G8" s="767"/>
      <c r="H8" s="767"/>
      <c r="I8" s="767"/>
      <c r="J8" s="767"/>
      <c r="K8" s="767"/>
      <c r="L8" s="767" t="str">
        <f>+'Data Entry'!B119</f>
        <v>TCP-8: Percentage of new and relapse TB patients tested using WHO recommended rapid tests at the time of diagnosis</v>
      </c>
      <c r="M8" s="767"/>
      <c r="N8" s="767"/>
      <c r="O8" s="767"/>
      <c r="P8" s="767"/>
      <c r="Q8" s="767"/>
      <c r="S8" s="229"/>
      <c r="T8" s="229"/>
      <c r="U8" s="229"/>
      <c r="V8" s="229"/>
      <c r="W8" s="229"/>
      <c r="X8" s="229"/>
      <c r="Y8" s="71"/>
      <c r="Z8" s="71"/>
      <c r="AA8" s="71"/>
      <c r="AB8" s="71"/>
      <c r="AC8" s="71"/>
      <c r="AD8" s="229"/>
      <c r="AE8" s="229"/>
      <c r="AF8" s="229"/>
      <c r="AG8" s="229"/>
      <c r="AH8" s="229"/>
      <c r="AI8" s="229"/>
    </row>
    <row r="9" spans="1:35" ht="24" customHeight="1">
      <c r="A9" s="3"/>
      <c r="B9" s="473" t="s">
        <v>413</v>
      </c>
      <c r="C9" s="762"/>
      <c r="D9" s="763"/>
      <c r="E9" s="764"/>
      <c r="F9" s="473" t="s">
        <v>414</v>
      </c>
      <c r="G9" s="762"/>
      <c r="H9" s="763"/>
      <c r="I9" s="763"/>
      <c r="J9" s="763"/>
      <c r="K9" s="764"/>
      <c r="L9" s="473" t="s">
        <v>415</v>
      </c>
      <c r="M9" s="762"/>
      <c r="N9" s="765"/>
      <c r="O9" s="765"/>
      <c r="P9" s="765"/>
      <c r="Q9" s="766"/>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83"/>
      <c r="F18" s="783"/>
      <c r="G18" s="783"/>
      <c r="H18" s="783"/>
      <c r="I18" s="783"/>
      <c r="J18" s="783"/>
      <c r="K18" s="783"/>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84" t="s">
        <v>89</v>
      </c>
      <c r="C19" s="784"/>
      <c r="D19" s="784"/>
      <c r="E19" s="146" t="s">
        <v>86</v>
      </c>
      <c r="F19" s="146" t="s">
        <v>90</v>
      </c>
      <c r="G19" s="791" t="s">
        <v>333</v>
      </c>
      <c r="H19" s="792"/>
      <c r="I19" s="793" t="s">
        <v>334</v>
      </c>
      <c r="J19" s="794"/>
      <c r="K19" s="340" t="s">
        <v>335</v>
      </c>
      <c r="L19" s="788" t="s">
        <v>93</v>
      </c>
      <c r="M19" s="789"/>
      <c r="N19" s="789"/>
      <c r="O19" s="789"/>
      <c r="P19" s="789"/>
      <c r="Q19" s="790"/>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165" customHeight="1">
      <c r="A20" s="3"/>
      <c r="B20" s="785" t="str">
        <f>+'[1]Data Entry'!B118</f>
        <v>MDR TB-3: Number of cases with drug resistant TB (RR-TB and/or MDR-TB) that began second-line treatment</v>
      </c>
      <c r="C20" s="777"/>
      <c r="D20" s="777"/>
      <c r="E20" s="147">
        <f ca="1">OFFSET('Data Entry'!$G$114,1,RIGHT('Data Entry'!$C$16,LEN('Data Entry'!$C$16)-1),1,1)</f>
        <v>78</v>
      </c>
      <c r="F20" s="480">
        <v>52</v>
      </c>
      <c r="G20" s="772">
        <f t="shared" ref="G20:G29" ca="1" si="0">+IF(ISERROR(F20/E20),0,F20/E20)</f>
        <v>0.66666666666666663</v>
      </c>
      <c r="H20" s="773"/>
      <c r="I20" s="773"/>
      <c r="J20" s="773"/>
      <c r="K20" s="774"/>
      <c r="L20" s="781" t="s">
        <v>441</v>
      </c>
      <c r="M20" s="781"/>
      <c r="N20" s="781"/>
      <c r="O20" s="781"/>
      <c r="P20" s="781"/>
      <c r="Q20" s="781"/>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137.25" customHeight="1">
      <c r="A21" s="3"/>
      <c r="B21" s="771" t="str">
        <f>+'[1]Data Entry'!B120</f>
        <v>MDR TB-2: Number of TB cases with RR-TB and/or MDR-TB notified</v>
      </c>
      <c r="C21" s="771"/>
      <c r="D21" s="771"/>
      <c r="E21" s="147">
        <f ca="1">OFFSET('Data Entry'!$G$114,3,RIGHT('Data Entry'!$C$16,LEN('Data Entry'!$C$16)-1),1,1)</f>
        <v>75</v>
      </c>
      <c r="F21" s="480">
        <v>54</v>
      </c>
      <c r="G21" s="772">
        <f t="shared" ca="1" si="0"/>
        <v>0.72</v>
      </c>
      <c r="H21" s="773"/>
      <c r="I21" s="773"/>
      <c r="J21" s="773"/>
      <c r="K21" s="774"/>
      <c r="L21" s="781" t="s">
        <v>443</v>
      </c>
      <c r="M21" s="781"/>
      <c r="N21" s="781"/>
      <c r="O21" s="781"/>
      <c r="P21" s="781"/>
      <c r="Q21" s="781"/>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7" t="str">
        <f>+'[1]Data Entry'!B122</f>
        <v>TCP-8: Percentage of new and relapse TB patients tested using WHO recommended rapid tests at the time of diagnosis</v>
      </c>
      <c r="C22" s="777"/>
      <c r="D22" s="777"/>
      <c r="E22" s="147">
        <f ca="1">OFFSET('Data Entry'!$G$114,5,RIGHT('Data Entry'!$C$16,LEN('Data Entry'!$C$16)-1),1,1)</f>
        <v>85</v>
      </c>
      <c r="F22" s="480">
        <v>95</v>
      </c>
      <c r="G22" s="772">
        <f t="shared" ca="1" si="0"/>
        <v>1.1176470588235294</v>
      </c>
      <c r="H22" s="773"/>
      <c r="I22" s="773"/>
      <c r="J22" s="773"/>
      <c r="K22" s="774"/>
      <c r="L22" s="781" t="s">
        <v>427</v>
      </c>
      <c r="M22" s="781"/>
      <c r="N22" s="781"/>
      <c r="O22" s="781"/>
      <c r="P22" s="781"/>
      <c r="Q22" s="781"/>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8">
        <f>+'Data Entry'!B121</f>
        <v>0</v>
      </c>
      <c r="C23" s="779"/>
      <c r="D23" s="780"/>
      <c r="E23" s="147">
        <f ca="1">OFFSET('Data Entry'!$G$114,7,RIGHT('Data Entry'!$C$16,LEN('Data Entry'!$C$16)-1),1,1)</f>
        <v>0</v>
      </c>
      <c r="F23" s="147">
        <f ca="1">OFFSET('Data Entry'!$G$114,8,RIGHT('Data Entry'!$C$16,LEN('Data Entry'!$C$16)-1),1,1)</f>
        <v>0</v>
      </c>
      <c r="G23" s="772">
        <f t="shared" ca="1" si="0"/>
        <v>0</v>
      </c>
      <c r="H23" s="773"/>
      <c r="I23" s="773"/>
      <c r="J23" s="773"/>
      <c r="K23" s="774"/>
      <c r="L23" s="781"/>
      <c r="M23" s="781"/>
      <c r="N23" s="781"/>
      <c r="O23" s="781"/>
      <c r="P23" s="781"/>
      <c r="Q23" s="781"/>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1">
        <f>+'Data Entry'!B123</f>
        <v>0</v>
      </c>
      <c r="C24" s="771"/>
      <c r="D24" s="771"/>
      <c r="E24" s="147">
        <f ca="1">OFFSET('Data Entry'!$G$114,9,RIGHT('Data Entry'!$C$16,LEN('Data Entry'!$C$16)-1),1,1)</f>
        <v>0</v>
      </c>
      <c r="F24" s="147">
        <f ca="1">OFFSET('Data Entry'!$G$114,10,RIGHT('Data Entry'!$C$16,LEN('Data Entry'!$C$16)-1),1,1)</f>
        <v>0</v>
      </c>
      <c r="G24" s="772">
        <f t="shared" ca="1" si="0"/>
        <v>0</v>
      </c>
      <c r="H24" s="773"/>
      <c r="I24" s="773"/>
      <c r="J24" s="773"/>
      <c r="K24" s="774"/>
      <c r="L24" s="781" t="s">
        <v>422</v>
      </c>
      <c r="M24" s="781"/>
      <c r="N24" s="781"/>
      <c r="O24" s="781"/>
      <c r="P24" s="781"/>
      <c r="Q24" s="781"/>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7">
        <f>+'Data Entry'!B125</f>
        <v>0</v>
      </c>
      <c r="C25" s="777"/>
      <c r="D25" s="777"/>
      <c r="E25" s="147">
        <f ca="1">OFFSET('Data Entry'!$G$114,11,RIGHT('Data Entry'!$C$16,LEN('Data Entry'!$C$16)-1),1,1)</f>
        <v>0</v>
      </c>
      <c r="F25" s="147">
        <f ca="1">OFFSET('Data Entry'!$G$114,12,RIGHT('Data Entry'!$C$16,LEN('Data Entry'!$C$16)-1),1,1)</f>
        <v>0</v>
      </c>
      <c r="G25" s="772">
        <f t="shared" ca="1" si="0"/>
        <v>0</v>
      </c>
      <c r="H25" s="773"/>
      <c r="I25" s="773"/>
      <c r="J25" s="773"/>
      <c r="K25" s="774"/>
      <c r="L25" s="781" t="s">
        <v>422</v>
      </c>
      <c r="M25" s="781"/>
      <c r="N25" s="781"/>
      <c r="O25" s="781"/>
      <c r="P25" s="781"/>
      <c r="Q25" s="781"/>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1">
        <f>+'Data Entry'!B127</f>
        <v>0</v>
      </c>
      <c r="C26" s="771"/>
      <c r="D26" s="771"/>
      <c r="E26" s="147">
        <f ca="1">OFFSET('Data Entry'!$G$114,13,RIGHT('Data Entry'!$C$16,LEN('Data Entry'!$C$16)-1),1,1)</f>
        <v>0</v>
      </c>
      <c r="F26" s="147">
        <f ca="1">OFFSET('Data Entry'!$G$114,14,RIGHT('Data Entry'!$C$16,LEN('Data Entry'!$C$16)-1),1,1)</f>
        <v>0</v>
      </c>
      <c r="G26" s="772">
        <f t="shared" ca="1" si="0"/>
        <v>0</v>
      </c>
      <c r="H26" s="773"/>
      <c r="I26" s="773"/>
      <c r="J26" s="773"/>
      <c r="K26" s="774"/>
      <c r="L26" s="781"/>
      <c r="M26" s="781"/>
      <c r="N26" s="781"/>
      <c r="O26" s="781"/>
      <c r="P26" s="781"/>
      <c r="Q26" s="781"/>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7">
        <f>+'Data Entry'!B129</f>
        <v>0</v>
      </c>
      <c r="C27" s="777"/>
      <c r="D27" s="777"/>
      <c r="E27" s="147">
        <f ca="1">OFFSET('Data Entry'!$G$114,15,RIGHT('Data Entry'!$C$16,LEN('Data Entry'!$C$16)-1),1,1)</f>
        <v>0</v>
      </c>
      <c r="F27" s="147">
        <f ca="1">OFFSET('Data Entry'!$G$114,16,RIGHT('Data Entry'!$C$16,LEN('Data Entry'!$C$16)-1),1,1)</f>
        <v>0</v>
      </c>
      <c r="G27" s="772">
        <f t="shared" ca="1" si="0"/>
        <v>0</v>
      </c>
      <c r="H27" s="773"/>
      <c r="I27" s="773"/>
      <c r="J27" s="773"/>
      <c r="K27" s="774"/>
      <c r="L27" s="781"/>
      <c r="M27" s="781"/>
      <c r="N27" s="781"/>
      <c r="O27" s="781"/>
      <c r="P27" s="781"/>
      <c r="Q27" s="781"/>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1">
        <f>+'Data Entry'!B131</f>
        <v>0</v>
      </c>
      <c r="C28" s="771"/>
      <c r="D28" s="771"/>
      <c r="E28" s="147">
        <f ca="1">OFFSET('Data Entry'!$G$114,17,RIGHT('Data Entry'!$C$16,LEN('Data Entry'!$C$16)-1),1,1)</f>
        <v>0</v>
      </c>
      <c r="F28" s="147">
        <f ca="1">OFFSET('Data Entry'!$G$114,18,RIGHT('Data Entry'!$C$16,LEN('Data Entry'!$C$16)-1),1,1)</f>
        <v>0</v>
      </c>
      <c r="G28" s="772">
        <f t="shared" ca="1" si="0"/>
        <v>0</v>
      </c>
      <c r="H28" s="773"/>
      <c r="I28" s="773"/>
      <c r="J28" s="773"/>
      <c r="K28" s="774"/>
      <c r="L28" s="781"/>
      <c r="M28" s="781"/>
      <c r="N28" s="781"/>
      <c r="O28" s="781"/>
      <c r="P28" s="781"/>
      <c r="Q28" s="781"/>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8.25" hidden="1" customHeight="1">
      <c r="A29" s="3"/>
      <c r="B29" s="778">
        <f>+'Data Entry'!B133</f>
        <v>0</v>
      </c>
      <c r="C29" s="779"/>
      <c r="D29" s="780"/>
      <c r="E29" s="147">
        <f ca="1">OFFSET('Data Entry'!$G$114,19,RIGHT('Data Entry'!$C$16,LEN('Data Entry'!$C$16)-1),1,1)</f>
        <v>0</v>
      </c>
      <c r="F29" s="147">
        <f ca="1">OFFSET('Data Entry'!$G$114,20,RIGHT('Data Entry'!$C$16,LEN('Data Entry'!$C$16)-1),1,1)</f>
        <v>0</v>
      </c>
      <c r="G29" s="772">
        <f t="shared" ca="1" si="0"/>
        <v>0</v>
      </c>
      <c r="H29" s="773"/>
      <c r="I29" s="773"/>
      <c r="J29" s="773"/>
      <c r="K29" s="774"/>
      <c r="L29" s="781"/>
      <c r="M29" s="781"/>
      <c r="N29" s="781"/>
      <c r="O29" s="781"/>
      <c r="P29" s="781"/>
      <c r="Q29" s="781"/>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6"/>
      <c r="C30" s="776"/>
      <c r="D30" s="776"/>
      <c r="E30" s="776"/>
      <c r="F30" s="775"/>
      <c r="G30" s="775"/>
      <c r="H30" s="775"/>
      <c r="I30" s="775"/>
      <c r="J30" s="775"/>
      <c r="K30" s="775"/>
      <c r="L30" s="782"/>
      <c r="M30" s="782"/>
      <c r="N30" s="782"/>
      <c r="O30" s="782"/>
      <c r="P30" s="782"/>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87"/>
      <c r="C31" s="787"/>
      <c r="D31" s="787"/>
      <c r="E31" s="770"/>
      <c r="F31" s="768"/>
      <c r="G31" s="769"/>
      <c r="H31" s="769"/>
      <c r="I31" s="769"/>
      <c r="J31" s="769"/>
      <c r="K31" s="770"/>
      <c r="L31" s="768"/>
      <c r="M31" s="769"/>
      <c r="N31" s="769"/>
      <c r="O31" s="769"/>
      <c r="P31" s="769"/>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86"/>
      <c r="C33" s="786"/>
      <c r="D33" s="786"/>
      <c r="E33" s="786"/>
      <c r="F33" s="786"/>
      <c r="G33" s="786"/>
      <c r="H33" s="786"/>
      <c r="I33" s="786"/>
      <c r="J33" s="786"/>
      <c r="K33" s="786"/>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86"/>
      <c r="C34" s="786"/>
      <c r="D34" s="786"/>
      <c r="E34" s="786"/>
      <c r="F34" s="786"/>
      <c r="G34" s="786"/>
      <c r="H34" s="786"/>
      <c r="I34" s="786"/>
      <c r="J34" s="786"/>
      <c r="K34" s="786"/>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D37" sqref="D37:G37"/>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95" t="str">
        <f>+"Dashboard:  "&amp;"  "&amp;IF(+'Data Entry'!C4="Please Select","",'Data Entry'!C4&amp;" - ")&amp;IF('Data Entry'!G6="Please Select","",'Data Entry'!G6)</f>
        <v>Dashboard:    Georgia - TB</v>
      </c>
      <c r="C2" s="795"/>
      <c r="D2" s="795"/>
      <c r="E2" s="795"/>
      <c r="F2" s="795"/>
      <c r="G2" s="795"/>
      <c r="H2" s="795"/>
      <c r="I2" s="795"/>
      <c r="J2" s="795"/>
      <c r="K2" s="795"/>
      <c r="L2" s="795"/>
      <c r="M2" s="795"/>
      <c r="N2" s="795"/>
      <c r="O2" s="73"/>
    </row>
    <row r="3" spans="1:15" customFormat="1" ht="18.75">
      <c r="A3" s="3"/>
      <c r="B3" s="135" t="str">
        <f>+IF('Data Entry'!G8="Please Select","",'Data Entry'!G8)</f>
        <v>NFM</v>
      </c>
      <c r="C3" s="733" t="str">
        <f>+IF('Data Entry'!I8="Please Select","",'Data Entry'!I8)</f>
        <v>Phase 2</v>
      </c>
      <c r="D3" s="733"/>
      <c r="E3" s="797"/>
      <c r="F3" s="797"/>
      <c r="G3" s="797"/>
      <c r="H3" s="797"/>
      <c r="I3" s="797"/>
      <c r="J3" s="797"/>
      <c r="K3" s="797"/>
      <c r="L3" s="135" t="str">
        <f>+'Data Entry'!B16</f>
        <v>Report Period:</v>
      </c>
      <c r="M3" s="202" t="str">
        <f>+'Data Entry'!C16</f>
        <v>P5</v>
      </c>
      <c r="N3" s="202"/>
      <c r="O3" s="31"/>
    </row>
    <row r="4" spans="1:15" customFormat="1" ht="15">
      <c r="A4" s="3"/>
      <c r="B4" s="135" t="str">
        <f>+'Data Entry'!B12</f>
        <v>Latest Rating:</v>
      </c>
      <c r="C4" s="798" t="str">
        <f>+IF('Data Entry'!C12="Please Select","",'Data Entry'!C12)</f>
        <v>B1</v>
      </c>
      <c r="D4" s="798"/>
      <c r="E4" s="732" t="str">
        <f>+'Data Entry'!C8</f>
        <v>NCDC</v>
      </c>
      <c r="F4" s="732"/>
      <c r="G4" s="732"/>
      <c r="H4" s="732"/>
      <c r="I4" s="732"/>
      <c r="J4" s="732"/>
      <c r="K4" s="732"/>
      <c r="L4" s="135" t="str">
        <f>+'Data Entry'!D16</f>
        <v>From:</v>
      </c>
      <c r="M4" s="203">
        <f>+IF(ISBLANK('Data Entry'!E16),"",'Data Entry'!E16)</f>
        <v>44197</v>
      </c>
      <c r="N4" s="203"/>
      <c r="O4" s="31"/>
    </row>
    <row r="5" spans="1:15" customFormat="1" ht="18.75" customHeight="1">
      <c r="A5" s="3"/>
      <c r="B5" s="135"/>
      <c r="C5" s="135"/>
      <c r="D5" s="136"/>
      <c r="E5" s="732" t="str">
        <f>+'Data Entry'!G4</f>
        <v>Sustaining Universal Access to Quality Diagnosis and Treatment of all forms of TB</v>
      </c>
      <c r="F5" s="732"/>
      <c r="G5" s="732"/>
      <c r="H5" s="732"/>
      <c r="I5" s="732"/>
      <c r="J5" s="732"/>
      <c r="K5" s="732"/>
      <c r="L5" s="135" t="str">
        <f>+'Data Entry'!F16</f>
        <v>To:</v>
      </c>
      <c r="M5" s="203">
        <f>+IF(ISBLANK('Data Entry'!G16),"",'Data Entry'!G16)</f>
        <v>44286</v>
      </c>
      <c r="N5" s="203"/>
    </row>
    <row r="6" spans="1:15" customFormat="1" ht="22.5" customHeight="1">
      <c r="A6" s="3"/>
      <c r="B6" s="140"/>
      <c r="C6" s="141"/>
      <c r="D6" s="142"/>
      <c r="E6" s="840" t="s">
        <v>316</v>
      </c>
      <c r="F6" s="840"/>
      <c r="G6" s="840"/>
      <c r="H6" s="840"/>
      <c r="I6" s="840"/>
      <c r="J6" s="840"/>
      <c r="K6" s="840"/>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17" t="s">
        <v>99</v>
      </c>
      <c r="C8" s="817"/>
      <c r="D8" s="817"/>
      <c r="E8" s="817"/>
      <c r="F8" s="817"/>
      <c r="G8" s="817"/>
      <c r="H8" s="817"/>
      <c r="I8" s="817"/>
      <c r="J8" s="817"/>
      <c r="K8" s="817"/>
      <c r="L8" s="817"/>
      <c r="M8" s="817"/>
      <c r="N8" s="817"/>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28" t="s">
        <v>94</v>
      </c>
      <c r="C10" s="850"/>
      <c r="D10" s="841" t="s">
        <v>98</v>
      </c>
      <c r="E10" s="842"/>
      <c r="F10" s="842"/>
      <c r="G10" s="843"/>
      <c r="H10" s="163"/>
      <c r="I10" s="841" t="s">
        <v>316</v>
      </c>
      <c r="J10" s="842"/>
      <c r="K10" s="842"/>
      <c r="L10" s="842"/>
      <c r="M10" s="842"/>
      <c r="N10" s="843"/>
    </row>
    <row r="11" spans="1:15" s="34" customFormat="1" ht="28.5" customHeight="1">
      <c r="A11" s="160"/>
      <c r="B11" s="425" t="s">
        <v>102</v>
      </c>
      <c r="C11" s="180"/>
      <c r="D11" s="820" t="str">
        <f>IF(ISBLANK(Finance!C9),"",(Finance!C9))</f>
        <v/>
      </c>
      <c r="E11" s="820"/>
      <c r="F11" s="820"/>
      <c r="G11" s="821"/>
      <c r="H11" s="186"/>
      <c r="I11" s="825"/>
      <c r="J11" s="826"/>
      <c r="K11" s="826"/>
      <c r="L11" s="826"/>
      <c r="M11" s="826"/>
      <c r="N11" s="827"/>
    </row>
    <row r="12" spans="1:15" s="34" customFormat="1" ht="27.75" customHeight="1">
      <c r="A12" s="160"/>
      <c r="B12" s="426" t="s">
        <v>103</v>
      </c>
      <c r="C12" s="181"/>
      <c r="D12" s="820" t="str">
        <f>IF(ISBLANK(Finance!C23),"",(Finance!C23))</f>
        <v/>
      </c>
      <c r="E12" s="820"/>
      <c r="F12" s="820"/>
      <c r="G12" s="821"/>
      <c r="H12" s="186"/>
      <c r="I12" s="822"/>
      <c r="J12" s="823"/>
      <c r="K12" s="823"/>
      <c r="L12" s="823"/>
      <c r="M12" s="823"/>
      <c r="N12" s="824"/>
    </row>
    <row r="13" spans="1:15" s="34" customFormat="1" ht="26.25" customHeight="1">
      <c r="A13" s="160"/>
      <c r="B13" s="426" t="s">
        <v>104</v>
      </c>
      <c r="C13" s="181"/>
      <c r="D13" s="820" t="str">
        <f>IF(ISBLANK(Finance!I9),"",(Finance!I9))</f>
        <v/>
      </c>
      <c r="E13" s="820"/>
      <c r="F13" s="820"/>
      <c r="G13" s="821"/>
      <c r="H13" s="186"/>
      <c r="I13" s="822"/>
      <c r="J13" s="823"/>
      <c r="K13" s="823"/>
      <c r="L13" s="823"/>
      <c r="M13" s="823"/>
      <c r="N13" s="824"/>
    </row>
    <row r="14" spans="1:15" s="34" customFormat="1" ht="28.5" customHeight="1" thickBot="1">
      <c r="A14" s="160"/>
      <c r="B14" s="427" t="s">
        <v>105</v>
      </c>
      <c r="C14" s="182"/>
      <c r="D14" s="818" t="str">
        <f>IF(ISBLANK(Finance!I23),"",(Finance!I23))</f>
        <v/>
      </c>
      <c r="E14" s="818"/>
      <c r="F14" s="818"/>
      <c r="G14" s="819"/>
      <c r="H14" s="186"/>
      <c r="I14" s="851"/>
      <c r="J14" s="852"/>
      <c r="K14" s="852"/>
      <c r="L14" s="852"/>
      <c r="M14" s="852"/>
      <c r="N14" s="853"/>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17" t="s">
        <v>101</v>
      </c>
      <c r="C16" s="817"/>
      <c r="D16" s="817"/>
      <c r="E16" s="817"/>
      <c r="F16" s="817"/>
      <c r="G16" s="817"/>
      <c r="H16" s="817"/>
      <c r="I16" s="817"/>
      <c r="J16" s="817"/>
      <c r="K16" s="817"/>
      <c r="L16" s="817"/>
      <c r="M16" s="817"/>
      <c r="N16" s="817"/>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50" t="s">
        <v>95</v>
      </c>
      <c r="C18" s="829"/>
      <c r="D18" s="834" t="s">
        <v>98</v>
      </c>
      <c r="E18" s="835"/>
      <c r="F18" s="835"/>
      <c r="G18" s="836"/>
      <c r="H18" s="163"/>
      <c r="I18" s="831" t="s">
        <v>316</v>
      </c>
      <c r="J18" s="832"/>
      <c r="K18" s="832"/>
      <c r="L18" s="832"/>
      <c r="M18" s="833"/>
      <c r="N18" s="833"/>
    </row>
    <row r="19" spans="1:15" s="34" customFormat="1" ht="21.75" customHeight="1">
      <c r="A19" s="160"/>
      <c r="B19" s="428" t="s">
        <v>110</v>
      </c>
      <c r="C19" s="188"/>
      <c r="D19" s="854" t="str">
        <f>IF(ISBLANK(Management!C8),"",(Management!C8))</f>
        <v/>
      </c>
      <c r="E19" s="854"/>
      <c r="F19" s="854"/>
      <c r="G19" s="855"/>
      <c r="H19" s="189"/>
      <c r="I19" s="844"/>
      <c r="J19" s="845"/>
      <c r="K19" s="845"/>
      <c r="L19" s="845"/>
      <c r="M19" s="845"/>
      <c r="N19" s="846"/>
    </row>
    <row r="20" spans="1:15" ht="24.75" customHeight="1">
      <c r="A20" s="154"/>
      <c r="B20" s="429" t="s">
        <v>111</v>
      </c>
      <c r="C20" s="190"/>
      <c r="D20" s="820" t="str">
        <f>IF(ISBLANK(Management!I8),"",(Management!I8))</f>
        <v/>
      </c>
      <c r="E20" s="820">
        <f>+'Data Entry'!D70/'Data Entry'!G70</f>
        <v>0.83333333333333337</v>
      </c>
      <c r="F20" s="820">
        <f>+('Data Entry'!E70+'Data Entry'!F70)/'Data Entry'!G70</f>
        <v>0.16666666666666666</v>
      </c>
      <c r="G20" s="830"/>
      <c r="H20" s="189"/>
      <c r="I20" s="837"/>
      <c r="J20" s="838"/>
      <c r="K20" s="838"/>
      <c r="L20" s="838"/>
      <c r="M20" s="838"/>
      <c r="N20" s="839"/>
      <c r="O20" s="35"/>
    </row>
    <row r="21" spans="1:15" ht="29.25" customHeight="1">
      <c r="A21" s="154"/>
      <c r="B21" s="430" t="s">
        <v>112</v>
      </c>
      <c r="C21" s="190"/>
      <c r="D21" s="820" t="str">
        <f>IF(ISBLANK(Management!C16),"",(Management!C16))</f>
        <v/>
      </c>
      <c r="E21" s="820"/>
      <c r="F21" s="820"/>
      <c r="G21" s="830"/>
      <c r="H21" s="189"/>
      <c r="I21" s="837"/>
      <c r="J21" s="838"/>
      <c r="K21" s="838"/>
      <c r="L21" s="838"/>
      <c r="M21" s="838"/>
      <c r="N21" s="839"/>
      <c r="O21" s="35"/>
    </row>
    <row r="22" spans="1:15" ht="26.25" customHeight="1">
      <c r="A22" s="154"/>
      <c r="B22" s="430" t="s">
        <v>113</v>
      </c>
      <c r="C22" s="190"/>
      <c r="D22" s="820" t="str">
        <f>IF(ISBLANK(Management!I16),"",(Management!I16))</f>
        <v/>
      </c>
      <c r="E22" s="820"/>
      <c r="F22" s="820"/>
      <c r="G22" s="830"/>
      <c r="H22" s="189"/>
      <c r="I22" s="837"/>
      <c r="J22" s="838"/>
      <c r="K22" s="838"/>
      <c r="L22" s="838"/>
      <c r="M22" s="838"/>
      <c r="N22" s="839"/>
      <c r="O22" s="35"/>
    </row>
    <row r="23" spans="1:15" ht="24.75" customHeight="1">
      <c r="A23" s="154"/>
      <c r="B23" s="430" t="s">
        <v>114</v>
      </c>
      <c r="C23" s="190"/>
      <c r="D23" s="820" t="str">
        <f>IF(ISBLANK(Management!C27),"",(Management!C27))</f>
        <v/>
      </c>
      <c r="E23" s="820"/>
      <c r="F23" s="820"/>
      <c r="G23" s="830"/>
      <c r="H23" s="189"/>
      <c r="I23" s="837"/>
      <c r="J23" s="838"/>
      <c r="K23" s="838"/>
      <c r="L23" s="838"/>
      <c r="M23" s="838"/>
      <c r="N23" s="839"/>
      <c r="O23" s="35"/>
    </row>
    <row r="24" spans="1:15" ht="27" customHeight="1" thickBot="1">
      <c r="A24" s="154"/>
      <c r="B24" s="431" t="s">
        <v>116</v>
      </c>
      <c r="C24" s="191"/>
      <c r="D24" s="815" t="str">
        <f>IF(ISBLANK(Management!I27),"",(Management!I27))</f>
        <v/>
      </c>
      <c r="E24" s="815"/>
      <c r="F24" s="815"/>
      <c r="G24" s="816"/>
      <c r="H24" s="189"/>
      <c r="I24" s="847"/>
      <c r="J24" s="848"/>
      <c r="K24" s="848"/>
      <c r="L24" s="848"/>
      <c r="M24" s="848"/>
      <c r="N24" s="849"/>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17" t="s">
        <v>100</v>
      </c>
      <c r="C26" s="817"/>
      <c r="D26" s="817"/>
      <c r="E26" s="817"/>
      <c r="F26" s="817"/>
      <c r="G26" s="817"/>
      <c r="H26" s="817"/>
      <c r="I26" s="817"/>
      <c r="J26" s="817"/>
      <c r="K26" s="817"/>
      <c r="L26" s="817"/>
      <c r="M26" s="817"/>
      <c r="N26" s="817"/>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28" t="s">
        <v>7</v>
      </c>
      <c r="C28" s="829"/>
      <c r="D28" s="802" t="s">
        <v>98</v>
      </c>
      <c r="E28" s="803"/>
      <c r="F28" s="803"/>
      <c r="G28" s="804"/>
      <c r="H28" s="163"/>
      <c r="I28" s="802" t="s">
        <v>316</v>
      </c>
      <c r="J28" s="803"/>
      <c r="K28" s="803"/>
      <c r="L28" s="803"/>
      <c r="M28" s="803"/>
      <c r="N28" s="804"/>
      <c r="O28" s="35"/>
    </row>
    <row r="29" spans="1:15" ht="29.25" customHeight="1">
      <c r="A29" s="154"/>
      <c r="B29" s="432" t="s">
        <v>317</v>
      </c>
      <c r="C29" s="192"/>
      <c r="D29" s="805" t="str">
        <f>IF(ISBLANK(Programmatic!C9),"",(Programmatic!C9))</f>
        <v/>
      </c>
      <c r="E29" s="806"/>
      <c r="F29" s="806"/>
      <c r="G29" s="807"/>
      <c r="H29" s="189"/>
      <c r="I29" s="811"/>
      <c r="J29" s="812"/>
      <c r="K29" s="812"/>
      <c r="L29" s="812"/>
      <c r="M29" s="812"/>
      <c r="N29" s="813"/>
      <c r="O29" s="35"/>
    </row>
    <row r="30" spans="1:15" ht="21.75" customHeight="1">
      <c r="A30" s="154"/>
      <c r="B30" s="433" t="s">
        <v>318</v>
      </c>
      <c r="C30" s="193"/>
      <c r="D30" s="814" t="str">
        <f>IF(ISBLANK(Programmatic!G9),"",(Programmatic!G9))</f>
        <v/>
      </c>
      <c r="E30" s="800"/>
      <c r="F30" s="800"/>
      <c r="G30" s="801"/>
      <c r="H30" s="189"/>
      <c r="I30" s="808"/>
      <c r="J30" s="809"/>
      <c r="K30" s="809"/>
      <c r="L30" s="809"/>
      <c r="M30" s="809"/>
      <c r="N30" s="810"/>
      <c r="O30" s="35"/>
    </row>
    <row r="31" spans="1:15" ht="21.75" customHeight="1">
      <c r="A31" s="154"/>
      <c r="B31" s="433" t="s">
        <v>319</v>
      </c>
      <c r="C31" s="193"/>
      <c r="D31" s="814" t="str">
        <f>IF(ISBLANK(Programmatic!M9),"",(Programmatic!M9))</f>
        <v/>
      </c>
      <c r="E31" s="800"/>
      <c r="F31" s="800"/>
      <c r="G31" s="801"/>
      <c r="H31" s="189"/>
      <c r="I31" s="808"/>
      <c r="J31" s="809"/>
      <c r="K31" s="809"/>
      <c r="L31" s="809"/>
      <c r="M31" s="809"/>
      <c r="N31" s="810"/>
      <c r="O31" s="35"/>
    </row>
    <row r="32" spans="1:15" ht="21.75" customHeight="1">
      <c r="A32" s="154"/>
      <c r="B32" s="434" t="s">
        <v>106</v>
      </c>
      <c r="C32" s="193"/>
      <c r="D32" s="799" t="str">
        <f>IF(ISBLANK(Programmatic!L20),"",(Programmatic!L20))</f>
        <v xml:space="preserve">MDR Patients that began second line treatment include:
1. Bacteriologically confirmed RR-TB and/or MDR-TB cases
2. Clinically diagnosed MDR TB Cases
The decrease number of cases is associated with COVID-19 pandemic due to which movement was restricted and patients without severe symptoms opt not to visit medical facilities.
</v>
      </c>
      <c r="E32" s="800"/>
      <c r="F32" s="800"/>
      <c r="G32" s="801"/>
      <c r="H32" s="189"/>
      <c r="I32" s="808"/>
      <c r="J32" s="809"/>
      <c r="K32" s="809"/>
      <c r="L32" s="809"/>
      <c r="M32" s="809"/>
      <c r="N32" s="810"/>
      <c r="O32" s="35"/>
    </row>
    <row r="33" spans="1:15" ht="27" customHeight="1">
      <c r="A33" s="154"/>
      <c r="B33" s="434" t="s">
        <v>107</v>
      </c>
      <c r="C33" s="193"/>
      <c r="D33" s="799" t="str">
        <f>IF(ISBLANK(Programmatic!L21),"",(Programmatic!L21))</f>
        <v xml:space="preserve">The decrease number of cases is associated with COVID-19 pandemic due to which movement was restricted and patients without severe symptoms opt not to visit medical facilities.
</v>
      </c>
      <c r="E33" s="800"/>
      <c r="F33" s="800"/>
      <c r="G33" s="801"/>
      <c r="H33" s="189"/>
      <c r="I33" s="808"/>
      <c r="J33" s="809"/>
      <c r="K33" s="809"/>
      <c r="L33" s="809"/>
      <c r="M33" s="809"/>
      <c r="N33" s="810"/>
      <c r="O33" s="35"/>
    </row>
    <row r="34" spans="1:15" ht="21.75" customHeight="1">
      <c r="A34" s="154"/>
      <c r="B34" s="434" t="s">
        <v>108</v>
      </c>
      <c r="C34" s="193"/>
      <c r="D34" s="799" t="str">
        <f>IF(ISBLANK(Programmatic!L22),"",(Programmatic!L22))</f>
        <v xml:space="preserve">Numerator: New and relapse TB cases enrolled in the TB program who underwent GeneXpert testing at the time of diagnosis
Denominator: New and relapse TB cases enrolled in the TB program </v>
      </c>
      <c r="E34" s="800"/>
      <c r="F34" s="800"/>
      <c r="G34" s="801"/>
      <c r="H34" s="189"/>
      <c r="I34" s="808"/>
      <c r="J34" s="809"/>
      <c r="K34" s="809"/>
      <c r="L34" s="809"/>
      <c r="M34" s="809"/>
      <c r="N34" s="810"/>
      <c r="O34" s="35"/>
    </row>
    <row r="35" spans="1:15" ht="21.75" customHeight="1">
      <c r="A35" s="154"/>
      <c r="B35" s="434" t="s">
        <v>109</v>
      </c>
      <c r="C35" s="236"/>
      <c r="D35" s="799" t="str">
        <f>IF(ISBLANK(Programmatic!L23),"",(Programmatic!L23))</f>
        <v/>
      </c>
      <c r="E35" s="800"/>
      <c r="F35" s="800"/>
      <c r="G35" s="801"/>
      <c r="H35" s="189"/>
      <c r="I35" s="808"/>
      <c r="J35" s="809"/>
      <c r="K35" s="809"/>
      <c r="L35" s="809"/>
      <c r="M35" s="809"/>
      <c r="N35" s="810"/>
      <c r="O35" s="35"/>
    </row>
    <row r="36" spans="1:15" ht="21.75" customHeight="1">
      <c r="A36" s="154"/>
      <c r="B36" s="434" t="s">
        <v>121</v>
      </c>
      <c r="C36" s="236"/>
      <c r="D36" s="799" t="str">
        <f>IF(ISBLANK(Programmatic!L24),"",(Programmatic!L24))</f>
        <v xml:space="preserve">The relatively low indicator relates to the actual (decreased) number of TB patients in the country. </v>
      </c>
      <c r="E36" s="800"/>
      <c r="F36" s="800"/>
      <c r="G36" s="801"/>
      <c r="H36" s="189"/>
      <c r="I36" s="808"/>
      <c r="J36" s="809"/>
      <c r="K36" s="809"/>
      <c r="L36" s="809"/>
      <c r="M36" s="809"/>
      <c r="N36" s="810"/>
      <c r="O36" s="35"/>
    </row>
    <row r="37" spans="1:15" ht="21.75" customHeight="1">
      <c r="A37" s="154"/>
      <c r="B37" s="434" t="s">
        <v>122</v>
      </c>
      <c r="C37" s="236"/>
      <c r="D37" s="799" t="str">
        <f>IF(ISBLANK(Programmatic!L25),"",(Programmatic!L25))</f>
        <v xml:space="preserve">The relatively low indicator relates to the actual (decreased) number of TB patients in the country. </v>
      </c>
      <c r="E37" s="800"/>
      <c r="F37" s="800"/>
      <c r="G37" s="801"/>
      <c r="H37" s="189"/>
      <c r="I37" s="808"/>
      <c r="J37" s="809"/>
      <c r="K37" s="809"/>
      <c r="L37" s="809"/>
      <c r="M37" s="809"/>
      <c r="N37" s="810"/>
      <c r="O37" s="35"/>
    </row>
    <row r="38" spans="1:15" ht="21.75" customHeight="1">
      <c r="A38" s="154"/>
      <c r="B38" s="434" t="s">
        <v>123</v>
      </c>
      <c r="C38" s="236"/>
      <c r="D38" s="799" t="str">
        <f>IF(ISBLANK(Programmatic!L26),"",(Programmatic!L26))</f>
        <v/>
      </c>
      <c r="E38" s="800"/>
      <c r="F38" s="800"/>
      <c r="G38" s="801"/>
      <c r="H38" s="189"/>
      <c r="I38" s="808"/>
      <c r="J38" s="809"/>
      <c r="K38" s="809"/>
      <c r="L38" s="809"/>
      <c r="M38" s="809"/>
      <c r="N38" s="810"/>
      <c r="O38" s="35"/>
    </row>
    <row r="39" spans="1:15" ht="21.75" customHeight="1">
      <c r="A39" s="154"/>
      <c r="B39" s="434" t="s">
        <v>124</v>
      </c>
      <c r="C39" s="236"/>
      <c r="D39" s="799" t="str">
        <f>IF(ISBLANK(Programmatic!L27),"",(Programmatic!L27))</f>
        <v/>
      </c>
      <c r="E39" s="800"/>
      <c r="F39" s="800"/>
      <c r="G39" s="801"/>
      <c r="H39" s="189"/>
      <c r="I39" s="808"/>
      <c r="J39" s="809"/>
      <c r="K39" s="809"/>
      <c r="L39" s="809"/>
      <c r="M39" s="809"/>
      <c r="N39" s="810"/>
      <c r="O39" s="35"/>
    </row>
    <row r="40" spans="1:15" ht="21.75" customHeight="1">
      <c r="A40" s="154"/>
      <c r="B40" s="434" t="s">
        <v>125</v>
      </c>
      <c r="C40" s="236"/>
      <c r="D40" s="799" t="str">
        <f>IF(ISBLANK(Programmatic!L28),"",(Programmatic!L28))</f>
        <v/>
      </c>
      <c r="E40" s="800"/>
      <c r="F40" s="800"/>
      <c r="G40" s="801"/>
      <c r="H40" s="189"/>
      <c r="I40" s="808"/>
      <c r="J40" s="809"/>
      <c r="K40" s="809"/>
      <c r="L40" s="809"/>
      <c r="M40" s="809"/>
      <c r="N40" s="810"/>
      <c r="O40" s="35"/>
    </row>
    <row r="41" spans="1:15" ht="21.75" customHeight="1" thickBot="1">
      <c r="A41" s="154"/>
      <c r="B41" s="434" t="s">
        <v>126</v>
      </c>
      <c r="C41" s="194"/>
      <c r="D41" s="799" t="str">
        <f>IF(ISBLANK(Programmatic!L29),"",(Programmatic!L29))</f>
        <v/>
      </c>
      <c r="E41" s="800"/>
      <c r="F41" s="800"/>
      <c r="G41" s="801"/>
      <c r="H41" s="189"/>
      <c r="I41" s="856"/>
      <c r="J41" s="857"/>
      <c r="K41" s="857"/>
      <c r="L41" s="857"/>
      <c r="M41" s="857"/>
      <c r="N41" s="858"/>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54" t="str">
        <f>+"Dashboard:  "&amp;"  "&amp;IF(+'Data Entry'!C4="Please Select","",'Data Entry'!C4&amp;" - ")&amp;IF('Data Entry'!G6="Please Select","",'Data Entry'!G6)</f>
        <v>Dashboard:    Georgia - TB</v>
      </c>
      <c r="C2" s="754"/>
      <c r="D2" s="754"/>
      <c r="E2" s="754"/>
      <c r="F2" s="754"/>
      <c r="G2" s="754"/>
      <c r="H2" s="754"/>
      <c r="I2" s="754"/>
      <c r="J2" s="754"/>
      <c r="K2" s="754"/>
      <c r="L2" s="754"/>
    </row>
    <row r="3" spans="1:13">
      <c r="B3" s="24" t="str">
        <f>+IF('Data Entry'!G8="Please Select","",'Data Entry'!G8)</f>
        <v>NFM</v>
      </c>
      <c r="C3" s="752" t="str">
        <f>+IF('Data Entry'!I8="Please Select","",'Data Entry'!I8)</f>
        <v>Phase 2</v>
      </c>
      <c r="D3" s="752"/>
      <c r="E3" s="753"/>
      <c r="F3" s="753"/>
      <c r="G3" s="753"/>
      <c r="H3" s="753"/>
      <c r="I3" s="753"/>
      <c r="J3" s="756" t="str">
        <f>+'Data Entry'!B16</f>
        <v>Report Period:</v>
      </c>
      <c r="K3" s="756"/>
      <c r="L3" s="202" t="str">
        <f>+'Data Entry'!C16</f>
        <v>P5</v>
      </c>
      <c r="M3" s="85"/>
    </row>
    <row r="4" spans="1:13">
      <c r="B4" s="24" t="str">
        <f>+'Data Entry'!B12</f>
        <v>Latest Rating:</v>
      </c>
      <c r="C4" s="864" t="str">
        <f>+IF('Data Entry'!C12="Please Select","",'Data Entry'!C12)</f>
        <v>B1</v>
      </c>
      <c r="D4" s="864"/>
      <c r="E4" s="753" t="str">
        <f>+'Data Entry'!C8</f>
        <v>NCDC</v>
      </c>
      <c r="F4" s="753"/>
      <c r="G4" s="753"/>
      <c r="H4" s="753"/>
      <c r="I4" s="753"/>
      <c r="J4" s="756" t="str">
        <f>+'Data Entry'!D16</f>
        <v>From:</v>
      </c>
      <c r="K4" s="760"/>
      <c r="L4" s="203">
        <f>+IF(ISBLANK('Data Entry'!E16),"",'Data Entry'!E16)</f>
        <v>44197</v>
      </c>
    </row>
    <row r="5" spans="1:13" ht="18.75" customHeight="1">
      <c r="B5" s="24"/>
      <c r="C5" s="24"/>
      <c r="D5" s="753" t="str">
        <f>+'Data Entry'!G4</f>
        <v>Sustaining Universal Access to Quality Diagnosis and Treatment of all forms of TB</v>
      </c>
      <c r="E5" s="753"/>
      <c r="F5" s="753"/>
      <c r="G5" s="753"/>
      <c r="H5" s="753"/>
      <c r="I5" s="753"/>
      <c r="J5" s="753"/>
      <c r="K5" s="24" t="str">
        <f>+'Data Entry'!F16</f>
        <v>To:</v>
      </c>
      <c r="L5" s="203">
        <f>+IF(ISBLANK('Data Entry'!G16),"",'Data Entry'!G16)</f>
        <v>44286</v>
      </c>
    </row>
    <row r="6" spans="1:13" ht="18.75">
      <c r="B6" s="23"/>
      <c r="C6" s="24"/>
      <c r="D6" s="25"/>
      <c r="E6" s="755" t="s">
        <v>373</v>
      </c>
      <c r="F6" s="755"/>
      <c r="G6" s="755"/>
      <c r="H6" s="755"/>
      <c r="I6" s="755"/>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72"/>
      <c r="C10" s="873"/>
      <c r="D10" s="873"/>
      <c r="E10" s="873"/>
      <c r="F10" s="873"/>
      <c r="G10" s="873"/>
      <c r="H10" s="873"/>
      <c r="I10" s="873"/>
      <c r="J10" s="873"/>
      <c r="K10" s="873"/>
      <c r="L10" s="874"/>
    </row>
    <row r="11" spans="1:13">
      <c r="B11" s="875"/>
      <c r="C11" s="876"/>
      <c r="D11" s="876"/>
      <c r="E11" s="876"/>
      <c r="F11" s="876"/>
      <c r="G11" s="876"/>
      <c r="H11" s="876"/>
      <c r="I11" s="876"/>
      <c r="J11" s="876"/>
      <c r="K11" s="876"/>
      <c r="L11" s="877"/>
    </row>
    <row r="12" spans="1:13" ht="15.75" thickBot="1"/>
    <row r="13" spans="1:13" ht="26.25" customHeight="1" thickBot="1">
      <c r="B13" s="869" t="s">
        <v>306</v>
      </c>
      <c r="C13" s="870"/>
      <c r="D13" s="870"/>
      <c r="E13" s="871"/>
      <c r="F13" s="77"/>
      <c r="G13" s="885" t="s">
        <v>129</v>
      </c>
      <c r="H13" s="878"/>
      <c r="I13" s="878"/>
      <c r="J13" s="78" t="s">
        <v>97</v>
      </c>
      <c r="K13" s="878" t="s">
        <v>293</v>
      </c>
      <c r="L13" s="879"/>
    </row>
    <row r="14" spans="1:13">
      <c r="A14" s="889" t="s">
        <v>307</v>
      </c>
      <c r="B14" s="892"/>
      <c r="C14" s="892"/>
      <c r="D14" s="892"/>
      <c r="E14" s="893"/>
      <c r="F14" s="46"/>
      <c r="G14" s="894"/>
      <c r="H14" s="865"/>
      <c r="I14" s="865"/>
      <c r="J14" s="865"/>
      <c r="K14" s="865"/>
      <c r="L14" s="866"/>
    </row>
    <row r="15" spans="1:13">
      <c r="A15" s="890"/>
      <c r="B15" s="892"/>
      <c r="C15" s="892"/>
      <c r="D15" s="892"/>
      <c r="E15" s="893"/>
      <c r="F15" s="46"/>
      <c r="G15" s="895"/>
      <c r="H15" s="867"/>
      <c r="I15" s="867"/>
      <c r="J15" s="867"/>
      <c r="K15" s="867"/>
      <c r="L15" s="868"/>
    </row>
    <row r="16" spans="1:13">
      <c r="A16" s="890"/>
      <c r="B16" s="892"/>
      <c r="C16" s="892"/>
      <c r="D16" s="892"/>
      <c r="E16" s="893"/>
      <c r="F16" s="46"/>
      <c r="G16" s="895"/>
      <c r="H16" s="867"/>
      <c r="I16" s="867"/>
      <c r="J16" s="867"/>
      <c r="K16" s="867"/>
      <c r="L16" s="868"/>
    </row>
    <row r="17" spans="1:12">
      <c r="A17" s="890"/>
      <c r="B17" s="892"/>
      <c r="C17" s="892"/>
      <c r="D17" s="892"/>
      <c r="E17" s="893"/>
      <c r="F17" s="46"/>
      <c r="G17" s="895"/>
      <c r="H17" s="867"/>
      <c r="I17" s="867"/>
      <c r="J17" s="867"/>
      <c r="K17" s="867"/>
      <c r="L17" s="868"/>
    </row>
    <row r="18" spans="1:12">
      <c r="A18" s="890"/>
      <c r="B18" s="892"/>
      <c r="C18" s="892"/>
      <c r="D18" s="892"/>
      <c r="E18" s="893"/>
      <c r="F18" s="46"/>
      <c r="G18" s="896"/>
      <c r="H18" s="897"/>
      <c r="I18" s="898"/>
      <c r="J18" s="867"/>
      <c r="K18" s="867"/>
      <c r="L18" s="868"/>
    </row>
    <row r="19" spans="1:12" ht="30.75" customHeight="1">
      <c r="A19" s="890"/>
      <c r="B19" s="892"/>
      <c r="C19" s="892"/>
      <c r="D19" s="892"/>
      <c r="E19" s="893"/>
      <c r="F19" s="46"/>
      <c r="G19" s="899"/>
      <c r="H19" s="900"/>
      <c r="I19" s="901"/>
      <c r="J19" s="867"/>
      <c r="K19" s="867"/>
      <c r="L19" s="868"/>
    </row>
    <row r="20" spans="1:12">
      <c r="A20" s="890"/>
      <c r="B20" s="892"/>
      <c r="C20" s="892"/>
      <c r="D20" s="892"/>
      <c r="E20" s="893"/>
      <c r="F20" s="46"/>
      <c r="G20" s="895"/>
      <c r="H20" s="867"/>
      <c r="I20" s="867"/>
      <c r="J20" s="867"/>
      <c r="K20" s="867"/>
      <c r="L20" s="868"/>
    </row>
    <row r="21" spans="1:12">
      <c r="A21" s="890"/>
      <c r="B21" s="892"/>
      <c r="C21" s="892"/>
      <c r="D21" s="892"/>
      <c r="E21" s="893"/>
      <c r="F21" s="46"/>
      <c r="G21" s="895"/>
      <c r="H21" s="867"/>
      <c r="I21" s="867"/>
      <c r="J21" s="867"/>
      <c r="K21" s="867"/>
      <c r="L21" s="868"/>
    </row>
    <row r="22" spans="1:12">
      <c r="A22" s="890"/>
      <c r="B22" s="892"/>
      <c r="C22" s="892"/>
      <c r="D22" s="892"/>
      <c r="E22" s="893"/>
      <c r="F22" s="46"/>
      <c r="G22" s="895"/>
      <c r="H22" s="867"/>
      <c r="I22" s="867"/>
      <c r="J22" s="867"/>
      <c r="K22" s="867"/>
      <c r="L22" s="868"/>
    </row>
    <row r="23" spans="1:12">
      <c r="A23" s="890"/>
      <c r="B23" s="892"/>
      <c r="C23" s="892"/>
      <c r="D23" s="892"/>
      <c r="E23" s="893"/>
      <c r="F23" s="46"/>
      <c r="G23" s="895"/>
      <c r="H23" s="867"/>
      <c r="I23" s="867"/>
      <c r="J23" s="867"/>
      <c r="K23" s="867"/>
      <c r="L23" s="868"/>
    </row>
    <row r="24" spans="1:12">
      <c r="A24" s="890"/>
      <c r="B24" s="892"/>
      <c r="C24" s="892"/>
      <c r="D24" s="892"/>
      <c r="E24" s="893"/>
      <c r="F24" s="46"/>
      <c r="G24" s="895"/>
      <c r="H24" s="867"/>
      <c r="I24" s="867"/>
      <c r="J24" s="867"/>
      <c r="K24" s="867"/>
      <c r="L24" s="868"/>
    </row>
    <row r="25" spans="1:12" ht="15.75" thickBot="1">
      <c r="A25" s="891"/>
      <c r="B25" s="911"/>
      <c r="C25" s="911"/>
      <c r="D25" s="911"/>
      <c r="E25" s="912"/>
      <c r="F25" s="46"/>
      <c r="G25" s="903"/>
      <c r="H25" s="886"/>
      <c r="I25" s="886"/>
      <c r="J25" s="886"/>
      <c r="K25" s="886"/>
      <c r="L25" s="887"/>
    </row>
    <row r="27" spans="1:12" ht="18.75">
      <c r="E27" s="902" t="s">
        <v>336</v>
      </c>
      <c r="F27" s="902"/>
      <c r="G27" s="902"/>
      <c r="H27" s="902"/>
      <c r="I27" s="902"/>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69" t="s">
        <v>129</v>
      </c>
      <c r="C31" s="870"/>
      <c r="D31" s="870"/>
      <c r="E31" s="871"/>
      <c r="F31" s="77"/>
      <c r="G31" s="885" t="s">
        <v>321</v>
      </c>
      <c r="H31" s="878"/>
      <c r="I31" s="878"/>
      <c r="J31" s="78" t="s">
        <v>295</v>
      </c>
      <c r="K31" s="878" t="s">
        <v>293</v>
      </c>
      <c r="L31" s="879"/>
    </row>
    <row r="32" spans="1:12" ht="14.25" customHeight="1">
      <c r="A32" s="889" t="s">
        <v>308</v>
      </c>
      <c r="B32" s="904"/>
      <c r="C32" s="905"/>
      <c r="D32" s="905"/>
      <c r="E32" s="906"/>
      <c r="F32" s="46"/>
      <c r="G32" s="913"/>
      <c r="H32" s="859"/>
      <c r="I32" s="859"/>
      <c r="J32" s="859"/>
      <c r="K32" s="859"/>
      <c r="L32" s="888"/>
    </row>
    <row r="33" spans="1:12" ht="16.5" customHeight="1">
      <c r="A33" s="890"/>
      <c r="B33" s="899"/>
      <c r="C33" s="900"/>
      <c r="D33" s="900"/>
      <c r="E33" s="907"/>
      <c r="F33" s="46"/>
      <c r="G33" s="880"/>
      <c r="H33" s="860"/>
      <c r="I33" s="860"/>
      <c r="J33" s="860"/>
      <c r="K33" s="860"/>
      <c r="L33" s="861"/>
    </row>
    <row r="34" spans="1:12">
      <c r="A34" s="890"/>
      <c r="B34" s="882" t="str">
        <f>IF(Recommendations!I43="","",Recommendations!I43)</f>
        <v/>
      </c>
      <c r="C34" s="883"/>
      <c r="D34" s="883"/>
      <c r="E34" s="884"/>
      <c r="F34" s="46"/>
      <c r="G34" s="880"/>
      <c r="H34" s="860"/>
      <c r="I34" s="860"/>
      <c r="J34" s="860"/>
      <c r="K34" s="860"/>
      <c r="L34" s="861"/>
    </row>
    <row r="35" spans="1:12">
      <c r="A35" s="890"/>
      <c r="B35" s="882"/>
      <c r="C35" s="883"/>
      <c r="D35" s="883"/>
      <c r="E35" s="884"/>
      <c r="F35" s="46"/>
      <c r="G35" s="880"/>
      <c r="H35" s="860"/>
      <c r="I35" s="860"/>
      <c r="J35" s="860"/>
      <c r="K35" s="860"/>
      <c r="L35" s="861"/>
    </row>
    <row r="36" spans="1:12">
      <c r="A36" s="890"/>
      <c r="B36" s="882" t="str">
        <f>+IF(Recommendations!I53="","",Recommendations!I53)</f>
        <v/>
      </c>
      <c r="C36" s="883"/>
      <c r="D36" s="883"/>
      <c r="E36" s="884"/>
      <c r="F36" s="46"/>
      <c r="G36" s="880"/>
      <c r="H36" s="860"/>
      <c r="I36" s="860"/>
      <c r="J36" s="860"/>
      <c r="K36" s="860"/>
      <c r="L36" s="861"/>
    </row>
    <row r="37" spans="1:12">
      <c r="A37" s="890"/>
      <c r="B37" s="882"/>
      <c r="C37" s="883"/>
      <c r="D37" s="883"/>
      <c r="E37" s="884"/>
      <c r="F37" s="46"/>
      <c r="G37" s="880"/>
      <c r="H37" s="860"/>
      <c r="I37" s="860"/>
      <c r="J37" s="860"/>
      <c r="K37" s="860"/>
      <c r="L37" s="861"/>
    </row>
    <row r="38" spans="1:12">
      <c r="A38" s="890"/>
      <c r="B38" s="882"/>
      <c r="C38" s="883"/>
      <c r="D38" s="883"/>
      <c r="E38" s="884"/>
      <c r="F38" s="46"/>
      <c r="G38" s="880"/>
      <c r="H38" s="860"/>
      <c r="I38" s="860"/>
      <c r="J38" s="860"/>
      <c r="K38" s="860"/>
      <c r="L38" s="861"/>
    </row>
    <row r="39" spans="1:12">
      <c r="A39" s="890"/>
      <c r="B39" s="882"/>
      <c r="C39" s="883"/>
      <c r="D39" s="883"/>
      <c r="E39" s="884"/>
      <c r="F39" s="46"/>
      <c r="G39" s="880"/>
      <c r="H39" s="860"/>
      <c r="I39" s="860"/>
      <c r="J39" s="860"/>
      <c r="K39" s="860"/>
      <c r="L39" s="861"/>
    </row>
    <row r="40" spans="1:12">
      <c r="A40" s="890"/>
      <c r="B40" s="882"/>
      <c r="C40" s="883"/>
      <c r="D40" s="883"/>
      <c r="E40" s="884"/>
      <c r="F40" s="46"/>
      <c r="G40" s="880"/>
      <c r="H40" s="860"/>
      <c r="I40" s="860"/>
      <c r="J40" s="860"/>
      <c r="K40" s="860"/>
      <c r="L40" s="861"/>
    </row>
    <row r="41" spans="1:12">
      <c r="A41" s="890"/>
      <c r="B41" s="882"/>
      <c r="C41" s="883"/>
      <c r="D41" s="883"/>
      <c r="E41" s="884"/>
      <c r="F41" s="46"/>
      <c r="G41" s="880"/>
      <c r="H41" s="860"/>
      <c r="I41" s="860"/>
      <c r="J41" s="860"/>
      <c r="K41" s="860"/>
      <c r="L41" s="861"/>
    </row>
    <row r="42" spans="1:12">
      <c r="A42" s="890"/>
      <c r="B42" s="882"/>
      <c r="C42" s="883"/>
      <c r="D42" s="883"/>
      <c r="E42" s="884"/>
      <c r="F42" s="46"/>
      <c r="G42" s="880"/>
      <c r="H42" s="860"/>
      <c r="I42" s="860"/>
      <c r="J42" s="860"/>
      <c r="K42" s="860"/>
      <c r="L42" s="861"/>
    </row>
    <row r="43" spans="1:12" ht="15.75" thickBot="1">
      <c r="A43" s="891"/>
      <c r="B43" s="908"/>
      <c r="C43" s="909"/>
      <c r="D43" s="909"/>
      <c r="E43" s="910"/>
      <c r="F43" s="46"/>
      <c r="G43" s="881"/>
      <c r="H43" s="862"/>
      <c r="I43" s="862"/>
      <c r="J43" s="862"/>
      <c r="K43" s="862"/>
      <c r="L43" s="863"/>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D1A7189D-6043-4BCC-A93B-7366B7BCBFA9}">
  <ds:schemaRefs>
    <ds:schemaRef ds:uri="http://www.w3.org/XML/1998/namespace"/>
    <ds:schemaRef ds:uri="http://purl.org/dc/elements/1.1/"/>
    <ds:schemaRef ds:uri="http://schemas.microsoft.com/sharepoint/v3"/>
    <ds:schemaRef ds:uri="http://purl.org/dc/dcmitype/"/>
    <ds:schemaRef ds:uri="http://schemas.microsoft.com/office/2006/documentManagement/types"/>
    <ds:schemaRef ds:uri="http://schemas.openxmlformats.org/package/2006/metadata/core-properties"/>
    <ds:schemaRef ds:uri="f127e3a1-6a43-4b35-8211-dfdf2a8cace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Danelia</cp:lastModifiedBy>
  <cp:lastPrinted>2015-03-11T10:26:05Z</cp:lastPrinted>
  <dcterms:created xsi:type="dcterms:W3CDTF">2008-11-20T16:06:13Z</dcterms:created>
  <dcterms:modified xsi:type="dcterms:W3CDTF">2021-07-20T07:39:37Z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