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20" windowHeight="11020"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3" i="29" l="1"/>
  <c r="D43" i="29"/>
  <c r="J96" i="29" l="1"/>
  <c r="D55" i="29" l="1"/>
  <c r="D42" i="29"/>
  <c r="D41" i="29"/>
  <c r="D40" i="29"/>
  <c r="D39" i="29"/>
  <c r="C55" i="29" l="1"/>
  <c r="C54" i="29"/>
  <c r="D52" i="29"/>
  <c r="C52" i="29"/>
  <c r="J32" i="29"/>
  <c r="J33" i="29"/>
  <c r="C43" i="29"/>
  <c r="C42" i="29"/>
  <c r="C41" i="29"/>
  <c r="C40" i="29"/>
  <c r="C39" i="29"/>
  <c r="I97" i="29" l="1"/>
  <c r="I32" i="29" l="1"/>
  <c r="H96" i="29" l="1"/>
  <c r="E55" i="29"/>
  <c r="C47" i="29"/>
  <c r="E108" i="29"/>
  <c r="G108" i="29"/>
  <c r="E109" i="29"/>
  <c r="G109" i="29" s="1"/>
  <c r="I109" i="29" s="1"/>
  <c r="E110" i="29"/>
  <c r="G110" i="29"/>
  <c r="E111" i="29"/>
  <c r="G111" i="29" s="1"/>
  <c r="I111" i="29" s="1"/>
  <c r="G31" i="29"/>
  <c r="F31" i="29"/>
  <c r="E31" i="29"/>
  <c r="E32" i="29"/>
  <c r="D31" i="29"/>
  <c r="D34" i="29" s="1"/>
  <c r="E34" i="29" s="1"/>
  <c r="D32" i="29"/>
  <c r="C31" i="29"/>
  <c r="C33" i="29" s="1"/>
  <c r="C34" i="29"/>
  <c r="F96" i="29"/>
  <c r="D47" i="29"/>
  <c r="E52" i="29"/>
  <c r="E97"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B7" i="35" s="1"/>
  <c r="I3" i="30"/>
  <c r="K3" i="30"/>
  <c r="H8" i="30"/>
  <c r="D33" i="42"/>
  <c r="D34" i="42"/>
  <c r="D35" i="42"/>
  <c r="D36" i="42"/>
  <c r="D37" i="42"/>
  <c r="D38" i="42"/>
  <c r="D39" i="42"/>
  <c r="D40" i="42"/>
  <c r="D41" i="42"/>
  <c r="D32" i="42"/>
  <c r="D31" i="42"/>
  <c r="D30" i="42"/>
  <c r="D29" i="42"/>
  <c r="I108" i="29"/>
  <c r="K108" i="29" s="1"/>
  <c r="L30" i="35" s="1"/>
  <c r="I110"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s="1"/>
  <c r="M33" i="29"/>
  <c r="Q51" i="29" s="1"/>
  <c r="N33" i="29"/>
  <c r="N35" i="29" s="1"/>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E54" i="29"/>
  <c r="B34" i="35"/>
  <c r="Z24" i="37"/>
  <c r="AA24" i="37"/>
  <c r="AF24" i="37" s="1"/>
  <c r="Z23" i="37"/>
  <c r="AA23" i="37"/>
  <c r="Z22" i="37"/>
  <c r="AA22" i="37"/>
  <c r="AF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H22" i="30"/>
  <c r="AE22" i="37"/>
  <c r="B22" i="30"/>
  <c r="AF23" i="37"/>
  <c r="AE23" i="37"/>
  <c r="AD23" i="37"/>
  <c r="AB23" i="37"/>
  <c r="AC23" i="37"/>
  <c r="AE24" i="37"/>
  <c r="AB24" i="37"/>
  <c r="J32" i="35"/>
  <c r="K110" i="29"/>
  <c r="L32" i="35" s="1"/>
  <c r="H26" i="35"/>
  <c r="AD22" i="37"/>
  <c r="F20" i="42"/>
  <c r="G20" i="37" l="1"/>
  <c r="G28" i="37"/>
  <c r="G21" i="37"/>
  <c r="G23" i="37"/>
  <c r="G25" i="37"/>
  <c r="G29" i="37"/>
  <c r="G26" i="37"/>
  <c r="G22" i="37"/>
  <c r="G24" i="37"/>
  <c r="G27" i="37"/>
  <c r="D33" i="29"/>
  <c r="J31" i="35"/>
  <c r="K109" i="29"/>
  <c r="L31" i="35" s="1"/>
  <c r="C35" i="29"/>
  <c r="R29" i="29"/>
  <c r="K111" i="29"/>
  <c r="L33" i="35" s="1"/>
  <c r="J33" i="35"/>
  <c r="J30" i="35"/>
  <c r="H7" i="35"/>
  <c r="M35" i="29"/>
  <c r="AC22" i="37"/>
  <c r="AC24" i="37"/>
  <c r="H15" i="35"/>
  <c r="AB22" i="37"/>
  <c r="AD24" i="37"/>
  <c r="B15" i="35"/>
  <c r="F34" i="29"/>
  <c r="G34" i="29" s="1"/>
  <c r="H34" i="29" s="1"/>
  <c r="I34" i="29" s="1"/>
  <c r="J34" i="29" s="1"/>
  <c r="K34" i="29" s="1"/>
  <c r="R30" i="29" l="1"/>
  <c r="E33" i="29"/>
  <c r="D35" i="29"/>
  <c r="E35" i="29" l="1"/>
  <c r="R31" i="29"/>
  <c r="F33" i="29"/>
  <c r="F35" i="29" l="1"/>
  <c r="R32" i="29"/>
  <c r="G33" i="29"/>
  <c r="H33" i="29" l="1"/>
  <c r="R33" i="29"/>
  <c r="G35" i="29"/>
  <c r="I33" i="29" l="1"/>
  <c r="R34" i="29"/>
  <c r="H35" i="29"/>
  <c r="I35" i="29" l="1"/>
  <c r="R35" i="29"/>
  <c r="F47" i="29"/>
  <c r="K33" i="29" l="1"/>
  <c r="J35" i="29"/>
  <c r="R49" i="29"/>
  <c r="R50" i="29" l="1"/>
  <c r="K35" i="29"/>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<sst xmlns="http://schemas.openxmlformats.org/spreadsheetml/2006/main" count="602" uniqueCount="452">
  <si>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</si>
  <si>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</si>
  <si>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</si>
  <si>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</si>
  <si>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</si>
  <si>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</si>
  <si>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</si>
  <si>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</si>
  <si>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</si>
  <si>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</si>
  <si>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</si>
  <si>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</si>
  <si>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</si>
  <si>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</si>
  <si>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</si>
  <si>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</si>
  <si>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</si>
  <si>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</si>
  <si>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</si>
  <si>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</si>
  <si>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</si>
  <si>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</si>
  <si>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</si>
  <si>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</si>
  <si>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</si>
  <si>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</si>
  <si>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</si>
  <si>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</si>
  <si>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</si>
  <si>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</si>
  <si>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</si>
  <si>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</si>
  <si>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</si>
  <si>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</si>
  <si>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</si>
  <si>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</si>
  <si>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</si>
  <si>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</si>
  <si>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</si>
  <si>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</si>
  <si>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</si>
  <si>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</si>
  <si>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</si>
  <si>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</si>
  <si>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</si>
  <si>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</si>
  <si>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</si>
  <si>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</si>
  <si>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</si>
  <si>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</si>
  <si>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</si>
  <si>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</si>
  <si>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</si>
  <si>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</si>
  <si>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</si>
  <si>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</si>
  <si>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</si>
  <si>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</si>
  <si>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</si>
  <si>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</si>
  <si>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</si>
  <si>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</si>
  <si>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</si>
  <si>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</si>
  <si>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</si>
  <si>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</si>
  <si>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</si>
  <si>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</si>
  <si>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</si>
  <si>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</si>
  <si>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</si>
  <si>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</si>
  <si>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</si>
  <si>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</si>
  <si>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</si>
  <si>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</si>
  <si>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</si>
  <si>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</si>
  <si>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</si>
  <si>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</si>
  <si>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</si>
  <si>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</si>
  <si>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</si>
  <si>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</si>
  <si>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</si>
  <si>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</si>
  <si>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</si>
  <si>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</si>
  <si>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</si>
  <si>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</si>
  <si>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</si>
  <si>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</si>
  <si>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</si>
  <si>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</si>
  <si>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</si>
  <si>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</si>
  <si>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</si>
  <si>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</si>
  <si>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</si>
  <si>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</si>
  <si>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</si>
  <si>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</si>
  <si>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</si>
  <si>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</si>
  <si>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</si>
  <si>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</si>
  <si>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</si>
  <si>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</si>
  <si>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</si>
  <si>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</si>
  <si>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</si>
  <si>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</si>
  <si>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</si>
  <si>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</si>
  <si>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</si>
  <si>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</si>
  <si>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</si>
  <si>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</si>
  <si>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</si>
  <si>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</si>
  <si>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</si>
  <si>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</si>
  <si>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</si>
  <si>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</si>
  <si>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</si>
  <si>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</si>
  <si>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</si>
  <si>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</si>
  <si>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</si>
  <si>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</si>
  <si>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</si>
  <si>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</si>
  <si>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</si>
  <si>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</si>
  <si>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</si>
  <si>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</si>
  <si>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</si>
  <si>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</si>
  <si>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</si>
  <si>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</si>
  <si>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</si>
  <si>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</si>
  <si>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</si>
  <si>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</si>
  <si>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</si>
  <si>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</si>
  <si>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</si>
  <si>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</si>
  <si>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</si>
  <si>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</si>
  <si>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</si>
  <si>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</si>
  <si>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</si>
  <si>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</si>
  <si>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</si>
  <si>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</si>
  <si>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</si>
  <si>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</si>
  <si>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</si>
  <si>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</si>
  <si>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</si>
  <si>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</si>
  <si>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</si>
  <si>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</si>
  <si>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</si>
  <si>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</si>
  <si>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</si>
  <si>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</si>
  <si>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</si>
  <si>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</si>
  <si>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</si>
  <si>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</si>
  <si>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</si>
  <si>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</si>
  <si>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</si>
  <si>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</si>
  <si>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</si>
  <si>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</si>
  <si>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</si>
  <si>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</si>
  <si>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</si>
  <si>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</si>
  <si>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</si>
  <si>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</si>
  <si>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</si>
  <si>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</si>
  <si>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</si>
  <si>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</si>
  <si>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</si>
  <si>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</si>
  <si>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</si>
  <si>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</si>
  <si>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</si>
  <si>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</si>
  <si>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</si>
  <si>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</si>
  <si>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</si>
  <si>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</si>
  <si>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</si>
  <si>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</si>
  <si>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</si>
  <si>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</si>
  <si>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</si>
  <si>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</si>
  <si>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</si>
  <si>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</si>
  <si>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</si>
  <si>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</si>
  <si>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</si>
  <si>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</si>
  <si>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</si>
  <si>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</si>
  <si>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</si>
  <si>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</si>
  <si>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</si>
  <si>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</si>
  <si>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</si>
  <si>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</si>
  <si>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</si>
  <si>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</si>
  <si>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</si>
  <si>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</si>
  <si>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</si>
  <si>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</si>
  <si>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</si>
  <si>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</si>
  <si>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</si>
  <si>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</si>
  <si>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</si>
  <si>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</si>
  <si>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</si>
  <si>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</si>
  <si>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</si>
  <si>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</si>
  <si>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</si>
  <si>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</si>
  <si>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</si>
  <si>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</si>
  <si>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</si>
  <si>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</si>
  <si>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</si>
  <si>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</si>
  <si>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</si>
  <si>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</si>
  <si>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</si>
  <si>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</si>
  <si>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</si>
  <si>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</si>
  <si>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</si>
  <si>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</si>
  <si>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</si>
  <si>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</si>
  <si>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</si>
  <si>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</si>
  <si>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</si>
  <si>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</si>
  <si>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</si>
  <si>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</si>
  <si>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</si>
  <si>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</si>
  <si>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</si>
  <si>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</si>
  <si>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</si>
  <si>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</si>
  <si>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</si>
  <si>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</si>
  <si>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</si>
  <si>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</si>
  <si>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</si>
  <si>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</si>
  <si>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</si>
  <si>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</si>
  <si>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</si>
  <si>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</si>
  <si>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</si>
  <si>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</si>
  <si>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</si>
  <si>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</si>
  <si>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</si>
  <si>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</si>
  <si>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</si>
  <si>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</si>
  <si>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</si>
  <si>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</si>
  <si>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</si>
  <si>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</si>
  <si>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</si>
  <si>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</si>
  <si>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</si>
  <si>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</si>
  <si>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</si>
  <si>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</si>
  <si>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</si>
  <si>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</si>
  <si>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</si>
  <si>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</si>
  <si>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</si>
  <si>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</si>
  <si>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</si>
  <si>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</si>
  <si>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</si>
  <si>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</si>
  <si>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</si>
  <si>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</si>
  <si>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</si>
  <si>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</si>
  <si>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</si>
  <si>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</si>
  <si>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</si>
  <si>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</si>
  <si>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</si>
  <si>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</si>
  <si>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</si>
  <si>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</si>
  <si>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</si>
  <si>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</si>
  <si>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</si>
  <si>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</si>
  <si>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</si>
  <si>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</si>
  <si>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</si>
  <si>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</si>
  <si>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</si>
  <si>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</si>
  <si>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</si>
  <si>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</si>
  <si>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</si>
  <si>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</si>
  <si>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</si>
  <si>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</si>
  <si>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</si>
  <si>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</si>
  <si>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</si>
  <si>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</si>
  <si>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</si>
  <si>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</si>
  <si>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</si>
  <si>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</si>
  <si>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</si>
  <si>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</si>
  <si>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</si>
  <si>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</si>
  <si>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</si>
  <si>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</si>
  <si>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</si>
  <si>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</si>
  <si>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</si>
  <si>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</si>
  <si>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</si>
  <si>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</si>
  <si>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</si>
  <si>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</si>
  <si>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</si>
  <si>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</si>
  <si>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</si>
  <si>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</si>
  <si>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</si>
  <si>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</si>
  <si>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</si>
  <si>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</si>
  <si>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</si>
  <si>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</si>
  <si>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</si>
  <si>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</si>
  <si>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</si>
  <si>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</si>
  <si>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</si>
  <si>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</si>
  <si>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</si>
  <si>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</si>
  <si>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</si>
  <si>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</si>
  <si>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</si>
  <si>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</si>
  <si>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</si>
  <si>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</si>
  <si>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</si>
  <si>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</si>
  <si>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</si>
  <si>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</si>
  <si>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</si>
  <si>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</si>
  <si>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</si>
  <si>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</si>
  <si>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</si>
  <si>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</si>
  <si>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</si>
  <si>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</si>
  <si>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</si>
  <si>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</si>
  <si>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</si>
  <si>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</si>
  <si>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</si>
  <si>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</si>
  <si>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</si>
  <si>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</si>
  <si>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</si>
  <si>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</si>
  <si>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</si>
  <si>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</si>
  <si>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</si>
  <si>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</si>
  <si>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</si>
  <si>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</si>
  <si>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</si>
  <si>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</si>
  <si>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</si>
  <si>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</si>
  <si>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</si>
  <si>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</si>
  <si>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</si>
  <si>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</si>
  <si>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</si>
  <si>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</si>
  <si>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</si>
  <si>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</si>
  <si>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</si>
  <si>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</si>
  <si>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</si>
  <si>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</si>
  <si>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</si>
  <si>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</si>
  <si>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</si>
  <si>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</si>
  <si>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</si>
  <si>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</si>
  <si>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</si>
  <si>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</si>
  <si>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</si>
  <si>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</si>
  <si>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</si>
  <si>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</si>
  <si>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The new order is expected to deliver in April 2015</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</si>
  <si>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</si>
  <si>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</si>
  <si>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</si>
  <si>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</si>
  <si>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</si>
  <si>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</si>
  <si>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</si>
  <si>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</si>
  <si>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</si>
  <si>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</si>
  <si>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 xml:space="preserve">The relatively low indicator relates to the actual (decreased) number of TB patients in the country. </t>
  </si>
  <si>
    <t>N/A</t>
  </si>
  <si>
    <t>The PIU has conducted the quarterly post supervision meeting. The issue was thorughly discussed furher at the OC meeting on May 30, 215. The indicator to be improved by the next reporting period</t>
  </si>
  <si>
    <t>April 15, 2015</t>
  </si>
  <si>
    <t>PR to follow up to study a particular cohort</t>
  </si>
  <si>
    <t>The PR has studied the particular cohort. The results were shared with the CCM on</t>
  </si>
  <si>
    <t>OC Chair/Secretariat for Coordination</t>
  </si>
  <si>
    <t>PR and OC Chair for follow up</t>
  </si>
  <si>
    <t>Meeting with the TB center management (Programmatic indicator: % of laboratories showing adequate performance in external quality assurance for smear microscopy)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</si>
</sst>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 _L_a_r_i_-;\-* #,##0.00\ _L_a_r_i_-;_-* &quot;-&quot;??\ _L_a_r_i_-;_-@_-"/>
    <numFmt numFmtId="165" formatCode="_(* #,##0.00_);_(* \(#,##0.00\);_(* &quot;-&quot;??_);_(@_)"/>
    <numFmt numFmtId="166" formatCode="_-* #,##0.00_-;\-* #,##0.00_-;_-* &quot;-&quot;??_-;_-@_-"/>
    <numFmt numFmtId="167" formatCode="_(&quot;$&quot;* #,##0.00_);_(&quot;$&quot;* \(#,##0.00\);_(&quot;$&quot;* &quot;-&quot;??_);_(@_)"/>
    <numFmt numFmtId="168" formatCode="&quot;Q&quot;#,##0_);[Red]\(&quot;Q&quot;#,##0\)"/>
    <numFmt numFmtId="169" formatCode="_(* #,##0_);_(* \(#,##0\);_(* &quot;-&quot;??_);_(@_)"/>
    <numFmt numFmtId="170" formatCode=";;;"/>
    <numFmt numFmtId="171" formatCode="0.0"/>
    <numFmt numFmtId="172" formatCode=";;;&quot;Financial Variance in %&quot;"/>
    <numFmt numFmtId="173" formatCode="_([$€]* #,##0.00_);_([$€]* \(#,##0.00\);_([$€]* &quot;-&quot;??_);_(@_)"/>
    <numFmt numFmtId="174" formatCode="[$$-409]#,##0"/>
    <numFmt numFmtId="175" formatCode="[$-409]d/mmm/yyyy;@"/>
    <numFmt numFmtId="176" formatCode="[$$-409]#,##0_);\([$$-409]#,##0\)"/>
    <numFmt numFmtId="177" formatCode="0.0%"/>
    <numFmt numFmtId="178" formatCode="_(* #,##0.00000_);_(* \(#,##0.00000\);_(* &quot;-&quot;??_);_(@_)"/>
    <numFmt numFmtId="179" formatCode="_(* #,##0.0000000_);_(* \(#,##0.0000000\);_(* &quot;-&quot;??_);_(@_)"/>
  </numFmts>
  <fonts count="16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s>
  <fills count="48">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7"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6" fontId="2" fillId="0" borderId="0" applyFont="0" applyFill="0" applyBorder="0" applyAlignment="0" applyProtection="0"/>
    <xf numFmtId="166" fontId="137" fillId="0" borderId="0" applyFont="0" applyFill="0" applyBorder="0" applyAlignment="0" applyProtection="0"/>
    <xf numFmtId="164" fontId="138"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6"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897">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9"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8"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9"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9"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9"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70"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2"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1"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9" fontId="6" fillId="0" borderId="0" xfId="51" applyNumberFormat="1" applyFont="1" applyFill="1" applyBorder="1" applyAlignment="1" applyProtection="1">
      <protection locked="0"/>
    </xf>
    <xf numFmtId="169"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8" fontId="15" fillId="29" borderId="0" xfId="0" applyNumberFormat="1" applyFont="1" applyFill="1"/>
    <xf numFmtId="169" fontId="15" fillId="29" borderId="0" xfId="0" applyNumberFormat="1" applyFont="1" applyFill="1"/>
    <xf numFmtId="3" fontId="15" fillId="29" borderId="0" xfId="0" applyNumberFormat="1" applyFont="1" applyFill="1" applyProtection="1"/>
    <xf numFmtId="168"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9"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5"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4" fontId="21" fillId="29" borderId="0" xfId="0" applyNumberFormat="1" applyFont="1" applyFill="1"/>
    <xf numFmtId="174"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8" fontId="32" fillId="28" borderId="72" xfId="0" applyNumberFormat="1" applyFont="1" applyFill="1" applyBorder="1" applyAlignment="1" applyProtection="1">
      <alignment horizontal="center"/>
      <protection locked="0"/>
    </xf>
    <xf numFmtId="168" fontId="32" fillId="28" borderId="73" xfId="0" applyNumberFormat="1" applyFont="1" applyFill="1" applyBorder="1" applyAlignment="1" applyProtection="1">
      <alignment horizontal="center"/>
      <protection locked="0"/>
    </xf>
    <xf numFmtId="168" fontId="32" fillId="28" borderId="74" xfId="0" applyNumberFormat="1" applyFont="1" applyFill="1" applyBorder="1" applyAlignment="1" applyProtection="1">
      <alignment horizontal="center"/>
      <protection locked="0"/>
    </xf>
    <xf numFmtId="168" fontId="32" fillId="28" borderId="75" xfId="0" applyNumberFormat="1" applyFont="1" applyFill="1" applyBorder="1" applyAlignment="1" applyProtection="1">
      <alignment horizontal="center"/>
      <protection locked="0"/>
    </xf>
    <xf numFmtId="168"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8" fontId="14" fillId="28" borderId="82" xfId="0" applyNumberFormat="1" applyFont="1" applyFill="1" applyBorder="1" applyAlignment="1" applyProtection="1">
      <alignment horizontal="center"/>
      <protection locked="0"/>
    </xf>
    <xf numFmtId="168"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5" fontId="39" fillId="33" borderId="95" xfId="120" applyFont="1" applyFill="1" applyBorder="1" applyAlignment="1" applyProtection="1">
      <alignment horizontal="center" vertical="center"/>
    </xf>
    <xf numFmtId="165"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1" fontId="0" fillId="0" borderId="12" xfId="0" applyNumberFormat="1" applyFill="1" applyBorder="1" applyAlignment="1" applyProtection="1">
      <alignment horizontal="center"/>
    </xf>
    <xf numFmtId="171" fontId="15" fillId="36" borderId="100" xfId="0" applyNumberFormat="1" applyFont="1" applyFill="1" applyBorder="1" applyAlignment="1" applyProtection="1">
      <alignment horizontal="center"/>
    </xf>
    <xf numFmtId="171"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8" fontId="14" fillId="28" borderId="111" xfId="0" applyNumberFormat="1" applyFont="1" applyFill="1" applyBorder="1" applyAlignment="1" applyProtection="1">
      <alignment horizontal="center"/>
      <protection locked="0"/>
    </xf>
    <xf numFmtId="168" fontId="14" fillId="28" borderId="115" xfId="0" applyNumberFormat="1" applyFont="1" applyFill="1" applyBorder="1" applyAlignment="1" applyProtection="1">
      <alignment horizontal="center"/>
      <protection locked="0"/>
    </xf>
    <xf numFmtId="171" fontId="0" fillId="29" borderId="12" xfId="0" applyNumberFormat="1" applyFill="1" applyBorder="1" applyAlignment="1" applyProtection="1">
      <alignment horizontal="center"/>
    </xf>
    <xf numFmtId="171" fontId="0" fillId="0" borderId="12" xfId="0" applyNumberFormat="1" applyBorder="1" applyAlignment="1" applyProtection="1">
      <alignment horizontal="center"/>
    </xf>
    <xf numFmtId="171" fontId="0" fillId="29" borderId="71" xfId="0" applyNumberFormat="1" applyFill="1" applyBorder="1" applyAlignment="1" applyProtection="1">
      <alignment horizontal="center"/>
    </xf>
    <xf numFmtId="171"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40" xfId="0" applyBorder="1"/>
    <xf numFmtId="0" fontId="0" fillId="0" borderId="71" xfId="0" applyNumberFormat="1" applyFill="1" applyBorder="1" applyProtection="1"/>
    <xf numFmtId="3" fontId="0" fillId="0" borderId="71" xfId="0" applyNumberFormat="1" applyFill="1" applyBorder="1" applyProtection="1"/>
    <xf numFmtId="171"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1" fontId="0" fillId="0" borderId="61" xfId="0" applyNumberFormat="1" applyFill="1" applyBorder="1" applyProtection="1"/>
    <xf numFmtId="171"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8" fontId="107" fillId="0" borderId="0" xfId="51" applyNumberFormat="1" applyFont="1" applyFill="1" applyBorder="1" applyAlignment="1" applyProtection="1">
      <alignment horizontal="center" vertical="center"/>
    </xf>
    <xf numFmtId="179"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8" xfId="0" applyBorder="1" applyAlignment="1">
      <alignment horizontal="center" wrapText="1"/>
    </xf>
    <xf numFmtId="165"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0" fontId="67" fillId="31" borderId="130"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9" fontId="2"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49" fontId="67" fillId="32" borderId="125"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165"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4"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5"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5" fontId="24" fillId="33" borderId="45" xfId="117" applyFont="1" applyFill="1" applyBorder="1" applyAlignment="1" applyProtection="1">
      <alignment horizontal="center"/>
    </xf>
    <xf numFmtId="165" fontId="1" fillId="0" borderId="45" xfId="117" applyFont="1" applyFill="1" applyBorder="1" applyAlignment="1" applyProtection="1">
      <alignment horizontal="right"/>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5" fontId="106" fillId="41" borderId="0" xfId="81" applyFont="1" applyFill="1" applyAlignment="1" applyProtection="1">
      <alignment horizontal="center" vertical="center"/>
    </xf>
    <xf numFmtId="165" fontId="33" fillId="33" borderId="0" xfId="97" applyFont="1" applyFill="1" applyAlignment="1" applyProtection="1">
      <alignment horizontal="center" vertical="center" wrapText="1"/>
    </xf>
    <xf numFmtId="176"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0" fontId="112" fillId="0" borderId="0" xfId="0" applyFont="1" applyAlignment="1" applyProtection="1">
      <alignment horizontal="center"/>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165"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65" fontId="28" fillId="0" borderId="0" xfId="0" applyNumberFormat="1" applyFont="1" applyAlignment="1">
      <alignment horizontal="right"/>
    </xf>
    <xf numFmtId="15" fontId="28" fillId="0" borderId="0" xfId="0" applyNumberFormat="1" applyFont="1" applyAlignment="1">
      <alignment horizontal="right"/>
    </xf>
    <xf numFmtId="0" fontId="0" fillId="0" borderId="48" xfId="0" applyBorder="1" applyAlignment="1">
      <alignment horizontal="left" wrapText="1"/>
    </xf>
    <xf numFmtId="0" fontId="0" fillId="0" borderId="49" xfId="0" applyBorder="1" applyAlignment="1">
      <alignment horizontal="left" wrapText="1"/>
    </xf>
    <xf numFmtId="165" fontId="14" fillId="0" borderId="0" xfId="0" applyNumberFormat="1" applyFont="1" applyAlignment="1">
      <alignment horizontal="center"/>
    </xf>
    <xf numFmtId="0" fontId="14" fillId="0" borderId="0" xfId="0" applyFont="1" applyBorder="1" applyAlignment="1">
      <alignment horizontal="center"/>
    </xf>
    <xf numFmtId="165" fontId="28" fillId="0" borderId="0" xfId="0" applyNumberFormat="1" applyFont="1" applyAlignment="1">
      <alignment horizontal="left"/>
    </xf>
    <xf numFmtId="165" fontId="61" fillId="41" borderId="0" xfId="93" applyFont="1" applyFill="1" applyAlignment="1">
      <alignment horizontal="center" vertical="center"/>
    </xf>
    <xf numFmtId="0" fontId="112" fillId="0" borderId="0" xfId="0" applyFont="1" applyAlignment="1">
      <alignment horizontal="center"/>
    </xf>
    <xf numFmtId="0" fontId="85" fillId="0" borderId="0" xfId="0" applyFont="1" applyAlignment="1">
      <alignment horizontal="left" wrapText="1"/>
    </xf>
    <xf numFmtId="165" fontId="61" fillId="41" borderId="0" xfId="93" applyFont="1" applyFill="1" applyAlignment="1" applyProtection="1">
      <alignment horizontal="center" vertical="center"/>
    </xf>
    <xf numFmtId="0" fontId="34" fillId="0" borderId="118" xfId="0" applyFont="1" applyBorder="1" applyAlignment="1" applyProtection="1">
      <alignment horizontal="left"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74"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77" fillId="30" borderId="227"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21" fillId="0" borderId="221"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21" fillId="0" borderId="221"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30" borderId="212" xfId="109"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7"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217" xfId="0" applyFont="1" applyFill="1" applyBorder="1" applyAlignment="1" applyProtection="1">
      <alignment horizontal="left"/>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0" fontId="21" fillId="0" borderId="216" xfId="0" applyFont="1" applyBorder="1" applyAlignment="1" applyProtection="1">
      <alignment horizontal="left"/>
      <protection locked="0"/>
    </xf>
    <xf numFmtId="165"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pt idx="11">
                  <c:v>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3828649.7</c:v>
                </c:pt>
                <c:pt idx="5">
                  <c:v>3828649.7</c:v>
                </c:pt>
                <c:pt idx="6">
                  <c:v>5197547.1400000006</c:v>
                </c:pt>
                <c:pt idx="7">
                  <c:v>7215160.040000001</c:v>
                </c:pt>
                <c:pt idx="8">
                  <c:v>7215160.040000001</c:v>
                </c:pt>
                <c:pt idx="9">
                  <c:v>0</c:v>
                </c:pt>
                <c:pt idx="10">
                  <c:v>0</c:v>
                </c:pt>
                <c:pt idx="11">
                  <c:v>0</c:v>
                </c:pt>
              </c:numCache>
            </c:numRef>
          </c:val>
        </c:ser>
        <c:dLbls>
          <c:showLegendKey val="0"/>
          <c:showVal val="0"/>
          <c:showCatName val="0"/>
          <c:showSerName val="0"/>
          <c:showPercent val="0"/>
          <c:showBubbleSize val="0"/>
        </c:dLbls>
        <c:gapWidth val="70"/>
        <c:axId val="156061696"/>
        <c:axId val="155666112"/>
      </c:barChart>
      <c:catAx>
        <c:axId val="1560616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55666112"/>
        <c:crosses val="autoZero"/>
        <c:auto val="1"/>
        <c:lblAlgn val="ctr"/>
        <c:lblOffset val="100"/>
        <c:tickLblSkip val="1"/>
        <c:tickMarkSkip val="1"/>
        <c:noMultiLvlLbl val="0"/>
      </c:catAx>
      <c:valAx>
        <c:axId val="1556661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5606169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5197547.4400000004</c:v>
                </c:pt>
                <c:pt idx="1">
                  <c:v>4726798.2159741698</c:v>
                </c:pt>
                <c:pt idx="2">
                  <c:v>576674.42611181398</c:v>
                </c:pt>
                <c:pt idx="3">
                  <c:v>578061.10653551319</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2017612.9</c:v>
                </c:pt>
                <c:pt idx="1">
                  <c:v>423607.10999648646</c:v>
                </c:pt>
                <c:pt idx="2">
                  <c:v>79613.261109339917</c:v>
                </c:pt>
                <c:pt idx="3">
                  <c:v>79592.328372830758</c:v>
                </c:pt>
              </c:numCache>
            </c:numRef>
          </c:val>
        </c:ser>
        <c:dLbls>
          <c:showLegendKey val="0"/>
          <c:showVal val="0"/>
          <c:showCatName val="0"/>
          <c:showSerName val="0"/>
          <c:showPercent val="0"/>
          <c:showBubbleSize val="0"/>
        </c:dLbls>
        <c:gapWidth val="150"/>
        <c:overlap val="100"/>
        <c:axId val="156062208"/>
        <c:axId val="155667840"/>
      </c:barChart>
      <c:catAx>
        <c:axId val="15606220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5667840"/>
        <c:crossesAt val="0"/>
        <c:auto val="1"/>
        <c:lblAlgn val="ctr"/>
        <c:lblOffset val="100"/>
        <c:noMultiLvlLbl val="0"/>
      </c:catAx>
      <c:valAx>
        <c:axId val="15566784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0622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475936.84</c:v>
                </c:pt>
                <c:pt idx="1">
                  <c:v>1371341.37</c:v>
                </c:pt>
                <c:pt idx="2">
                  <c:v>5162536.3599999994</c:v>
                </c:pt>
                <c:pt idx="3">
                  <c:v>1759364.54</c:v>
                </c:pt>
                <c:pt idx="4">
                  <c:v>520927.13</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375667</c:v>
                </c:pt>
                <c:pt idx="1">
                  <c:v>800911.75978815602</c:v>
                </c:pt>
                <c:pt idx="2">
                  <c:v>2860677.9248955101</c:v>
                </c:pt>
                <c:pt idx="3">
                  <c:v>749239</c:v>
                </c:pt>
                <c:pt idx="4">
                  <c:v>363909.53129050299</c:v>
                </c:pt>
              </c:numCache>
            </c:numRef>
          </c:val>
        </c:ser>
        <c:dLbls>
          <c:showLegendKey val="0"/>
          <c:showVal val="0"/>
          <c:showCatName val="0"/>
          <c:showSerName val="0"/>
          <c:showPercent val="0"/>
          <c:showBubbleSize val="0"/>
        </c:dLbls>
        <c:gapWidth val="150"/>
        <c:axId val="237901824"/>
        <c:axId val="155669568"/>
      </c:barChart>
      <c:catAx>
        <c:axId val="23790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5669568"/>
        <c:crosses val="autoZero"/>
        <c:auto val="1"/>
        <c:lblAlgn val="ctr"/>
        <c:lblOffset val="100"/>
        <c:tickMarkSkip val="1"/>
        <c:noMultiLvlLbl val="0"/>
      </c:catAx>
      <c:valAx>
        <c:axId val="1556695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379018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ser>
        <c:dLbls>
          <c:showLegendKey val="0"/>
          <c:showVal val="0"/>
          <c:showCatName val="0"/>
          <c:showSerName val="0"/>
          <c:showPercent val="0"/>
          <c:showBubbleSize val="0"/>
        </c:dLbls>
        <c:gapWidth val="79"/>
        <c:overlap val="100"/>
        <c:axId val="157227008"/>
        <c:axId val="15703244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157227520"/>
        <c:axId val="157033024"/>
      </c:barChart>
      <c:catAx>
        <c:axId val="157227008"/>
        <c:scaling>
          <c:orientation val="minMax"/>
        </c:scaling>
        <c:delete val="1"/>
        <c:axPos val="l"/>
        <c:majorTickMark val="out"/>
        <c:minorTickMark val="none"/>
        <c:tickLblPos val="none"/>
        <c:crossAx val="157032448"/>
        <c:crosses val="autoZero"/>
        <c:auto val="1"/>
        <c:lblAlgn val="ctr"/>
        <c:lblOffset val="100"/>
        <c:noMultiLvlLbl val="0"/>
      </c:catAx>
      <c:valAx>
        <c:axId val="1570324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7227008"/>
        <c:crosses val="max"/>
        <c:crossBetween val="between"/>
      </c:valAx>
      <c:catAx>
        <c:axId val="157227520"/>
        <c:scaling>
          <c:orientation val="minMax"/>
        </c:scaling>
        <c:delete val="1"/>
        <c:axPos val="l"/>
        <c:majorTickMark val="out"/>
        <c:minorTickMark val="none"/>
        <c:tickLblPos val="none"/>
        <c:crossAx val="157033024"/>
        <c:crosses val="autoZero"/>
        <c:auto val="0"/>
        <c:lblAlgn val="ctr"/>
        <c:lblOffset val="100"/>
        <c:noMultiLvlLbl val="0"/>
      </c:catAx>
      <c:valAx>
        <c:axId val="157033024"/>
        <c:scaling>
          <c:orientation val="minMax"/>
        </c:scaling>
        <c:delete val="0"/>
        <c:axPos val="b"/>
        <c:numFmt formatCode="0%" sourceLinked="1"/>
        <c:majorTickMark val="none"/>
        <c:minorTickMark val="none"/>
        <c:tickLblPos val="none"/>
        <c:spPr>
          <a:ln w="3175">
            <a:solidFill>
              <a:srgbClr val="000000"/>
            </a:solidFill>
            <a:prstDash val="solid"/>
          </a:ln>
        </c:spPr>
        <c:crossAx val="157227520"/>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157224960"/>
        <c:axId val="157035328"/>
      </c:barChart>
      <c:catAx>
        <c:axId val="157224960"/>
        <c:scaling>
          <c:orientation val="minMax"/>
        </c:scaling>
        <c:delete val="0"/>
        <c:axPos val="b"/>
        <c:majorTickMark val="none"/>
        <c:minorTickMark val="none"/>
        <c:tickLblPos val="none"/>
        <c:spPr>
          <a:ln w="3175">
            <a:solidFill>
              <a:srgbClr val="000000"/>
            </a:solidFill>
            <a:prstDash val="solid"/>
          </a:ln>
        </c:spPr>
        <c:crossAx val="157035328"/>
        <c:crosses val="autoZero"/>
        <c:auto val="0"/>
        <c:lblAlgn val="ctr"/>
        <c:lblOffset val="100"/>
        <c:tickMarkSkip val="1"/>
        <c:noMultiLvlLbl val="0"/>
      </c:catAx>
      <c:valAx>
        <c:axId val="157035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224960"/>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140718080"/>
        <c:axId val="157037632"/>
      </c:barChart>
      <c:catAx>
        <c:axId val="1407180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037632"/>
        <c:crosses val="autoZero"/>
        <c:auto val="1"/>
        <c:lblAlgn val="ctr"/>
        <c:lblOffset val="100"/>
        <c:tickLblSkip val="1"/>
        <c:tickMarkSkip val="1"/>
        <c:noMultiLvlLbl val="0"/>
      </c:catAx>
      <c:valAx>
        <c:axId val="15703763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718080"/>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40719104"/>
        <c:axId val="157039936"/>
      </c:barChart>
      <c:catAx>
        <c:axId val="14071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7039936"/>
        <c:crosses val="autoZero"/>
        <c:auto val="1"/>
        <c:lblAlgn val="ctr"/>
        <c:lblOffset val="100"/>
        <c:noMultiLvlLbl val="0"/>
      </c:catAx>
      <c:valAx>
        <c:axId val="15703993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719104"/>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289507.02659596503</c:v>
                </c:pt>
                <c:pt idx="5">
                  <c:v>378003.36852896464</c:v>
                </c:pt>
                <c:pt idx="6">
                  <c:v>517814.36852896464</c:v>
                </c:pt>
                <c:pt idx="7">
                  <c:v>580976.5256478301</c:v>
                </c:pt>
                <c:pt idx="8">
                  <c:v>580976.5256478301</c:v>
                </c:pt>
                <c:pt idx="9">
                  <c:v>580976.5256478301</c:v>
                </c:pt>
                <c:pt idx="10">
                  <c:v>580976.5256478301</c:v>
                </c:pt>
                <c:pt idx="11">
                  <c:v>580976.5256478301</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2463996</c:v>
                </c:pt>
                <c:pt idx="5">
                  <c:v>2850881</c:v>
                </c:pt>
                <c:pt idx="6">
                  <c:v>3057751</c:v>
                </c:pt>
                <c:pt idx="7">
                  <c:v>3224248</c:v>
                </c:pt>
                <c:pt idx="8">
                  <c:v>3224248</c:v>
                </c:pt>
                <c:pt idx="9">
                  <c:v>3224248</c:v>
                </c:pt>
                <c:pt idx="10">
                  <c:v>3224248</c:v>
                </c:pt>
                <c:pt idx="11">
                  <c:v>3224248</c:v>
                </c:pt>
              </c:numCache>
            </c:numRef>
          </c:val>
          <c:smooth val="0"/>
        </c:ser>
        <c:dLbls>
          <c:showLegendKey val="0"/>
          <c:showVal val="0"/>
          <c:showCatName val="0"/>
          <c:showSerName val="0"/>
          <c:showPercent val="0"/>
          <c:showBubbleSize val="0"/>
        </c:dLbls>
        <c:marker val="1"/>
        <c:smooth val="0"/>
        <c:axId val="140719616"/>
        <c:axId val="155854528"/>
      </c:lineChart>
      <c:catAx>
        <c:axId val="140719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55854528"/>
        <c:crosses val="autoZero"/>
        <c:auto val="1"/>
        <c:lblAlgn val="ctr"/>
        <c:lblOffset val="100"/>
        <c:tickLblSkip val="1"/>
        <c:tickMarkSkip val="1"/>
        <c:noMultiLvlLbl val="0"/>
      </c:catAx>
      <c:valAx>
        <c:axId val="155854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40719616"/>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pt idx="4">
                  <c:v>80</c:v>
                </c:pt>
                <c:pt idx="5">
                  <c:v>70</c:v>
                </c:pt>
                <c:pt idx="6">
                  <c:v>83</c:v>
                </c:pt>
                <c:pt idx="7">
                  <c:v>81</c:v>
                </c:pt>
              </c:numCache>
            </c:numRef>
          </c:val>
        </c:ser>
        <c:dLbls>
          <c:showLegendKey val="0"/>
          <c:showVal val="0"/>
          <c:showCatName val="0"/>
          <c:showSerName val="0"/>
          <c:showPercent val="0"/>
          <c:showBubbleSize val="0"/>
        </c:dLbls>
        <c:gapWidth val="150"/>
        <c:axId val="140721664"/>
        <c:axId val="155856832"/>
      </c:barChart>
      <c:catAx>
        <c:axId val="14072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5856832"/>
        <c:crosses val="autoZero"/>
        <c:auto val="1"/>
        <c:lblAlgn val="ctr"/>
        <c:lblOffset val="100"/>
        <c:tickLblSkip val="1"/>
        <c:tickMarkSkip val="1"/>
        <c:noMultiLvlLbl val="0"/>
      </c:catAx>
      <c:valAx>
        <c:axId val="1558568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40721664"/>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2032</c:v>
                </c:pt>
                <c:pt idx="5">
                  <c:v>1016</c:v>
                </c:pt>
                <c:pt idx="6">
                  <c:v>4063</c:v>
                </c:pt>
                <c:pt idx="7">
                  <c:v>1014</c:v>
                </c:pt>
                <c:pt idx="8">
                  <c:v>1014</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pt idx="4">
                  <c:v>1676</c:v>
                </c:pt>
                <c:pt idx="5">
                  <c:v>701</c:v>
                </c:pt>
                <c:pt idx="6">
                  <c:v>3136</c:v>
                </c:pt>
                <c:pt idx="7">
                  <c:v>761</c:v>
                </c:pt>
              </c:numCache>
            </c:numRef>
          </c:val>
        </c:ser>
        <c:dLbls>
          <c:showLegendKey val="0"/>
          <c:showVal val="0"/>
          <c:showCatName val="0"/>
          <c:showSerName val="0"/>
          <c:showPercent val="0"/>
          <c:showBubbleSize val="0"/>
        </c:dLbls>
        <c:gapWidth val="150"/>
        <c:axId val="153687552"/>
        <c:axId val="155859136"/>
      </c:barChart>
      <c:catAx>
        <c:axId val="15368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5859136"/>
        <c:crosses val="autoZero"/>
        <c:auto val="1"/>
        <c:lblAlgn val="ctr"/>
        <c:lblOffset val="100"/>
        <c:tickLblSkip val="1"/>
        <c:tickMarkSkip val="1"/>
        <c:noMultiLvlLbl val="0"/>
      </c:catAx>
      <c:valAx>
        <c:axId val="1558591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3687552"/>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pt idx="4">
                  <c:v>82</c:v>
                </c:pt>
                <c:pt idx="5">
                  <c:v>82</c:v>
                </c:pt>
                <c:pt idx="6">
                  <c:v>88</c:v>
                </c:pt>
                <c:pt idx="7">
                  <c:v>91</c:v>
                </c:pt>
              </c:numCache>
            </c:numRef>
          </c:val>
        </c:ser>
        <c:dLbls>
          <c:showLegendKey val="0"/>
          <c:showVal val="0"/>
          <c:showCatName val="0"/>
          <c:showSerName val="0"/>
          <c:showPercent val="0"/>
          <c:showBubbleSize val="0"/>
        </c:dLbls>
        <c:gapWidth val="150"/>
        <c:axId val="153689088"/>
        <c:axId val="153763840"/>
      </c:barChart>
      <c:catAx>
        <c:axId val="15368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53763840"/>
        <c:crosses val="autoZero"/>
        <c:auto val="1"/>
        <c:lblAlgn val="ctr"/>
        <c:lblOffset val="100"/>
        <c:tickLblSkip val="1"/>
        <c:tickMarkSkip val="1"/>
        <c:noMultiLvlLbl val="0"/>
      </c:catAx>
      <c:valAx>
        <c:axId val="15376384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5368908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3828649.7</c:v>
                </c:pt>
                <c:pt idx="5">
                  <c:v>3828649.7</c:v>
                </c:pt>
                <c:pt idx="6">
                  <c:v>5197547.1400000006</c:v>
                </c:pt>
                <c:pt idx="7">
                  <c:v>7215160.040000001</c:v>
                </c:pt>
                <c:pt idx="8">
                  <c:v>7215160.040000001</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54043392"/>
        <c:axId val="153766144"/>
      </c:areaChart>
      <c:catAx>
        <c:axId val="154043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53766144"/>
        <c:crosses val="autoZero"/>
        <c:auto val="1"/>
        <c:lblAlgn val="ctr"/>
        <c:lblOffset val="100"/>
        <c:tickLblSkip val="8"/>
        <c:tickMarkSkip val="1"/>
        <c:noMultiLvlLbl val="0"/>
      </c:catAx>
      <c:valAx>
        <c:axId val="15376614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5404339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xdr:cNvPr>
        <xdr:cNvGrpSpPr>
          <a:grpSpLocks/>
        </xdr:cNvGrpSpPr>
      </xdr:nvGrpSpPr>
      <xdr:grpSpPr bwMode="auto">
        <a:xfrm>
          <a:off x="3413125" y="2446338"/>
          <a:ext cx="1009650" cy="361950"/>
          <a:chOff x="1200" y="1912"/>
          <a:chExt cx="3456" cy="774"/>
        </a:xfrm>
      </xdr:grpSpPr>
      <xdr:sp macro="" textlink="">
        <xdr:nvSpPr>
          <xdr:cNvPr id="31734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xdr:cNvPr>
        <xdr:cNvGrpSpPr>
          <a:grpSpLocks/>
        </xdr:cNvGrpSpPr>
      </xdr:nvGrpSpPr>
      <xdr:grpSpPr bwMode="auto">
        <a:xfrm>
          <a:off x="3451225" y="3522663"/>
          <a:ext cx="1066800" cy="361950"/>
          <a:chOff x="1200" y="1912"/>
          <a:chExt cx="3456" cy="774"/>
        </a:xfrm>
      </xdr:grpSpPr>
      <xdr:sp macro="" textlink="">
        <xdr:nvSpPr>
          <xdr:cNvPr id="31734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xdr:cNvPr>
        <xdr:cNvGrpSpPr>
          <a:grpSpLocks/>
        </xdr:cNvGrpSpPr>
      </xdr:nvGrpSpPr>
      <xdr:grpSpPr bwMode="auto">
        <a:xfrm>
          <a:off x="3413125" y="2970213"/>
          <a:ext cx="1076325" cy="371475"/>
          <a:chOff x="1200" y="1912"/>
          <a:chExt cx="3456" cy="774"/>
        </a:xfrm>
      </xdr:grpSpPr>
      <xdr:sp macro="" textlink="">
        <xdr:nvSpPr>
          <xdr:cNvPr id="31734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xdr:cNvPr>
        <xdr:cNvGrpSpPr>
          <a:grpSpLocks/>
        </xdr:cNvGrpSpPr>
      </xdr:nvGrpSpPr>
      <xdr:grpSpPr bwMode="auto">
        <a:xfrm>
          <a:off x="5708650" y="2579688"/>
          <a:ext cx="1511300" cy="409575"/>
          <a:chOff x="599" y="262"/>
          <a:chExt cx="158" cy="43"/>
        </a:xfrm>
      </xdr:grpSpPr>
      <xdr:sp macro="" textlink="">
        <xdr:nvSpPr>
          <xdr:cNvPr id="31734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xdr:cNvGrpSpPr>
          <a:grpSpLocks/>
        </xdr:cNvGrpSpPr>
      </xdr:nvGrpSpPr>
      <xdr:grpSpPr bwMode="auto">
        <a:xfrm>
          <a:off x="317500" y="1903413"/>
          <a:ext cx="2162175" cy="2114550"/>
          <a:chOff x="32" y="188"/>
          <a:chExt cx="225" cy="225"/>
        </a:xfrm>
      </xdr:grpSpPr>
      <xdr:sp macro="" textlink="">
        <xdr:nvSpPr>
          <xdr:cNvPr id="368194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xdr:cNvGrpSpPr>
          <a:grpSpLocks/>
        </xdr:cNvGrpSpPr>
      </xdr:nvGrpSpPr>
      <xdr:grpSpPr bwMode="auto">
        <a:xfrm>
          <a:off x="5699125" y="3208338"/>
          <a:ext cx="1501775" cy="409575"/>
          <a:chOff x="578" y="328"/>
          <a:chExt cx="158" cy="43"/>
        </a:xfrm>
      </xdr:grpSpPr>
      <xdr:sp macro="" textlink="">
        <xdr:nvSpPr>
          <xdr:cNvPr id="31734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xdr:cNvPr>
        <xdr:cNvGrpSpPr>
          <a:grpSpLocks/>
        </xdr:cNvGrpSpPr>
      </xdr:nvGrpSpPr>
      <xdr:grpSpPr bwMode="auto">
        <a:xfrm>
          <a:off x="603250" y="3475038"/>
          <a:ext cx="1495425" cy="342900"/>
          <a:chOff x="56" y="259"/>
          <a:chExt cx="158" cy="40"/>
        </a:xfrm>
      </xdr:grpSpPr>
      <xdr:sp macro="" textlink="">
        <xdr:nvSpPr>
          <xdr:cNvPr id="31734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xdr:cNvPr>
        <xdr:cNvGrpSpPr>
          <a:grpSpLocks/>
        </xdr:cNvGrpSpPr>
      </xdr:nvGrpSpPr>
      <xdr:grpSpPr bwMode="auto">
        <a:xfrm>
          <a:off x="603250" y="2417763"/>
          <a:ext cx="1495425" cy="361950"/>
          <a:chOff x="1343025" y="2428876"/>
          <a:chExt cx="3240982" cy="617274"/>
        </a:xfrm>
      </xdr:grpSpPr>
      <xdr:sp macro="" textlink="">
        <xdr:nvSpPr>
          <xdr:cNvPr id="31734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xdr:cNvPr>
        <xdr:cNvGrpSpPr>
          <a:grpSpLocks/>
        </xdr:cNvGrpSpPr>
      </xdr:nvGrpSpPr>
      <xdr:grpSpPr bwMode="auto">
        <a:xfrm>
          <a:off x="603250" y="2951163"/>
          <a:ext cx="1495425" cy="381000"/>
          <a:chOff x="1343025" y="2428876"/>
          <a:chExt cx="3240982" cy="617274"/>
        </a:xfrm>
      </xdr:grpSpPr>
      <xdr:sp macro="" textlink="">
        <xdr:nvSpPr>
          <xdr:cNvPr id="31734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xdr:cNvGrpSpPr>
          <a:grpSpLocks/>
        </xdr:cNvGrpSpPr>
      </xdr:nvGrpSpPr>
      <xdr:grpSpPr bwMode="auto">
        <a:xfrm>
          <a:off x="3911600" y="2193925"/>
          <a:ext cx="3486150" cy="2228850"/>
          <a:chOff x="410" y="229"/>
          <a:chExt cx="366" cy="234"/>
        </a:xfrm>
      </xdr:grpSpPr>
      <xdr:graphicFrame macro="">
        <xdr:nvGraphicFramePr>
          <xdr:cNvPr id="2841225"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xdr:cNvGrpSpPr>
          <a:grpSpLocks/>
        </xdr:cNvGrpSpPr>
      </xdr:nvGrpSpPr>
      <xdr:grpSpPr bwMode="auto">
        <a:xfrm>
          <a:off x="0" y="4826000"/>
          <a:ext cx="3873500" cy="2355850"/>
          <a:chOff x="0" y="505"/>
          <a:chExt cx="407" cy="245"/>
        </a:xfrm>
      </xdr:grpSpPr>
      <xdr:graphicFrame macro="">
        <xdr:nvGraphicFramePr>
          <xdr:cNvPr id="284122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xdr:cNvGrpSpPr>
          <a:grpSpLocks/>
        </xdr:cNvGrpSpPr>
      </xdr:nvGrpSpPr>
      <xdr:grpSpPr bwMode="auto">
        <a:xfrm>
          <a:off x="6335889" y="5023556"/>
          <a:ext cx="85725" cy="0"/>
          <a:chOff x="595" y="540"/>
          <a:chExt cx="9" cy="9"/>
        </a:xfrm>
      </xdr:grpSpPr>
      <xdr:sp macro="" textlink="">
        <xdr:nvSpPr>
          <xdr:cNvPr id="343289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xdr:cNvGrpSpPr>
          <a:grpSpLocks/>
        </xdr:cNvGrpSpPr>
      </xdr:nvGrpSpPr>
      <xdr:grpSpPr bwMode="auto">
        <a:xfrm>
          <a:off x="7316964" y="5023556"/>
          <a:ext cx="242005" cy="0"/>
          <a:chOff x="698" y="540"/>
          <a:chExt cx="9" cy="9"/>
        </a:xfrm>
      </xdr:grpSpPr>
      <xdr:sp macro="" textlink="">
        <xdr:nvSpPr>
          <xdr:cNvPr id="343288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xdr:cNvGrpSpPr>
          <a:grpSpLocks/>
        </xdr:cNvGrpSpPr>
      </xdr:nvGrpSpPr>
      <xdr:grpSpPr bwMode="auto">
        <a:xfrm>
          <a:off x="5804606" y="5023556"/>
          <a:ext cx="206727" cy="0"/>
          <a:chOff x="698" y="540"/>
          <a:chExt cx="9" cy="9"/>
        </a:xfrm>
      </xdr:grpSpPr>
      <xdr:sp macro="" textlink="">
        <xdr:nvSpPr>
          <xdr:cNvPr id="34328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xdr:cNvGrpSpPr>
          <a:grpSpLocks/>
        </xdr:cNvGrpSpPr>
      </xdr:nvGrpSpPr>
      <xdr:grpSpPr bwMode="auto">
        <a:xfrm>
          <a:off x="1636889" y="5023556"/>
          <a:ext cx="85725" cy="0"/>
          <a:chOff x="595" y="540"/>
          <a:chExt cx="9" cy="9"/>
        </a:xfrm>
      </xdr:grpSpPr>
      <xdr:sp macro="" textlink="">
        <xdr:nvSpPr>
          <xdr:cNvPr id="343288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4.5"/>
  <cols>
    <col min="1" max="1" width="1.1796875" customWidth="1"/>
    <col min="2" max="10" width="11.453125" customWidth="1"/>
    <col min="11" max="11" width="1.7265625" customWidth="1"/>
  </cols>
  <sheetData>
    <row r="1" spans="2:15" ht="25.5" customHeight="1"/>
    <row r="2" spans="2:15" ht="36">
      <c r="B2" s="491" t="str">
        <f>+'Grant Detail'!B3:J3</f>
        <v>Dashboard:  Georgia - TB</v>
      </c>
      <c r="C2" s="491"/>
      <c r="D2" s="491"/>
      <c r="E2" s="491"/>
      <c r="F2" s="491"/>
      <c r="G2" s="491"/>
      <c r="H2" s="491"/>
      <c r="I2" s="491"/>
      <c r="J2" s="491"/>
      <c r="K2" s="491"/>
      <c r="L2" s="491"/>
      <c r="M2" s="1"/>
      <c r="N2" s="1"/>
      <c r="O2" s="1"/>
    </row>
    <row r="4" spans="2:15" ht="21">
      <c r="B4" s="492" t="str">
        <f>+IF('Data Entry'!G6="Please Select", "",'Data Entry'!G6) &amp;"  "&amp;+IF('Data Entry'!G8="Please Select", "", 'Data Entry'!G8&amp;",  ")&amp;+IF('Data Entry'!I8="Please Select","",'Data Entry'!I8)</f>
        <v>TB  Round 10,  Phase 2</v>
      </c>
      <c r="C4" s="492"/>
      <c r="D4" s="492"/>
      <c r="E4" s="493"/>
      <c r="F4" s="233"/>
      <c r="G4" s="233"/>
      <c r="H4" s="358" t="str">
        <f>+'Data Entry'!B6&amp;" "&amp;+'Data Entry'!C6</f>
        <v>Grant No.: GEO-T-NCDC</v>
      </c>
      <c r="I4" s="358"/>
      <c r="J4" s="232"/>
      <c r="K4" s="233"/>
      <c r="L4" s="233"/>
    </row>
    <row r="22" spans="2:12" ht="26">
      <c r="B22" s="494" t="s">
        <v>408</v>
      </c>
      <c r="C22" s="495"/>
      <c r="D22" s="495"/>
      <c r="E22" s="495"/>
      <c r="F22" s="495"/>
      <c r="G22" s="495"/>
      <c r="H22" s="495"/>
      <c r="I22" s="495"/>
      <c r="J22" s="495"/>
      <c r="K22" s="495"/>
      <c r="L22" s="49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sheetView>
  </sheetViews>
  <sheetFormatPr defaultColWidth="11" defaultRowHeight="14.5"/>
  <cols>
    <col min="1" max="1" width="2.7265625" customWidth="1"/>
    <col min="2" max="2" width="21.453125" customWidth="1"/>
    <col min="3" max="3" width="11.453125" customWidth="1"/>
    <col min="4" max="4" width="11.1796875" customWidth="1"/>
    <col min="5" max="5" width="16.453125" customWidth="1"/>
    <col min="6" max="6" width="15.7265625" customWidth="1"/>
    <col min="7" max="7" width="37.26953125" customWidth="1"/>
    <col min="8" max="8" width="17.26953125" customWidth="1"/>
    <col min="9" max="9" width="71" customWidth="1"/>
    <col min="10" max="10" width="14.1796875" customWidth="1"/>
    <col min="11" max="11" width="16" customWidth="1"/>
    <col min="12" max="12" width="13.1796875" customWidth="1"/>
    <col min="13" max="13" width="49.453125" customWidth="1"/>
    <col min="14" max="14" width="2.453125" style="36" customWidth="1"/>
    <col min="15" max="15" width="3" style="36" customWidth="1"/>
    <col min="16" max="16" width="2.453125" customWidth="1"/>
    <col min="17" max="17" width="16.1796875" customWidth="1"/>
    <col min="18" max="18" width="13.7265625" customWidth="1"/>
    <col min="19" max="19" width="11.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500" t="str">
        <f>+"Dashboard: "&amp;" "&amp;+IF('Data Entry'!C4="Please Select","",'Data Entry'!C4&amp;" - ")&amp;+IF('Data Entry'!G6="Please Select","",'Data Entry'!G6)</f>
        <v>Dashboard:  Georgia - TB</v>
      </c>
      <c r="C2" s="500"/>
      <c r="D2" s="500"/>
      <c r="E2" s="500"/>
      <c r="F2" s="500"/>
      <c r="G2" s="500"/>
      <c r="H2" s="500"/>
      <c r="I2" s="500"/>
      <c r="J2" s="500"/>
      <c r="K2" s="500"/>
      <c r="L2" s="500"/>
      <c r="M2" s="500"/>
    </row>
    <row r="3" spans="1:15" ht="15.75" customHeight="1">
      <c r="A3" s="3"/>
      <c r="B3" s="224"/>
      <c r="C3" s="224"/>
      <c r="D3" s="224"/>
      <c r="E3" s="224"/>
      <c r="F3" s="224"/>
      <c r="G3" s="224"/>
      <c r="H3" s="224"/>
      <c r="I3" s="224"/>
      <c r="J3" s="224"/>
      <c r="K3" s="225"/>
      <c r="L3" s="225"/>
      <c r="M3" s="3"/>
    </row>
    <row r="5" spans="1:15" ht="23.5">
      <c r="B5" s="501" t="s">
        <v>284</v>
      </c>
      <c r="C5" s="501"/>
      <c r="D5" s="501"/>
      <c r="E5" s="501"/>
      <c r="F5" s="501"/>
      <c r="G5" s="501"/>
      <c r="H5" s="501"/>
      <c r="I5" s="501"/>
      <c r="J5" s="501"/>
      <c r="K5" s="501"/>
      <c r="L5" s="501"/>
      <c r="M5" s="501"/>
      <c r="N5" s="501"/>
      <c r="O5" s="501"/>
    </row>
    <row r="7" spans="1:15" ht="21">
      <c r="B7" s="502" t="s">
        <v>273</v>
      </c>
      <c r="C7" s="503"/>
      <c r="D7" s="504"/>
      <c r="E7" s="502" t="s">
        <v>274</v>
      </c>
      <c r="F7" s="503"/>
      <c r="G7" s="503"/>
      <c r="H7" s="503"/>
      <c r="I7" s="504"/>
      <c r="J7" s="502" t="s">
        <v>275</v>
      </c>
      <c r="K7" s="503"/>
      <c r="L7" s="504"/>
      <c r="M7" s="502" t="s">
        <v>348</v>
      </c>
      <c r="N7" s="503"/>
      <c r="O7" s="504"/>
    </row>
    <row r="8" spans="1:15" ht="92.25" customHeight="1">
      <c r="B8" s="516" t="str">
        <f>+'Data Entry'!B27</f>
        <v>F1: Budget and disbursements by Global Fund</v>
      </c>
      <c r="C8" s="517"/>
      <c r="D8" s="518"/>
      <c r="E8" s="505" t="s">
        <v>395</v>
      </c>
      <c r="F8" s="506"/>
      <c r="G8" s="506"/>
      <c r="H8" s="506"/>
      <c r="I8" s="507"/>
      <c r="J8" s="496" t="s">
        <v>349</v>
      </c>
      <c r="K8" s="497"/>
      <c r="L8" s="498"/>
      <c r="M8" s="496" t="s">
        <v>396</v>
      </c>
      <c r="N8" s="497"/>
      <c r="O8" s="498"/>
    </row>
    <row r="9" spans="1:15" ht="117.75" customHeight="1">
      <c r="B9" s="516" t="str">
        <f>+'Data Entry'!B36</f>
        <v>F2: Budget and actual expenditures by Grant Objective</v>
      </c>
      <c r="C9" s="517"/>
      <c r="D9" s="518"/>
      <c r="E9" s="513" t="s">
        <v>357</v>
      </c>
      <c r="F9" s="514"/>
      <c r="G9" s="514"/>
      <c r="H9" s="514"/>
      <c r="I9" s="515"/>
      <c r="J9" s="496" t="s">
        <v>351</v>
      </c>
      <c r="K9" s="497"/>
      <c r="L9" s="498"/>
      <c r="M9" s="496" t="s">
        <v>396</v>
      </c>
      <c r="N9" s="497"/>
      <c r="O9" s="498"/>
    </row>
    <row r="10" spans="1:15" ht="152.25" customHeight="1">
      <c r="B10" s="508" t="str">
        <f>+'Data Entry'!B49</f>
        <v>F3: Disbursements and expenditures</v>
      </c>
      <c r="C10" s="511"/>
      <c r="D10" s="512"/>
      <c r="E10" s="513" t="s">
        <v>397</v>
      </c>
      <c r="F10" s="514"/>
      <c r="G10" s="514"/>
      <c r="H10" s="514"/>
      <c r="I10" s="515"/>
      <c r="J10" s="496" t="s">
        <v>358</v>
      </c>
      <c r="K10" s="497"/>
      <c r="L10" s="498"/>
      <c r="M10" s="496" t="s">
        <v>350</v>
      </c>
      <c r="N10" s="497"/>
      <c r="O10" s="498"/>
    </row>
    <row r="11" spans="1:15" ht="279.75" customHeight="1">
      <c r="B11" s="508" t="str">
        <f>+'Data Entry'!B58</f>
        <v>F4: Latest PR reporting and disbursement cycle</v>
      </c>
      <c r="C11" s="509"/>
      <c r="D11" s="510"/>
      <c r="E11" s="513" t="s">
        <v>409</v>
      </c>
      <c r="F11" s="514"/>
      <c r="G11" s="514"/>
      <c r="H11" s="514"/>
      <c r="I11" s="515"/>
      <c r="J11" s="496" t="s">
        <v>359</v>
      </c>
      <c r="K11" s="497"/>
      <c r="L11" s="498"/>
      <c r="M11" s="496" t="s">
        <v>278</v>
      </c>
      <c r="N11" s="497"/>
      <c r="O11" s="498"/>
    </row>
    <row r="12" spans="1:15" s="19" customFormat="1">
      <c r="B12" s="535"/>
      <c r="C12" s="535"/>
      <c r="D12" s="535"/>
      <c r="E12" s="499"/>
      <c r="F12" s="499"/>
      <c r="G12" s="499"/>
      <c r="H12" s="499"/>
      <c r="I12" s="499"/>
      <c r="J12" s="499"/>
      <c r="K12" s="499"/>
      <c r="L12" s="499"/>
      <c r="M12" s="499"/>
      <c r="N12" s="499"/>
      <c r="O12" s="499"/>
    </row>
    <row r="13" spans="1:15" s="19" customFormat="1">
      <c r="B13" s="531"/>
      <c r="C13" s="531"/>
      <c r="D13" s="531"/>
      <c r="E13" s="532"/>
      <c r="F13" s="532"/>
      <c r="G13" s="532"/>
      <c r="H13" s="532"/>
      <c r="I13" s="532"/>
      <c r="J13" s="532"/>
      <c r="K13" s="532"/>
      <c r="L13" s="532"/>
      <c r="M13" s="532"/>
      <c r="N13" s="532"/>
      <c r="O13" s="532"/>
    </row>
    <row r="14" spans="1:15" s="19" customFormat="1">
      <c r="B14" s="531"/>
      <c r="C14" s="531"/>
      <c r="D14" s="531"/>
      <c r="E14" s="532"/>
      <c r="F14" s="532"/>
      <c r="G14" s="532"/>
      <c r="H14" s="532"/>
      <c r="I14" s="532"/>
      <c r="J14" s="532"/>
      <c r="K14" s="532"/>
      <c r="L14" s="532"/>
      <c r="M14" s="532"/>
      <c r="N14" s="532"/>
      <c r="O14" s="532"/>
    </row>
    <row r="15" spans="1:15" s="19" customFormat="1">
      <c r="B15" s="531"/>
      <c r="C15" s="531"/>
      <c r="D15" s="531"/>
      <c r="E15" s="532"/>
      <c r="F15" s="532"/>
      <c r="G15" s="532"/>
      <c r="H15" s="532"/>
      <c r="I15" s="532"/>
      <c r="J15" s="532"/>
      <c r="K15" s="532"/>
      <c r="L15" s="532"/>
      <c r="M15" s="532"/>
      <c r="N15" s="532"/>
      <c r="O15" s="532"/>
    </row>
    <row r="16" spans="1:15" ht="23.5">
      <c r="B16" s="501" t="s">
        <v>285</v>
      </c>
      <c r="C16" s="501"/>
      <c r="D16" s="501"/>
      <c r="E16" s="501"/>
      <c r="F16" s="501"/>
      <c r="G16" s="501"/>
      <c r="H16" s="501"/>
      <c r="I16" s="501"/>
      <c r="J16" s="501"/>
      <c r="K16" s="501"/>
      <c r="L16" s="501"/>
      <c r="M16" s="501"/>
      <c r="N16" s="501"/>
      <c r="O16" s="501"/>
    </row>
    <row r="18" spans="1:15" ht="21">
      <c r="B18" s="528" t="s">
        <v>273</v>
      </c>
      <c r="C18" s="529"/>
      <c r="D18" s="530"/>
      <c r="E18" s="528" t="s">
        <v>274</v>
      </c>
      <c r="F18" s="529"/>
      <c r="G18" s="529"/>
      <c r="H18" s="529"/>
      <c r="I18" s="530"/>
      <c r="J18" s="528" t="s">
        <v>275</v>
      </c>
      <c r="K18" s="529"/>
      <c r="L18" s="530"/>
      <c r="M18" s="528" t="s">
        <v>276</v>
      </c>
      <c r="N18" s="529"/>
      <c r="O18" s="530"/>
    </row>
    <row r="19" spans="1:15" ht="114" customHeight="1">
      <c r="B19" s="516" t="str">
        <f>+'Data Entry'!B69</f>
        <v>M1: Status of Conditions Precedent (CPs) and Time Bound Actions (TBAs)</v>
      </c>
      <c r="C19" s="533"/>
      <c r="D19" s="534"/>
      <c r="E19" s="513" t="s">
        <v>283</v>
      </c>
      <c r="F19" s="514"/>
      <c r="G19" s="514"/>
      <c r="H19" s="514"/>
      <c r="I19" s="515"/>
      <c r="J19" s="496" t="s">
        <v>352</v>
      </c>
      <c r="K19" s="497"/>
      <c r="L19" s="498"/>
      <c r="M19" s="496" t="s">
        <v>353</v>
      </c>
      <c r="N19" s="497"/>
      <c r="O19" s="498"/>
    </row>
    <row r="20" spans="1:15" ht="102.75" customHeight="1">
      <c r="B20" s="516" t="str">
        <f>+'Data Entry'!B76</f>
        <v>M2: Status of key PR management positions</v>
      </c>
      <c r="C20" s="533"/>
      <c r="D20" s="534"/>
      <c r="E20" s="513" t="s">
        <v>398</v>
      </c>
      <c r="F20" s="514"/>
      <c r="G20" s="514"/>
      <c r="H20" s="514"/>
      <c r="I20" s="515"/>
      <c r="J20" s="496" t="s">
        <v>280</v>
      </c>
      <c r="K20" s="497"/>
      <c r="L20" s="498"/>
      <c r="M20" s="496" t="s">
        <v>279</v>
      </c>
      <c r="N20" s="497"/>
      <c r="O20" s="498"/>
    </row>
    <row r="21" spans="1:15" ht="111.75" customHeight="1">
      <c r="B21" s="516" t="str">
        <f>+'Data Entry'!B81</f>
        <v xml:space="preserve">M3: Contractual arrangements (SRs) </v>
      </c>
      <c r="C21" s="533"/>
      <c r="D21" s="534"/>
      <c r="E21" s="560" t="s">
        <v>0</v>
      </c>
      <c r="F21" s="514"/>
      <c r="G21" s="514"/>
      <c r="H21" s="514"/>
      <c r="I21" s="515"/>
      <c r="J21" s="496" t="s">
        <v>354</v>
      </c>
      <c r="K21" s="497"/>
      <c r="L21" s="498"/>
      <c r="M21" s="496" t="s">
        <v>355</v>
      </c>
      <c r="N21" s="497"/>
      <c r="O21" s="498"/>
    </row>
    <row r="22" spans="1:15" ht="74.25" customHeight="1">
      <c r="B22" s="516" t="str">
        <f>+'Data Entry'!B86</f>
        <v>M4: Number of complete reports received on time</v>
      </c>
      <c r="C22" s="533"/>
      <c r="D22" s="534"/>
      <c r="E22" s="560" t="s">
        <v>410</v>
      </c>
      <c r="F22" s="561"/>
      <c r="G22" s="561"/>
      <c r="H22" s="561"/>
      <c r="I22" s="562"/>
      <c r="J22" s="496" t="s">
        <v>360</v>
      </c>
      <c r="K22" s="497"/>
      <c r="L22" s="498"/>
      <c r="M22" s="496" t="s">
        <v>281</v>
      </c>
      <c r="N22" s="497"/>
      <c r="O22" s="498"/>
    </row>
    <row r="23" spans="1:15" ht="207.75" customHeight="1">
      <c r="B23" s="595" t="str">
        <f>+'Data Entry'!B92</f>
        <v>M5: Budget and Procurement of health products, health equipment, medicines and pharmaceuticals</v>
      </c>
      <c r="C23" s="596"/>
      <c r="D23" s="597"/>
      <c r="E23" s="572" t="s">
        <v>361</v>
      </c>
      <c r="F23" s="573"/>
      <c r="G23" s="573"/>
      <c r="H23" s="573"/>
      <c r="I23" s="574"/>
      <c r="J23" s="566" t="s">
        <v>277</v>
      </c>
      <c r="K23" s="567"/>
      <c r="L23" s="568"/>
      <c r="M23" s="566" t="s">
        <v>282</v>
      </c>
      <c r="N23" s="567"/>
      <c r="O23" s="568"/>
    </row>
    <row r="24" spans="1:15" ht="114.75" customHeight="1">
      <c r="B24" s="598"/>
      <c r="C24" s="599"/>
      <c r="D24" s="600"/>
      <c r="E24" s="575" t="s">
        <v>356</v>
      </c>
      <c r="F24" s="576"/>
      <c r="G24" s="576"/>
      <c r="H24" s="576"/>
      <c r="I24" s="577"/>
      <c r="J24" s="569"/>
      <c r="K24" s="570"/>
      <c r="L24" s="571"/>
      <c r="M24" s="569"/>
      <c r="N24" s="570"/>
      <c r="O24" s="571"/>
    </row>
    <row r="25" spans="1:15" ht="409.5" customHeight="1">
      <c r="B25" s="516" t="str">
        <f>+'Data Entry'!B105</f>
        <v>M6: Difference between current and safety stock</v>
      </c>
      <c r="C25" s="533"/>
      <c r="D25" s="534"/>
      <c r="E25" s="578" t="s">
        <v>411</v>
      </c>
      <c r="F25" s="579"/>
      <c r="G25" s="579"/>
      <c r="H25" s="579"/>
      <c r="I25" s="580"/>
      <c r="J25" s="584" t="s">
        <v>362</v>
      </c>
      <c r="K25" s="585"/>
      <c r="L25" s="586"/>
      <c r="M25" s="581" t="s">
        <v>367</v>
      </c>
      <c r="N25" s="582"/>
      <c r="O25" s="583"/>
    </row>
    <row r="29" spans="1:15" ht="18.5">
      <c r="B29" s="259"/>
    </row>
    <row r="30" spans="1:15" ht="23.5">
      <c r="B30" s="501" t="s">
        <v>298</v>
      </c>
      <c r="C30" s="501"/>
      <c r="D30" s="501"/>
      <c r="E30" s="501"/>
      <c r="F30" s="501"/>
      <c r="G30" s="501"/>
      <c r="H30" s="501"/>
      <c r="I30" s="501"/>
      <c r="J30" s="501"/>
      <c r="K30" s="501"/>
      <c r="L30" s="501"/>
      <c r="M30" s="501"/>
      <c r="N30" s="501"/>
      <c r="O30" s="501"/>
    </row>
    <row r="32" spans="1:15" ht="28.5" customHeight="1">
      <c r="A32" s="250"/>
      <c r="B32" s="539" t="s">
        <v>346</v>
      </c>
      <c r="C32" s="540"/>
      <c r="D32" s="541"/>
      <c r="E32" s="542" t="s">
        <v>304</v>
      </c>
      <c r="F32" s="543"/>
      <c r="G32" s="543"/>
      <c r="H32" s="543"/>
      <c r="I32" s="544"/>
      <c r="J32" s="542" t="s">
        <v>275</v>
      </c>
      <c r="K32" s="543"/>
      <c r="L32" s="544"/>
      <c r="M32" s="542" t="s">
        <v>276</v>
      </c>
      <c r="N32" s="543"/>
      <c r="O32" s="544"/>
    </row>
    <row r="33" spans="1:15" ht="47.25" customHeight="1">
      <c r="A33" s="251"/>
      <c r="B33" s="587"/>
      <c r="C33" s="588"/>
      <c r="D33" s="589"/>
      <c r="E33" s="522"/>
      <c r="F33" s="523"/>
      <c r="G33" s="523"/>
      <c r="H33" s="523"/>
      <c r="I33" s="524"/>
      <c r="J33" s="525"/>
      <c r="K33" s="526"/>
      <c r="L33" s="527"/>
      <c r="M33" s="525"/>
      <c r="N33" s="526"/>
      <c r="O33" s="527"/>
    </row>
    <row r="34" spans="1:15" ht="59.25" customHeight="1">
      <c r="A34" s="251"/>
      <c r="B34" s="587"/>
      <c r="C34" s="588"/>
      <c r="D34" s="589"/>
      <c r="E34" s="522"/>
      <c r="F34" s="523"/>
      <c r="G34" s="523"/>
      <c r="H34" s="523"/>
      <c r="I34" s="524"/>
      <c r="J34" s="525"/>
      <c r="K34" s="526"/>
      <c r="L34" s="527"/>
      <c r="M34" s="525"/>
      <c r="N34" s="526"/>
      <c r="O34" s="527"/>
    </row>
    <row r="35" spans="1:15" ht="57.75" customHeight="1">
      <c r="A35" s="251"/>
      <c r="B35" s="587"/>
      <c r="C35" s="588"/>
      <c r="D35" s="589"/>
      <c r="E35" s="525"/>
      <c r="F35" s="526"/>
      <c r="G35" s="526"/>
      <c r="H35" s="526"/>
      <c r="I35" s="527"/>
      <c r="J35" s="525"/>
      <c r="K35" s="526"/>
      <c r="L35" s="527"/>
      <c r="M35" s="525"/>
      <c r="N35" s="526"/>
      <c r="O35" s="527"/>
    </row>
    <row r="36" spans="1:15" ht="9.75" customHeight="1">
      <c r="A36" s="251"/>
      <c r="B36" s="590"/>
      <c r="C36" s="591"/>
      <c r="D36" s="592"/>
      <c r="E36" s="252"/>
      <c r="F36" s="253"/>
      <c r="G36" s="253"/>
      <c r="H36" s="253"/>
      <c r="I36" s="254"/>
      <c r="J36" s="272"/>
      <c r="K36" s="273"/>
      <c r="L36" s="274"/>
      <c r="M36" s="272"/>
      <c r="N36" s="273"/>
      <c r="O36" s="274"/>
    </row>
    <row r="37" spans="1:15" ht="46.5" customHeight="1">
      <c r="A37" s="251"/>
      <c r="B37" s="587"/>
      <c r="C37" s="588"/>
      <c r="D37" s="589"/>
      <c r="E37" s="525"/>
      <c r="F37" s="593"/>
      <c r="G37" s="593"/>
      <c r="H37" s="593"/>
      <c r="I37" s="594"/>
      <c r="J37" s="267"/>
      <c r="K37" s="268"/>
      <c r="L37" s="269"/>
      <c r="M37" s="267"/>
      <c r="N37" s="268"/>
      <c r="O37" s="269"/>
    </row>
    <row r="38" spans="1:15" ht="69" customHeight="1">
      <c r="A38" s="251"/>
      <c r="B38" s="587"/>
      <c r="C38" s="588"/>
      <c r="D38" s="589"/>
      <c r="E38" s="522"/>
      <c r="F38" s="523"/>
      <c r="G38" s="523"/>
      <c r="H38" s="523"/>
      <c r="I38" s="524"/>
      <c r="J38" s="525"/>
      <c r="K38" s="526"/>
      <c r="L38" s="527"/>
      <c r="M38" s="525"/>
      <c r="N38" s="526"/>
      <c r="O38" s="527"/>
    </row>
    <row r="39" spans="1:15" ht="64.5" customHeight="1">
      <c r="A39" s="251"/>
      <c r="B39" s="587"/>
      <c r="C39" s="588"/>
      <c r="D39" s="589"/>
      <c r="E39" s="525"/>
      <c r="F39" s="526"/>
      <c r="G39" s="526"/>
      <c r="H39" s="526"/>
      <c r="I39" s="527"/>
      <c r="J39" s="267"/>
      <c r="K39" s="268"/>
      <c r="L39" s="269"/>
      <c r="M39" s="267"/>
      <c r="N39" s="268"/>
      <c r="O39" s="269"/>
    </row>
    <row r="40" spans="1:15" ht="45" customHeight="1">
      <c r="A40" s="251"/>
      <c r="B40" s="519"/>
      <c r="C40" s="520"/>
      <c r="D40" s="521"/>
      <c r="E40" s="557"/>
      <c r="F40" s="558"/>
      <c r="G40" s="558"/>
      <c r="H40" s="558"/>
      <c r="I40" s="559"/>
      <c r="J40" s="525"/>
      <c r="K40" s="526"/>
      <c r="L40" s="527"/>
      <c r="M40" s="525"/>
      <c r="N40" s="526"/>
      <c r="O40" s="527"/>
    </row>
    <row r="41" spans="1:15" ht="62.25" customHeight="1">
      <c r="A41" s="251"/>
      <c r="B41" s="554"/>
      <c r="C41" s="555"/>
      <c r="D41" s="556"/>
      <c r="E41" s="522"/>
      <c r="F41" s="523"/>
      <c r="G41" s="523"/>
      <c r="H41" s="523"/>
      <c r="I41" s="524"/>
      <c r="J41" s="525"/>
      <c r="K41" s="526"/>
      <c r="L41" s="527"/>
      <c r="M41" s="525"/>
      <c r="N41" s="526"/>
      <c r="O41" s="527"/>
    </row>
    <row r="42" spans="1:15" ht="84" customHeight="1">
      <c r="A42" s="251"/>
      <c r="B42" s="554"/>
      <c r="C42" s="555"/>
      <c r="D42" s="556"/>
      <c r="E42" s="525"/>
      <c r="F42" s="526"/>
      <c r="G42" s="526"/>
      <c r="H42" s="526"/>
      <c r="I42" s="527"/>
      <c r="J42" s="267"/>
      <c r="K42" s="268"/>
      <c r="L42" s="269"/>
      <c r="M42" s="267"/>
      <c r="N42" s="268"/>
      <c r="O42" s="269"/>
    </row>
    <row r="43" spans="1:15" ht="45" customHeight="1">
      <c r="A43" s="251"/>
      <c r="B43" s="554"/>
      <c r="C43" s="555"/>
      <c r="D43" s="556"/>
      <c r="E43" s="522"/>
      <c r="F43" s="523"/>
      <c r="G43" s="523"/>
      <c r="H43" s="523"/>
      <c r="I43" s="524"/>
      <c r="J43" s="525"/>
      <c r="K43" s="526"/>
      <c r="L43" s="527"/>
      <c r="M43" s="267"/>
      <c r="N43" s="268"/>
      <c r="O43" s="269"/>
    </row>
    <row r="44" spans="1:15" ht="64.5" customHeight="1">
      <c r="A44" s="251"/>
      <c r="B44" s="519"/>
      <c r="C44" s="520"/>
      <c r="D44" s="521"/>
      <c r="E44" s="522"/>
      <c r="F44" s="523"/>
      <c r="G44" s="523"/>
      <c r="H44" s="523"/>
      <c r="I44" s="524"/>
      <c r="J44" s="525"/>
      <c r="K44" s="526"/>
      <c r="L44" s="527"/>
      <c r="M44" s="267"/>
      <c r="N44" s="268"/>
      <c r="O44" s="269"/>
    </row>
    <row r="45" spans="1:15" ht="49.5" customHeight="1">
      <c r="B45" s="519"/>
      <c r="C45" s="520"/>
      <c r="D45" s="521"/>
      <c r="E45" s="522"/>
      <c r="F45" s="523"/>
      <c r="G45" s="523"/>
      <c r="H45" s="523"/>
      <c r="I45" s="524"/>
      <c r="J45" s="525"/>
      <c r="K45" s="526"/>
      <c r="L45" s="527"/>
      <c r="M45" s="267"/>
      <c r="N45" s="268"/>
      <c r="O45" s="269"/>
    </row>
    <row r="46" spans="1:15" ht="30" customHeight="1">
      <c r="B46" s="563"/>
      <c r="C46" s="564"/>
      <c r="D46" s="565"/>
      <c r="E46" s="255"/>
      <c r="F46" s="256"/>
      <c r="G46" s="256"/>
      <c r="H46" s="256"/>
      <c r="I46" s="257"/>
      <c r="J46" s="267"/>
      <c r="K46" s="268"/>
      <c r="L46" s="269"/>
      <c r="M46" s="267"/>
      <c r="N46" s="268"/>
      <c r="O46" s="269"/>
    </row>
    <row r="47" spans="1:15" ht="44.25" customHeight="1">
      <c r="B47" s="548" t="s">
        <v>299</v>
      </c>
      <c r="C47" s="549"/>
      <c r="D47" s="550"/>
      <c r="E47" s="551" t="s">
        <v>274</v>
      </c>
      <c r="F47" s="552"/>
      <c r="G47" s="552"/>
      <c r="H47" s="552"/>
      <c r="I47" s="553"/>
      <c r="J47" s="551" t="s">
        <v>275</v>
      </c>
      <c r="K47" s="552"/>
      <c r="L47" s="553"/>
      <c r="M47" s="551" t="s">
        <v>276</v>
      </c>
      <c r="N47" s="552"/>
      <c r="O47" s="553"/>
    </row>
    <row r="48" spans="1:15" ht="33.75" customHeight="1">
      <c r="B48" s="246"/>
      <c r="C48" s="247"/>
      <c r="D48" s="247"/>
      <c r="E48" s="240"/>
      <c r="F48" s="242"/>
      <c r="G48" s="242"/>
      <c r="H48" s="242"/>
      <c r="I48" s="242"/>
      <c r="J48" s="240"/>
      <c r="K48" s="240"/>
      <c r="L48" s="241"/>
      <c r="M48" s="239"/>
      <c r="N48" s="240"/>
      <c r="O48" s="241"/>
    </row>
    <row r="49" spans="2:15" ht="15.75" customHeight="1">
      <c r="B49" s="545" t="s">
        <v>296</v>
      </c>
      <c r="C49" s="546"/>
      <c r="D49" s="546"/>
      <c r="E49" s="546"/>
      <c r="F49" s="546"/>
      <c r="G49" s="546"/>
      <c r="H49" s="546"/>
      <c r="I49" s="546"/>
      <c r="J49" s="546"/>
      <c r="K49" s="546"/>
      <c r="L49" s="547"/>
      <c r="M49" s="536" t="s">
        <v>286</v>
      </c>
      <c r="N49" s="537"/>
      <c r="O49" s="538"/>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70" workbookViewId="0">
      <selection activeCell="E64" sqref="E64"/>
    </sheetView>
  </sheetViews>
  <sheetFormatPr defaultColWidth="11" defaultRowHeight="14.5"/>
  <cols>
    <col min="1" max="1" width="2.7265625" customWidth="1"/>
    <col min="2" max="2" width="46.1796875" customWidth="1"/>
    <col min="3" max="3" width="23" customWidth="1"/>
    <col min="4" max="4" width="19.1796875" customWidth="1"/>
    <col min="5" max="5" width="16.453125" customWidth="1"/>
    <col min="6" max="6" width="17.453125" customWidth="1"/>
    <col min="7" max="7" width="16.453125" customWidth="1"/>
    <col min="8" max="8" width="17.453125" customWidth="1"/>
    <col min="9" max="9" width="16.26953125" customWidth="1"/>
    <col min="10" max="10" width="16.81640625" customWidth="1"/>
    <col min="11" max="11" width="16" customWidth="1"/>
    <col min="12" max="12" width="15.26953125" customWidth="1"/>
    <col min="13" max="13" width="15.453125" customWidth="1"/>
    <col min="14" max="14" width="14.26953125" style="36" customWidth="1"/>
    <col min="15" max="15" width="15.453125" style="36" customWidth="1"/>
    <col min="16" max="16" width="19.453125" customWidth="1"/>
    <col min="17" max="17" width="16.1796875" customWidth="1"/>
    <col min="18" max="18" width="13.7265625" customWidth="1"/>
    <col min="19" max="19" width="13.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style="36" customWidth="1"/>
    <col min="35" max="35" width="3.26953125" style="36" customWidth="1"/>
    <col min="36" max="36" width="2.26953125" style="36" customWidth="1"/>
    <col min="37" max="37" width="40.7265625" customWidth="1"/>
    <col min="38" max="38" width="15.453125" customWidth="1"/>
  </cols>
  <sheetData>
    <row r="1" spans="1:13" ht="29.25" customHeight="1">
      <c r="A1" s="3"/>
      <c r="B1" s="3"/>
      <c r="C1" s="3"/>
      <c r="D1" s="3"/>
      <c r="E1" s="3"/>
      <c r="F1" s="3"/>
      <c r="G1" s="3"/>
      <c r="H1" s="3"/>
      <c r="I1" s="3"/>
      <c r="J1" s="3"/>
      <c r="K1" s="3"/>
      <c r="L1" s="3"/>
      <c r="M1" s="3"/>
    </row>
    <row r="2" spans="1:13" ht="15.75" customHeight="1">
      <c r="A2" s="3"/>
      <c r="B2" s="657" t="s">
        <v>375</v>
      </c>
      <c r="C2" s="657"/>
      <c r="D2" s="657"/>
      <c r="E2" s="657"/>
      <c r="F2" s="657"/>
      <c r="G2" s="657"/>
      <c r="H2" s="657"/>
      <c r="I2" s="657"/>
      <c r="J2" s="657"/>
      <c r="K2" s="291"/>
      <c r="L2" s="291"/>
      <c r="M2" s="291"/>
    </row>
    <row r="3" spans="1:13" ht="4.5" customHeight="1">
      <c r="A3" s="3"/>
      <c r="B3" s="3"/>
      <c r="C3" s="3"/>
      <c r="D3" s="3"/>
      <c r="E3" s="3"/>
      <c r="F3" s="3"/>
      <c r="G3" s="3"/>
      <c r="H3" s="3"/>
      <c r="I3" s="3"/>
      <c r="J3" s="3"/>
      <c r="K3" s="3"/>
      <c r="L3" s="3"/>
      <c r="M3" s="3"/>
    </row>
    <row r="4" spans="1:13">
      <c r="A4" s="3"/>
      <c r="B4" s="289" t="s">
        <v>26</v>
      </c>
      <c r="C4" s="666" t="s">
        <v>177</v>
      </c>
      <c r="D4" s="667"/>
      <c r="E4" s="670" t="s">
        <v>12</v>
      </c>
      <c r="F4" s="670"/>
      <c r="G4" s="671"/>
      <c r="H4" s="672"/>
      <c r="I4" s="672"/>
      <c r="J4" s="673"/>
      <c r="K4" s="3"/>
      <c r="L4" s="3"/>
      <c r="M4" s="3"/>
    </row>
    <row r="5" spans="1:13" ht="3" customHeight="1">
      <c r="A5" s="3"/>
      <c r="B5" s="289"/>
      <c r="C5" s="3"/>
      <c r="D5" s="3"/>
      <c r="E5" s="292"/>
      <c r="F5" s="292"/>
      <c r="G5" s="3"/>
      <c r="H5" s="3"/>
      <c r="I5" s="3"/>
      <c r="J5" s="3"/>
      <c r="K5" s="3"/>
      <c r="L5" s="3"/>
      <c r="M5" s="3"/>
    </row>
    <row r="6" spans="1:13">
      <c r="A6" s="3"/>
      <c r="B6" s="289" t="s">
        <v>117</v>
      </c>
      <c r="C6" s="666" t="s">
        <v>440</v>
      </c>
      <c r="D6" s="667"/>
      <c r="E6" s="670" t="s">
        <v>27</v>
      </c>
      <c r="F6" s="670"/>
      <c r="G6" s="322" t="s">
        <v>35</v>
      </c>
      <c r="H6" s="289" t="s">
        <v>322</v>
      </c>
      <c r="I6" s="674">
        <v>11182992</v>
      </c>
      <c r="J6" s="675"/>
      <c r="K6" s="3"/>
      <c r="L6" s="3"/>
      <c r="M6" s="3"/>
    </row>
    <row r="7" spans="1:13" ht="3" customHeight="1">
      <c r="A7" s="3"/>
      <c r="B7" s="289"/>
      <c r="C7" s="3"/>
      <c r="D7" s="3"/>
      <c r="E7" s="292"/>
      <c r="F7" s="292"/>
      <c r="G7" s="3"/>
      <c r="H7" s="289"/>
      <c r="I7" s="3"/>
      <c r="J7" s="3"/>
      <c r="K7" s="3"/>
      <c r="L7" s="3"/>
      <c r="M7" s="3"/>
    </row>
    <row r="8" spans="1:13">
      <c r="A8" s="3"/>
      <c r="B8" s="289" t="s">
        <v>269</v>
      </c>
      <c r="C8" s="666" t="s">
        <v>439</v>
      </c>
      <c r="D8" s="667"/>
      <c r="E8" s="293"/>
      <c r="F8" s="288" t="s">
        <v>324</v>
      </c>
      <c r="G8" s="411" t="s">
        <v>370</v>
      </c>
      <c r="H8" s="288" t="s">
        <v>323</v>
      </c>
      <c r="I8" s="666" t="s">
        <v>16</v>
      </c>
      <c r="J8" s="667"/>
      <c r="K8" s="3"/>
      <c r="L8" s="3"/>
      <c r="M8" s="3"/>
    </row>
    <row r="9" spans="1:13" ht="3" customHeight="1">
      <c r="A9" s="3"/>
      <c r="B9" s="292"/>
      <c r="C9" s="3"/>
      <c r="D9" s="3"/>
      <c r="E9" s="292"/>
      <c r="F9" s="292"/>
      <c r="G9" s="3"/>
      <c r="H9" s="3"/>
      <c r="I9" s="3"/>
      <c r="J9" s="3"/>
      <c r="K9" s="3"/>
      <c r="L9" s="3"/>
      <c r="M9" s="3"/>
    </row>
    <row r="10" spans="1:13">
      <c r="A10" s="3"/>
      <c r="B10" s="289" t="s">
        <v>405</v>
      </c>
      <c r="C10" s="668">
        <v>41730</v>
      </c>
      <c r="D10" s="669"/>
      <c r="E10" s="665" t="s">
        <v>31</v>
      </c>
      <c r="F10" s="664"/>
      <c r="G10" s="666" t="s">
        <v>263</v>
      </c>
      <c r="H10" s="677"/>
      <c r="I10" s="677"/>
      <c r="J10" s="667"/>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5" t="s">
        <v>45</v>
      </c>
      <c r="D12" s="645"/>
      <c r="E12" s="665" t="s">
        <v>290</v>
      </c>
      <c r="F12" s="670"/>
      <c r="G12" s="676" t="s">
        <v>438</v>
      </c>
      <c r="H12" s="676"/>
      <c r="I12" s="676"/>
      <c r="J12" s="676"/>
      <c r="K12" s="3"/>
      <c r="L12" s="3"/>
      <c r="M12" s="3"/>
    </row>
    <row r="13" spans="1:13" ht="5.25" customHeight="1">
      <c r="A13" s="3"/>
      <c r="B13" s="3"/>
      <c r="C13" s="3"/>
      <c r="D13" s="3"/>
      <c r="E13" s="3"/>
      <c r="F13" s="3"/>
      <c r="G13" s="3"/>
      <c r="H13" s="3"/>
      <c r="I13" s="3"/>
      <c r="J13" s="3"/>
      <c r="K13" s="3"/>
      <c r="L13" s="3"/>
      <c r="M13" s="3"/>
    </row>
    <row r="14" spans="1:13" ht="15.75" customHeight="1">
      <c r="A14" s="3"/>
      <c r="B14" s="657" t="s">
        <v>2</v>
      </c>
      <c r="C14" s="657"/>
      <c r="D14" s="657"/>
      <c r="E14" s="657"/>
      <c r="F14" s="657"/>
      <c r="G14" s="657"/>
      <c r="H14" s="657"/>
      <c r="I14" s="657"/>
      <c r="J14" s="657"/>
      <c r="K14" s="3"/>
      <c r="L14" s="3"/>
      <c r="M14" s="3"/>
    </row>
    <row r="15" spans="1:13" ht="3" customHeight="1">
      <c r="A15" s="3"/>
      <c r="B15" s="3"/>
      <c r="C15" s="3"/>
      <c r="D15" s="3"/>
      <c r="E15" s="3"/>
      <c r="F15" s="3"/>
      <c r="G15" s="3"/>
      <c r="H15" s="3"/>
      <c r="I15" s="3"/>
      <c r="J15" s="3"/>
      <c r="K15" s="3"/>
      <c r="L15" s="3"/>
      <c r="M15" s="3"/>
    </row>
    <row r="16" spans="1:13">
      <c r="A16" s="3"/>
      <c r="B16" s="289" t="s">
        <v>21</v>
      </c>
      <c r="C16" s="411" t="s">
        <v>124</v>
      </c>
      <c r="D16" s="288" t="s">
        <v>325</v>
      </c>
      <c r="E16" s="294">
        <v>42370</v>
      </c>
      <c r="F16" s="290" t="s">
        <v>8</v>
      </c>
      <c r="G16" s="294">
        <v>42460</v>
      </c>
      <c r="H16" s="665" t="s">
        <v>326</v>
      </c>
      <c r="I16" s="664"/>
      <c r="J16" s="294">
        <v>42508</v>
      </c>
      <c r="K16" s="3"/>
      <c r="L16" s="3"/>
      <c r="M16" s="3"/>
    </row>
    <row r="17" spans="1:35" ht="3" customHeight="1">
      <c r="A17" s="3"/>
      <c r="B17" s="3"/>
      <c r="C17" s="3"/>
      <c r="D17" s="3"/>
      <c r="E17" s="3"/>
      <c r="F17" s="3"/>
      <c r="G17" s="3"/>
      <c r="H17" s="3"/>
      <c r="I17" s="3"/>
      <c r="J17" s="3"/>
      <c r="K17" s="3"/>
      <c r="L17" s="3"/>
      <c r="M17" s="3"/>
    </row>
    <row r="18" spans="1:35">
      <c r="A18" s="3"/>
      <c r="B18" s="663" t="s">
        <v>32</v>
      </c>
      <c r="C18" s="664"/>
      <c r="D18" s="646" t="s">
        <v>441</v>
      </c>
      <c r="E18" s="646"/>
      <c r="F18" s="646"/>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7" t="s">
        <v>363</v>
      </c>
      <c r="C21" s="657"/>
      <c r="D21" s="657"/>
      <c r="E21" s="657"/>
      <c r="F21" s="657"/>
      <c r="G21" s="657"/>
      <c r="H21" s="657"/>
      <c r="I21" s="657"/>
      <c r="J21" s="657"/>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 thickBot="1">
      <c r="A24" s="3"/>
      <c r="B24" s="289" t="s">
        <v>400</v>
      </c>
      <c r="C24" s="397"/>
      <c r="D24" s="670" t="s">
        <v>401</v>
      </c>
      <c r="E24" s="670"/>
      <c r="F24" s="398"/>
      <c r="G24" s="670" t="s">
        <v>402</v>
      </c>
      <c r="H24" s="670"/>
      <c r="I24" s="678"/>
      <c r="J24" s="679"/>
      <c r="K24" s="3"/>
      <c r="L24" s="3"/>
      <c r="M24" s="3"/>
      <c r="N24" s="20"/>
    </row>
    <row r="25" spans="1:35" ht="19" thickBot="1">
      <c r="A25" s="3"/>
      <c r="B25" s="87" t="s">
        <v>400</v>
      </c>
      <c r="C25" s="88"/>
      <c r="D25" s="88"/>
      <c r="E25" s="88"/>
      <c r="F25" s="88"/>
      <c r="G25" s="88"/>
      <c r="H25" s="275"/>
      <c r="I25" s="89"/>
      <c r="J25" s="89"/>
      <c r="K25" s="275" t="s">
        <v>327</v>
      </c>
      <c r="L25" s="88"/>
      <c r="M25" s="88"/>
      <c r="N25" s="419"/>
      <c r="O25" s="40"/>
      <c r="AI25" s="44"/>
    </row>
    <row r="26" spans="1:35">
      <c r="A26" s="3"/>
      <c r="B26" s="651" t="s">
        <v>371</v>
      </c>
      <c r="C26" s="652"/>
      <c r="D26" s="433" t="s">
        <v>14</v>
      </c>
      <c r="E26" s="91"/>
      <c r="F26" s="91"/>
      <c r="G26" s="91"/>
      <c r="H26" s="91"/>
      <c r="I26" s="91"/>
      <c r="J26" s="92"/>
      <c r="K26" s="91"/>
      <c r="L26" s="91"/>
      <c r="M26" s="91"/>
      <c r="N26" s="40"/>
      <c r="O26" s="40"/>
      <c r="AI26" s="44"/>
    </row>
    <row r="27" spans="1:35" ht="18.5">
      <c r="A27" s="3"/>
      <c r="B27" s="90" t="s">
        <v>381</v>
      </c>
      <c r="C27" s="91"/>
      <c r="D27" s="91"/>
      <c r="E27" s="91"/>
      <c r="F27" s="91"/>
      <c r="G27" s="91"/>
      <c r="H27" s="91"/>
      <c r="I27" s="91"/>
      <c r="J27" s="92"/>
      <c r="K27" s="91"/>
      <c r="L27" s="91"/>
      <c r="M27" s="91"/>
      <c r="N27" s="40"/>
      <c r="O27" s="40"/>
      <c r="AI27" s="44"/>
    </row>
    <row r="28" spans="1:35" ht="15" thickBot="1">
      <c r="A28" s="3"/>
      <c r="B28" s="3"/>
      <c r="C28" s="3"/>
      <c r="D28" s="3"/>
      <c r="E28" s="3"/>
      <c r="F28" s="3"/>
      <c r="G28" s="3"/>
      <c r="H28" s="3"/>
      <c r="I28" s="3"/>
      <c r="J28" s="3"/>
      <c r="K28" s="3"/>
      <c r="L28" s="3"/>
      <c r="M28" s="3"/>
    </row>
    <row r="29" spans="1:35" ht="15" thickBot="1">
      <c r="A29" s="3"/>
      <c r="B29" s="681" t="s">
        <v>60</v>
      </c>
      <c r="C29" s="682"/>
      <c r="D29" s="682"/>
      <c r="E29" s="682"/>
      <c r="F29" s="682"/>
      <c r="G29" s="682"/>
      <c r="H29" s="682"/>
      <c r="I29" s="682"/>
      <c r="J29" s="682"/>
      <c r="K29" s="682"/>
      <c r="L29" s="682"/>
      <c r="M29" s="682"/>
      <c r="N29" s="683"/>
      <c r="P29" s="211"/>
      <c r="Q29" s="212"/>
      <c r="R29" s="213">
        <f>+C33</f>
        <v>921623.07000000007</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1347642.61</v>
      </c>
      <c r="S30" s="211"/>
    </row>
    <row r="31" spans="1:35">
      <c r="A31" s="3"/>
      <c r="B31" s="285" t="str">
        <f>CONCATENATE("Budget (in ",'Data Entry'!$D$26,")")</f>
        <v>Budget (in €)</v>
      </c>
      <c r="C31" s="390">
        <f>ROUNDUP(921623.064533753,2)</f>
        <v>921623.07000000007</v>
      </c>
      <c r="D31" s="389">
        <f>ROUNDUP(426019.539042753,2)</f>
        <v>426019.54000000004</v>
      </c>
      <c r="E31" s="389">
        <f>ROUNDUP(2922402.58530628,2)</f>
        <v>2922402.59</v>
      </c>
      <c r="F31" s="389">
        <f>ROUNDUP(519656.946297292,2)</f>
        <v>519656.95</v>
      </c>
      <c r="G31" s="389">
        <f>ROUNDUP(3484339.67872618,2)</f>
        <v>3484339.6799999997</v>
      </c>
      <c r="H31" s="389">
        <v>274655</v>
      </c>
      <c r="I31" s="389">
        <v>309910</v>
      </c>
      <c r="J31" s="389">
        <v>431499</v>
      </c>
      <c r="K31" s="389">
        <v>1892886</v>
      </c>
      <c r="L31" s="389"/>
      <c r="M31" s="389"/>
      <c r="N31" s="389"/>
      <c r="O31" s="601">
        <f>+SUM(C35:N35)</f>
        <v>0.77664992972421298</v>
      </c>
      <c r="P31" s="211"/>
      <c r="Q31" s="212"/>
      <c r="R31" s="213">
        <f>+E33</f>
        <v>4270045.2</v>
      </c>
      <c r="S31" s="211"/>
    </row>
    <row r="32" spans="1:35">
      <c r="A32" s="3"/>
      <c r="B32" s="93" t="str">
        <f>CONCATENATE("Disbursements by GF (in ", $D$26,")")</f>
        <v>Disbursements by GF (in €)</v>
      </c>
      <c r="C32" s="390">
        <v>691821</v>
      </c>
      <c r="D32" s="390">
        <f>664842+36529</f>
        <v>701371</v>
      </c>
      <c r="E32" s="390">
        <f>2391463</f>
        <v>2391463</v>
      </c>
      <c r="F32" s="390">
        <v>0</v>
      </c>
      <c r="G32" s="390">
        <v>43994.7</v>
      </c>
      <c r="H32" s="390">
        <v>0</v>
      </c>
      <c r="I32" s="390">
        <f>1319553.6+49343.84</f>
        <v>1368897.4400000002</v>
      </c>
      <c r="J32" s="389">
        <f>140600.42+45685+1831327.48</f>
        <v>2017612.9</v>
      </c>
      <c r="K32" s="389"/>
      <c r="L32" s="389"/>
      <c r="M32" s="389"/>
      <c r="N32" s="389"/>
      <c r="O32" s="602"/>
      <c r="P32" s="211"/>
      <c r="Q32" s="212"/>
      <c r="R32" s="213">
        <f>+F33</f>
        <v>4789702.1500000004</v>
      </c>
      <c r="S32" s="211"/>
    </row>
    <row r="33" spans="1:35">
      <c r="A33" s="3"/>
      <c r="B33" s="94" t="s">
        <v>387</v>
      </c>
      <c r="C33" s="391">
        <f>+C31</f>
        <v>921623.07000000007</v>
      </c>
      <c r="D33" s="391">
        <f>IF(AND(D31=0,D32=0),0,+C33+D31)</f>
        <v>1347642.61</v>
      </c>
      <c r="E33" s="391">
        <f t="shared" ref="E33:N33" si="0">IF(AND(E31=0,E32=0),0,+D33+E31)</f>
        <v>4270045.2</v>
      </c>
      <c r="F33" s="391">
        <f t="shared" si="0"/>
        <v>4789702.1500000004</v>
      </c>
      <c r="G33" s="391">
        <f>IF(AND(G31=0,G32=0),0,+F33+G31)</f>
        <v>8274041.8300000001</v>
      </c>
      <c r="H33" s="391">
        <f t="shared" si="0"/>
        <v>8548696.8300000001</v>
      </c>
      <c r="I33" s="391">
        <f t="shared" si="0"/>
        <v>8858606.8300000001</v>
      </c>
      <c r="J33" s="391">
        <f>IF(AND(J31=0,J32=0),0,+I33+J31)</f>
        <v>9290105.8300000001</v>
      </c>
      <c r="K33" s="391">
        <f t="shared" si="0"/>
        <v>11182991.83</v>
      </c>
      <c r="L33" s="391">
        <f t="shared" si="0"/>
        <v>0</v>
      </c>
      <c r="M33" s="391">
        <f t="shared" si="0"/>
        <v>0</v>
      </c>
      <c r="N33" s="391">
        <f t="shared" si="0"/>
        <v>0</v>
      </c>
      <c r="O33" s="602"/>
      <c r="P33" s="373"/>
      <c r="Q33" s="212"/>
      <c r="R33" s="213">
        <f>+G33</f>
        <v>8274041.8300000001</v>
      </c>
      <c r="S33" s="211"/>
    </row>
    <row r="34" spans="1:35" ht="15" thickBot="1">
      <c r="A34" s="3"/>
      <c r="B34" s="95" t="s">
        <v>388</v>
      </c>
      <c r="C34" s="392">
        <f>+C32</f>
        <v>691821</v>
      </c>
      <c r="D34" s="392">
        <f>IF(AND(D31=0,D32=0),0,+C34+D32)</f>
        <v>1393192</v>
      </c>
      <c r="E34" s="392">
        <f t="shared" ref="E34:N34" si="1">IF(AND(E31=0,E32=0),0,+D34+E32)</f>
        <v>3784655</v>
      </c>
      <c r="F34" s="392">
        <f t="shared" si="1"/>
        <v>3784655</v>
      </c>
      <c r="G34" s="392">
        <f>IF(AND(G31=0,G32=0),0,+F34+G32)</f>
        <v>3828649.7</v>
      </c>
      <c r="H34" s="392">
        <f t="shared" si="1"/>
        <v>3828649.7</v>
      </c>
      <c r="I34" s="392">
        <f t="shared" si="1"/>
        <v>5197547.1400000006</v>
      </c>
      <c r="J34" s="392">
        <f t="shared" si="1"/>
        <v>7215160.040000001</v>
      </c>
      <c r="K34" s="392">
        <f t="shared" si="1"/>
        <v>7215160.040000001</v>
      </c>
      <c r="L34" s="392">
        <f t="shared" si="1"/>
        <v>0</v>
      </c>
      <c r="M34" s="392">
        <f t="shared" si="1"/>
        <v>0</v>
      </c>
      <c r="N34" s="392">
        <f t="shared" si="1"/>
        <v>0</v>
      </c>
      <c r="O34" s="603"/>
      <c r="P34" s="373"/>
      <c r="Q34" s="212"/>
      <c r="R34" s="213">
        <f>+H33</f>
        <v>8548696.8300000001</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v>
      </c>
      <c r="I35" s="350">
        <f t="shared" si="2"/>
        <v>0</v>
      </c>
      <c r="J35" s="350">
        <f t="shared" si="2"/>
        <v>0.77664992972421298</v>
      </c>
      <c r="K35" s="350">
        <f t="shared" si="2"/>
        <v>0</v>
      </c>
      <c r="L35" s="350">
        <f t="shared" si="2"/>
        <v>0</v>
      </c>
      <c r="M35" s="350">
        <f t="shared" si="2"/>
        <v>0</v>
      </c>
      <c r="N35" s="350">
        <f t="shared" si="2"/>
        <v>0</v>
      </c>
      <c r="O35" s="297"/>
      <c r="P35" s="214"/>
      <c r="Q35" s="215"/>
      <c r="R35" s="213">
        <f>+I33</f>
        <v>8858606.8300000001</v>
      </c>
      <c r="S35" s="211"/>
    </row>
    <row r="36" spans="1:35" ht="18.5">
      <c r="A36" s="3"/>
      <c r="B36" s="90" t="s">
        <v>380</v>
      </c>
      <c r="C36" s="3"/>
      <c r="D36" s="3"/>
      <c r="E36" s="364"/>
      <c r="F36" s="3"/>
      <c r="G36" s="266"/>
      <c r="H36" s="3"/>
      <c r="I36" s="3"/>
      <c r="J36" s="3"/>
      <c r="K36" s="3"/>
      <c r="L36" s="3"/>
      <c r="M36" s="3"/>
      <c r="N36" s="41"/>
      <c r="O36" s="41"/>
      <c r="AI36" s="20"/>
    </row>
    <row r="37" spans="1:35" ht="1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7" t="s">
        <v>442</v>
      </c>
      <c r="G38" s="3"/>
      <c r="H38" s="3"/>
      <c r="I38" s="3"/>
      <c r="J38" s="101"/>
      <c r="K38" s="42"/>
      <c r="N38"/>
      <c r="O38"/>
      <c r="AE38" s="20"/>
      <c r="AF38" s="36"/>
    </row>
    <row r="39" spans="1:35" ht="27.75" customHeight="1">
      <c r="A39" s="3"/>
      <c r="B39" s="404" t="s">
        <v>433</v>
      </c>
      <c r="C39" s="400">
        <f>ROUNDUP(310314.009110482+51611.9347970178+62398.9539840491+51611.9347970178,2)</f>
        <v>475936.84</v>
      </c>
      <c r="D39" s="405">
        <f>135006+53205+49335+47529+49499+41093</f>
        <v>375667</v>
      </c>
      <c r="E39" s="298"/>
      <c r="F39" s="375"/>
      <c r="G39" s="376"/>
      <c r="H39" s="3"/>
      <c r="I39" s="3"/>
      <c r="J39" s="102"/>
      <c r="K39" s="43"/>
      <c r="N39"/>
      <c r="O39"/>
      <c r="AE39" s="20"/>
      <c r="AF39" s="36"/>
    </row>
    <row r="40" spans="1:35" ht="14.25" customHeight="1">
      <c r="A40" s="3"/>
      <c r="B40" s="404" t="s">
        <v>434</v>
      </c>
      <c r="C40" s="400">
        <f>ROUNDUP(1220001.07148111+5288.99442454069+16988.9944245407+129062.305402663,2)</f>
        <v>1371341.37</v>
      </c>
      <c r="D40" s="405">
        <f>780378.759788156+20533</f>
        <v>800911.75978815602</v>
      </c>
      <c r="E40" s="15"/>
      <c r="F40" s="375"/>
      <c r="G40" s="376"/>
      <c r="H40" s="3"/>
      <c r="I40" s="3"/>
      <c r="J40" s="3"/>
      <c r="K40" s="43"/>
      <c r="N40"/>
      <c r="O40"/>
      <c r="AE40" s="20"/>
      <c r="AF40" s="36"/>
    </row>
    <row r="41" spans="1:35" ht="18" customHeight="1">
      <c r="A41" s="3"/>
      <c r="B41" s="406" t="s">
        <v>435</v>
      </c>
      <c r="C41" s="400">
        <f>ROUNDUP(5123348.78576098+0+39187.5716,2)</f>
        <v>5162536.3599999994</v>
      </c>
      <c r="D41" s="405">
        <f>2660920.92489551+199757</f>
        <v>2860677.9248955101</v>
      </c>
      <c r="E41" s="15"/>
      <c r="F41" s="377"/>
      <c r="G41" s="3"/>
      <c r="H41" s="3"/>
      <c r="I41" s="3"/>
      <c r="J41" s="3"/>
      <c r="K41" s="43"/>
      <c r="N41"/>
      <c r="O41"/>
      <c r="AE41" s="20"/>
      <c r="AF41" s="36"/>
    </row>
    <row r="42" spans="1:35" ht="27" customHeight="1">
      <c r="A42" s="3"/>
      <c r="B42" s="404" t="s">
        <v>436</v>
      </c>
      <c r="C42" s="400">
        <f>ROUNDUP(1209054.32968344+183675.867686688+183675.867686688+182958.466436688,2)</f>
        <v>1759364.54</v>
      </c>
      <c r="D42" s="405">
        <f>223219+127917+109088+74785+121825+13981+78424</f>
        <v>749239</v>
      </c>
      <c r="E42" s="15"/>
      <c r="F42" s="374"/>
      <c r="G42" s="3"/>
      <c r="H42" s="3"/>
      <c r="I42" s="3"/>
      <c r="J42" s="3"/>
      <c r="K42" s="20"/>
      <c r="N42"/>
      <c r="O42"/>
      <c r="AE42" s="20"/>
      <c r="AF42" s="36"/>
    </row>
    <row r="43" spans="1:35">
      <c r="A43" s="3"/>
      <c r="B43" s="406" t="s">
        <v>437</v>
      </c>
      <c r="C43" s="400">
        <f>ROUNDUP(411323.617870244+34077.9743927428+46846.4807718134+28679.0543943024,2)</f>
        <v>520927.13</v>
      </c>
      <c r="D43" s="405">
        <f>297788.531290503+83800-17679</f>
        <v>363909.53129050299</v>
      </c>
      <c r="E43" s="15"/>
      <c r="F43" s="299"/>
      <c r="G43" s="3"/>
      <c r="H43" s="3"/>
      <c r="I43" s="3"/>
      <c r="J43" s="3"/>
      <c r="K43" s="20"/>
      <c r="N43"/>
      <c r="O43"/>
      <c r="AE43" s="20"/>
      <c r="AF43" s="36"/>
    </row>
    <row r="44" spans="1:35">
      <c r="A44" s="3"/>
      <c r="B44" s="406"/>
      <c r="C44" s="400"/>
      <c r="D44" s="405"/>
      <c r="E44" s="15"/>
      <c r="F44" s="427"/>
      <c r="G44" s="3"/>
      <c r="H44" s="3"/>
      <c r="I44" s="3"/>
      <c r="J44" s="3"/>
      <c r="K44" s="20"/>
      <c r="N44"/>
      <c r="O44"/>
      <c r="AE44" s="20"/>
      <c r="AF44" s="36"/>
    </row>
    <row r="45" spans="1:35">
      <c r="A45" s="3"/>
      <c r="B45" s="406"/>
      <c r="C45" s="400"/>
      <c r="D45" s="405"/>
      <c r="E45" s="15"/>
      <c r="F45" s="299"/>
      <c r="G45" s="15"/>
      <c r="H45" s="15"/>
      <c r="I45" s="15"/>
      <c r="J45" s="15"/>
      <c r="K45" s="20"/>
      <c r="N45"/>
      <c r="O45"/>
      <c r="AE45" s="36"/>
      <c r="AF45" s="36"/>
    </row>
    <row r="46" spans="1:35" ht="15" thickBot="1">
      <c r="A46" s="3"/>
      <c r="B46" s="407"/>
      <c r="C46" s="399"/>
      <c r="D46" s="405"/>
      <c r="E46" s="15"/>
      <c r="F46" s="15"/>
      <c r="G46" s="15"/>
      <c r="H46" s="15"/>
      <c r="I46" s="15"/>
      <c r="J46" s="15"/>
      <c r="K46" s="20"/>
      <c r="N46"/>
      <c r="O46"/>
      <c r="AE46" s="36"/>
      <c r="AF46" s="36"/>
    </row>
    <row r="47" spans="1:35" ht="15" thickBot="1">
      <c r="A47" s="3"/>
      <c r="B47" s="408" t="s">
        <v>59</v>
      </c>
      <c r="C47" s="409">
        <f>ROUNDUP(SUM(C39:C43),2)</f>
        <v>9290106.2400000002</v>
      </c>
      <c r="D47" s="410">
        <f>SUM(D39:D43)</f>
        <v>5150405.2159741689</v>
      </c>
      <c r="E47" s="297"/>
      <c r="F47" s="609" t="str">
        <f ca="1">+IF((ROUND(C47,0)=ROUND(OFFSET(B33,0,RIGHT('Data Entry'!$C$16,LEN('Data Entry'!$C$16)-1),1,1),0)),"OK: Data match","Warning: Data does not match")</f>
        <v>OK: Data match</v>
      </c>
      <c r="G47" s="610"/>
      <c r="H47" s="610"/>
      <c r="I47" s="611"/>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5">
      <c r="A49" s="3"/>
      <c r="B49" s="90" t="s">
        <v>379</v>
      </c>
      <c r="C49" s="3"/>
      <c r="D49" s="3"/>
      <c r="E49" s="3"/>
      <c r="F49" s="3"/>
      <c r="G49" s="3"/>
      <c r="H49" s="3"/>
      <c r="I49" s="3"/>
      <c r="J49" s="3"/>
      <c r="K49" s="3"/>
      <c r="L49" s="3"/>
      <c r="M49" s="3"/>
      <c r="P49" s="211"/>
      <c r="Q49" s="212"/>
      <c r="R49" s="213">
        <f>+J33</f>
        <v>9290105.8300000001</v>
      </c>
      <c r="S49" s="211"/>
    </row>
    <row r="50" spans="1:35" ht="15" thickBot="1">
      <c r="A50" s="3"/>
      <c r="B50" s="3"/>
      <c r="C50" s="3"/>
      <c r="D50" s="3"/>
      <c r="E50" s="3"/>
      <c r="F50" s="3"/>
      <c r="G50" s="3"/>
      <c r="H50" s="3"/>
      <c r="I50" s="3"/>
      <c r="J50" s="3"/>
      <c r="K50" s="3"/>
      <c r="L50" s="3"/>
      <c r="M50" s="3"/>
      <c r="P50" s="211"/>
      <c r="Q50" s="212"/>
      <c r="R50" s="213">
        <f>+K33</f>
        <v>11182991.83</v>
      </c>
      <c r="S50" s="211"/>
    </row>
    <row r="51" spans="1:35" ht="35.25" customHeight="1">
      <c r="A51" s="3"/>
      <c r="B51" s="303"/>
      <c r="C51" s="304" t="s">
        <v>377</v>
      </c>
      <c r="D51" s="304" t="s">
        <v>378</v>
      </c>
      <c r="E51" s="425" t="str">
        <f>CONCATENATE("Total Spent and Disbursement (in ",D26,")")</f>
        <v>Total Spent and Disbursement (in €)</v>
      </c>
      <c r="F51" s="3"/>
      <c r="G51" s="488"/>
      <c r="H51" s="300"/>
      <c r="I51" s="286"/>
      <c r="J51" s="286"/>
      <c r="K51" s="286"/>
      <c r="L51" s="286"/>
      <c r="M51" s="22"/>
      <c r="N51" s="22"/>
      <c r="O51" s="211"/>
      <c r="P51" s="212"/>
      <c r="Q51" s="213">
        <f>+M33</f>
        <v>0</v>
      </c>
      <c r="R51" s="211"/>
      <c r="AH51" s="20"/>
    </row>
    <row r="52" spans="1:35">
      <c r="A52" s="3"/>
      <c r="B52" s="301" t="s">
        <v>312</v>
      </c>
      <c r="C52" s="400">
        <f>3784655+43995+I32</f>
        <v>5197547.4400000004</v>
      </c>
      <c r="D52" s="405">
        <f>J32</f>
        <v>2017612.9</v>
      </c>
      <c r="E52" s="393">
        <f>+D52+C52</f>
        <v>7215160.3399999999</v>
      </c>
      <c r="F52" s="3"/>
      <c r="G52" s="97"/>
      <c r="H52" s="489"/>
      <c r="I52" s="96"/>
      <c r="J52" s="208"/>
      <c r="K52" s="209"/>
      <c r="L52" s="98"/>
      <c r="M52" s="37"/>
      <c r="N52" s="37"/>
      <c r="O52" s="211"/>
      <c r="P52" s="211"/>
      <c r="Q52" s="211"/>
      <c r="R52" s="211"/>
      <c r="AH52" s="20"/>
    </row>
    <row r="53" spans="1:35">
      <c r="A53" s="3"/>
      <c r="B53" s="301" t="s">
        <v>291</v>
      </c>
      <c r="C53" s="400">
        <f>4744477.21597417-17679</f>
        <v>4726798.2159741698</v>
      </c>
      <c r="D53" s="405">
        <v>423607.10999648646</v>
      </c>
      <c r="E53" s="393">
        <f>+D53+C53</f>
        <v>5150405.3259706562</v>
      </c>
      <c r="F53" s="3"/>
      <c r="G53" s="260"/>
      <c r="H53" s="305"/>
      <c r="I53" s="96"/>
      <c r="J53" s="208"/>
      <c r="K53" s="208"/>
      <c r="L53" s="98"/>
      <c r="M53" s="38"/>
      <c r="N53" s="38"/>
      <c r="O53" s="211"/>
      <c r="P53" s="211"/>
      <c r="Q53" s="211"/>
      <c r="R53" s="211"/>
      <c r="AH53" s="20"/>
    </row>
    <row r="54" spans="1:35">
      <c r="A54" s="3"/>
      <c r="B54" s="301" t="s">
        <v>270</v>
      </c>
      <c r="C54" s="400">
        <f>231697+105209.426111814+75523+79264+84981</f>
        <v>576674.42611181398</v>
      </c>
      <c r="D54" s="405">
        <v>79613.261109339917</v>
      </c>
      <c r="E54" s="393">
        <f>+D54+C54</f>
        <v>656287.68722115387</v>
      </c>
      <c r="F54" s="3"/>
      <c r="G54" s="97"/>
      <c r="H54" s="305"/>
      <c r="I54" s="96"/>
      <c r="J54" s="208"/>
      <c r="K54" s="209"/>
      <c r="L54" s="98"/>
      <c r="M54" s="37"/>
      <c r="N54" s="37"/>
      <c r="O54"/>
      <c r="AH54" s="20"/>
    </row>
    <row r="55" spans="1:35" ht="15" thickBot="1">
      <c r="A55" s="3"/>
      <c r="B55" s="302" t="s">
        <v>271</v>
      </c>
      <c r="C55" s="400">
        <f>259978+76134.7765355131+80123+77995.33+83830</f>
        <v>578061.10653551319</v>
      </c>
      <c r="D55" s="405">
        <f>51972.25+74008/2.6795</f>
        <v>79592.328372830758</v>
      </c>
      <c r="E55" s="394">
        <f>+D55+C55</f>
        <v>657653.43490834394</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5">
      <c r="A58" s="3"/>
      <c r="B58" s="90" t="s">
        <v>382</v>
      </c>
      <c r="C58" s="3"/>
      <c r="D58" s="3"/>
      <c r="E58" s="3"/>
      <c r="F58" s="3"/>
      <c r="G58" s="3"/>
      <c r="H58" s="3"/>
      <c r="I58" s="3"/>
      <c r="J58" s="3"/>
      <c r="K58" s="3"/>
      <c r="L58" s="3"/>
      <c r="M58" s="3"/>
    </row>
    <row r="59" spans="1:35" ht="15" thickBot="1">
      <c r="A59" s="3"/>
      <c r="B59" s="3"/>
      <c r="C59" s="3"/>
      <c r="D59" s="3"/>
      <c r="E59" s="3"/>
      <c r="F59" s="3"/>
      <c r="G59" s="3"/>
      <c r="H59" s="3"/>
      <c r="I59" s="3"/>
      <c r="J59" s="3"/>
      <c r="K59" s="3"/>
      <c r="L59" s="3"/>
      <c r="M59" s="3"/>
    </row>
    <row r="60" spans="1:35">
      <c r="A60" s="3"/>
      <c r="B60" s="690" t="s">
        <v>347</v>
      </c>
      <c r="C60" s="691"/>
      <c r="D60" s="692"/>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75</v>
      </c>
      <c r="D62" s="405">
        <v>75</v>
      </c>
      <c r="E62" s="3"/>
      <c r="F62" s="3"/>
      <c r="G62" s="3"/>
      <c r="H62" s="3"/>
      <c r="I62" s="3"/>
      <c r="J62" s="3"/>
      <c r="K62" s="3"/>
      <c r="L62" s="3"/>
      <c r="M62" s="36"/>
      <c r="O62"/>
    </row>
    <row r="63" spans="1:35">
      <c r="A63" s="3"/>
      <c r="B63" s="307" t="s">
        <v>364</v>
      </c>
      <c r="C63" s="400">
        <v>45</v>
      </c>
      <c r="D63" s="490" t="s">
        <v>444</v>
      </c>
      <c r="E63" s="3"/>
      <c r="F63" s="3"/>
      <c r="G63" s="3"/>
      <c r="H63" s="305"/>
      <c r="I63" s="305"/>
      <c r="J63" s="3"/>
      <c r="K63" s="3"/>
      <c r="L63" s="3"/>
      <c r="M63" s="36"/>
      <c r="O63"/>
    </row>
    <row r="64" spans="1:35" ht="15" thickBot="1">
      <c r="A64" s="3"/>
      <c r="B64" s="105" t="s">
        <v>365</v>
      </c>
      <c r="C64" s="400">
        <v>5</v>
      </c>
      <c r="D64" s="405">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 thickBot="1">
      <c r="A66" s="3"/>
      <c r="B66" s="3"/>
      <c r="C66" s="3"/>
      <c r="D66" s="3"/>
      <c r="E66" s="3"/>
      <c r="F66" s="3"/>
      <c r="G66" s="3"/>
      <c r="H66" s="3"/>
      <c r="I66" s="3"/>
      <c r="J66" s="3"/>
      <c r="K66" s="3"/>
      <c r="L66" s="421"/>
      <c r="M66" s="3"/>
      <c r="AC66" s="19"/>
      <c r="AD66" s="19"/>
    </row>
    <row r="67" spans="1:30" ht="19" thickBot="1">
      <c r="A67" s="3"/>
      <c r="B67" s="106" t="s">
        <v>264</v>
      </c>
      <c r="C67" s="107"/>
      <c r="D67" s="107"/>
      <c r="E67" s="107"/>
      <c r="F67" s="107"/>
      <c r="G67" s="107"/>
      <c r="H67" s="333" t="s">
        <v>305</v>
      </c>
      <c r="I67" s="107"/>
      <c r="J67" s="108"/>
      <c r="K67" s="108"/>
      <c r="L67" s="422"/>
      <c r="M67" s="423"/>
      <c r="N67" s="84"/>
      <c r="O67" s="84"/>
      <c r="P67" s="84"/>
      <c r="S67" s="44"/>
      <c r="AC67" s="19"/>
      <c r="AD67" s="19"/>
    </row>
    <row r="68" spans="1:30" ht="18.5">
      <c r="A68" s="3"/>
      <c r="B68" s="110"/>
      <c r="C68" s="109"/>
      <c r="D68" s="109"/>
      <c r="E68" s="109"/>
      <c r="F68" s="109"/>
      <c r="G68" s="109"/>
      <c r="H68" s="109"/>
      <c r="I68" s="109"/>
      <c r="J68" s="109"/>
      <c r="K68" s="111"/>
      <c r="L68" s="111"/>
      <c r="M68" s="109"/>
      <c r="N68" s="84"/>
      <c r="O68" s="84"/>
      <c r="P68" s="84"/>
      <c r="S68" s="44"/>
      <c r="AC68" s="19"/>
      <c r="AD68" s="19"/>
    </row>
    <row r="69" spans="1:30" ht="18.5">
      <c r="A69" s="3"/>
      <c r="B69" s="110" t="s">
        <v>383</v>
      </c>
      <c r="C69" s="109"/>
      <c r="D69" s="109"/>
      <c r="E69" s="109"/>
      <c r="F69" s="109"/>
      <c r="G69" s="109"/>
      <c r="H69" s="109"/>
      <c r="I69" s="109"/>
      <c r="J69" s="109"/>
      <c r="K69" s="111"/>
      <c r="L69" s="111"/>
      <c r="M69" s="109"/>
      <c r="N69" s="84"/>
      <c r="O69" s="84"/>
      <c r="P69" s="84"/>
      <c r="S69" s="44"/>
      <c r="AC69" s="19"/>
      <c r="AD69" s="19"/>
    </row>
    <row r="70" spans="1:30" ht="15" thickBot="1">
      <c r="A70" s="3"/>
      <c r="B70" s="2"/>
      <c r="C70" s="112"/>
      <c r="D70" s="112"/>
      <c r="E70" s="112"/>
      <c r="F70" s="112"/>
      <c r="G70" s="112"/>
      <c r="H70" s="2"/>
      <c r="I70" s="112"/>
      <c r="J70" s="2"/>
      <c r="K70" s="2"/>
      <c r="L70" s="2"/>
      <c r="M70" s="2"/>
      <c r="N70" s="20"/>
      <c r="O70" s="19"/>
      <c r="P70" s="19"/>
      <c r="Q70" s="19"/>
      <c r="R70" s="19"/>
      <c r="S70" s="19"/>
      <c r="AD70" s="19"/>
    </row>
    <row r="71" spans="1:30" ht="29">
      <c r="A71" s="3"/>
      <c r="B71" s="649"/>
      <c r="C71" s="650"/>
      <c r="D71" s="114" t="s">
        <v>118</v>
      </c>
      <c r="E71" s="115" t="s">
        <v>297</v>
      </c>
      <c r="F71" s="115" t="s">
        <v>119</v>
      </c>
      <c r="G71" s="116" t="s">
        <v>59</v>
      </c>
      <c r="H71" s="317"/>
      <c r="I71" s="318"/>
      <c r="J71" s="15"/>
      <c r="K71" s="2"/>
      <c r="L71" s="2"/>
      <c r="M71" s="2"/>
      <c r="N71" s="20"/>
      <c r="O71" s="19"/>
      <c r="P71" s="19"/>
      <c r="Q71" s="19"/>
      <c r="R71" s="19"/>
      <c r="S71" s="19"/>
    </row>
    <row r="72" spans="1:30">
      <c r="A72" s="3"/>
      <c r="B72" s="658" t="s">
        <v>403</v>
      </c>
      <c r="C72" s="659"/>
      <c r="D72" s="263">
        <v>6</v>
      </c>
      <c r="E72" s="263">
        <v>0</v>
      </c>
      <c r="F72" s="263">
        <v>0</v>
      </c>
      <c r="G72" s="118">
        <v>6</v>
      </c>
      <c r="H72" s="299"/>
      <c r="I72" s="316"/>
      <c r="J72" s="316"/>
      <c r="K72" s="2"/>
      <c r="L72" s="2"/>
      <c r="M72" s="2"/>
      <c r="N72" s="20"/>
      <c r="O72" s="19"/>
      <c r="P72" s="19"/>
      <c r="Q72" s="19"/>
      <c r="R72" s="19"/>
      <c r="S72" s="19"/>
    </row>
    <row r="73" spans="1:30" ht="15" thickBot="1">
      <c r="A73" s="3"/>
      <c r="B73" s="694" t="s">
        <v>11</v>
      </c>
      <c r="C73" s="695"/>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5">
      <c r="A76" s="3"/>
      <c r="B76" s="110" t="s">
        <v>384</v>
      </c>
      <c r="C76" s="2"/>
      <c r="D76" s="2"/>
      <c r="E76" s="2"/>
      <c r="F76" s="2"/>
      <c r="G76" s="2"/>
      <c r="H76" s="2"/>
      <c r="I76" s="2"/>
      <c r="J76" s="2"/>
      <c r="K76" s="2"/>
      <c r="L76" s="2"/>
      <c r="M76" s="2"/>
      <c r="N76" s="19"/>
      <c r="O76" s="19"/>
      <c r="P76" s="19"/>
      <c r="S76" s="19"/>
    </row>
    <row r="77" spans="1:30" ht="1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5">
      <c r="A81" s="3"/>
      <c r="B81" s="110" t="s">
        <v>389</v>
      </c>
      <c r="C81" s="2"/>
      <c r="D81" s="2"/>
      <c r="E81" s="2"/>
      <c r="F81" s="2"/>
      <c r="G81" s="2"/>
      <c r="H81" s="2"/>
      <c r="I81" s="2"/>
      <c r="J81" s="2"/>
      <c r="K81" s="2"/>
      <c r="L81" s="2"/>
      <c r="M81" s="2"/>
      <c r="N81" s="19"/>
      <c r="O81" s="19"/>
      <c r="P81" s="19"/>
      <c r="S81" s="19"/>
    </row>
    <row r="82" spans="1:36" ht="15" thickBot="1">
      <c r="A82" s="3"/>
      <c r="B82" s="2"/>
      <c r="C82" s="2"/>
      <c r="D82" s="2"/>
      <c r="E82" s="2"/>
      <c r="F82" s="2"/>
      <c r="G82" s="2"/>
      <c r="H82" s="2"/>
      <c r="I82" s="2"/>
      <c r="J82" s="2"/>
      <c r="K82" s="2"/>
      <c r="L82" s="2"/>
      <c r="M82" s="2"/>
      <c r="N82" s="19"/>
      <c r="O82" s="19"/>
      <c r="P82" s="19"/>
      <c r="S82" s="19"/>
    </row>
    <row r="83" spans="1:36">
      <c r="A83" s="3"/>
      <c r="B83" s="121"/>
      <c r="C83" s="113" t="s">
        <v>292</v>
      </c>
      <c r="D83" s="113" t="s">
        <v>68</v>
      </c>
      <c r="E83" s="113" t="s">
        <v>83</v>
      </c>
      <c r="F83" s="113" t="s">
        <v>69</v>
      </c>
      <c r="G83" s="153" t="s">
        <v>120</v>
      </c>
      <c r="H83" s="280"/>
      <c r="I83" s="318"/>
      <c r="J83" s="2"/>
      <c r="K83" s="2"/>
      <c r="L83" s="2"/>
      <c r="M83" s="2"/>
      <c r="N83" s="19"/>
      <c r="O83" s="19"/>
      <c r="P83" s="19"/>
      <c r="S83" s="19"/>
    </row>
    <row r="84" spans="1:36" ht="1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5">
      <c r="A86" s="3"/>
      <c r="B86" s="110" t="s">
        <v>385</v>
      </c>
      <c r="C86" s="2"/>
      <c r="D86" s="2"/>
      <c r="E86" s="2"/>
      <c r="F86" s="2"/>
      <c r="G86" s="2"/>
      <c r="H86" s="2"/>
      <c r="I86" s="2"/>
      <c r="J86" s="2"/>
      <c r="K86" s="2"/>
      <c r="L86" s="2"/>
      <c r="M86" s="2"/>
      <c r="N86" s="19"/>
      <c r="O86" s="19"/>
      <c r="P86" s="19"/>
      <c r="S86" s="19"/>
    </row>
    <row r="87" spans="1:36" ht="1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 thickBot="1">
      <c r="A90" s="3"/>
      <c r="B90" s="119" t="s">
        <v>391</v>
      </c>
      <c r="C90" s="264">
        <v>3</v>
      </c>
      <c r="D90" s="321">
        <v>3</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5">
      <c r="A92" s="3"/>
      <c r="B92" s="110" t="s">
        <v>392</v>
      </c>
      <c r="C92" s="2"/>
      <c r="D92" s="2"/>
      <c r="E92" s="2"/>
      <c r="F92" s="2"/>
      <c r="G92" s="2"/>
      <c r="H92" s="2"/>
      <c r="I92" s="2"/>
      <c r="J92" s="2"/>
      <c r="K92" s="2"/>
      <c r="L92" s="2"/>
      <c r="M92" s="2"/>
      <c r="N92" s="19"/>
      <c r="O92" s="19"/>
      <c r="P92" s="19"/>
      <c r="S92" s="19"/>
    </row>
    <row r="93" spans="1:36" ht="1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412658</v>
      </c>
      <c r="D95" s="368">
        <v>0</v>
      </c>
      <c r="E95" s="368">
        <v>2179104</v>
      </c>
      <c r="F95" s="368">
        <v>174273</v>
      </c>
      <c r="G95" s="368">
        <v>2960715</v>
      </c>
      <c r="H95" s="368">
        <v>0</v>
      </c>
      <c r="I95" s="368">
        <v>11700</v>
      </c>
      <c r="J95" s="368">
        <v>116799</v>
      </c>
      <c r="K95" s="368">
        <v>1481720</v>
      </c>
      <c r="L95" s="368"/>
      <c r="M95" s="368"/>
      <c r="N95" s="476"/>
      <c r="O95" s="20"/>
      <c r="P95" s="20"/>
      <c r="S95" s="19"/>
    </row>
    <row r="96" spans="1:36" ht="15" customHeight="1">
      <c r="A96" s="3"/>
      <c r="B96" s="383" t="s">
        <v>366</v>
      </c>
      <c r="C96" s="368">
        <v>0</v>
      </c>
      <c r="D96" s="368">
        <v>0</v>
      </c>
      <c r="E96" s="368">
        <v>0</v>
      </c>
      <c r="F96" s="368">
        <f>(9997+6190+3348+2173+1760)/2.4139</f>
        <v>9722.0265959650369</v>
      </c>
      <c r="G96" s="368">
        <v>279785</v>
      </c>
      <c r="H96" s="368">
        <f>229825/2.597</f>
        <v>88496.34193299961</v>
      </c>
      <c r="I96" s="368">
        <v>139811</v>
      </c>
      <c r="J96" s="368">
        <f>169243/2.6795</f>
        <v>63162.157118865463</v>
      </c>
      <c r="K96" s="368"/>
      <c r="L96" s="368"/>
      <c r="M96" s="368"/>
      <c r="N96" s="476"/>
      <c r="O96" s="20"/>
      <c r="P96" s="20"/>
      <c r="S96" s="19"/>
    </row>
    <row r="97" spans="1:19" ht="15" customHeight="1">
      <c r="A97" s="3"/>
      <c r="B97" s="383" t="s">
        <v>314</v>
      </c>
      <c r="C97" s="368">
        <v>0</v>
      </c>
      <c r="D97" s="368">
        <v>0</v>
      </c>
      <c r="E97" s="368">
        <f>252919+2158932</f>
        <v>2411851</v>
      </c>
      <c r="F97" s="368">
        <v>11288</v>
      </c>
      <c r="G97" s="368">
        <v>40857</v>
      </c>
      <c r="H97" s="368">
        <v>386885</v>
      </c>
      <c r="I97" s="368">
        <f>169960+36910</f>
        <v>206870</v>
      </c>
      <c r="J97" s="368">
        <v>166497</v>
      </c>
      <c r="K97" s="368"/>
      <c r="L97" s="368"/>
      <c r="M97" s="368"/>
      <c r="N97" s="476"/>
      <c r="O97" s="20"/>
      <c r="P97" s="20"/>
      <c r="S97" s="19"/>
    </row>
    <row r="98" spans="1:19" ht="15" customHeight="1">
      <c r="A98" s="3"/>
      <c r="B98" s="323" t="s">
        <v>412</v>
      </c>
      <c r="C98" s="369">
        <f>+C95</f>
        <v>412658</v>
      </c>
      <c r="D98" s="369">
        <f t="shared" ref="D98:N98" si="3">+C98+D95</f>
        <v>412658</v>
      </c>
      <c r="E98" s="369">
        <f>+D98+E95</f>
        <v>2591762</v>
      </c>
      <c r="F98" s="369">
        <f t="shared" si="3"/>
        <v>2766035</v>
      </c>
      <c r="G98" s="369">
        <f t="shared" si="3"/>
        <v>5726750</v>
      </c>
      <c r="H98" s="369">
        <f t="shared" si="3"/>
        <v>5726750</v>
      </c>
      <c r="I98" s="369">
        <f t="shared" si="3"/>
        <v>5738450</v>
      </c>
      <c r="J98" s="369">
        <f t="shared" si="3"/>
        <v>5855249</v>
      </c>
      <c r="K98" s="369">
        <f t="shared" si="3"/>
        <v>7336969</v>
      </c>
      <c r="L98" s="369">
        <f t="shared" si="3"/>
        <v>7336969</v>
      </c>
      <c r="M98" s="369">
        <f t="shared" si="3"/>
        <v>7336969</v>
      </c>
      <c r="N98" s="477">
        <f t="shared" si="3"/>
        <v>7336969</v>
      </c>
      <c r="O98" s="20"/>
      <c r="P98" s="20"/>
      <c r="S98" s="19"/>
    </row>
    <row r="99" spans="1:19" ht="15" customHeight="1">
      <c r="A99" s="3"/>
      <c r="B99" s="323" t="s">
        <v>5</v>
      </c>
      <c r="C99" s="369">
        <f>+C96</f>
        <v>0</v>
      </c>
      <c r="D99" s="369">
        <f t="shared" ref="D99:N99" si="4">+C99+D96</f>
        <v>0</v>
      </c>
      <c r="E99" s="369">
        <f>+D99+E96</f>
        <v>0</v>
      </c>
      <c r="F99" s="369">
        <f t="shared" si="4"/>
        <v>9722.0265959650369</v>
      </c>
      <c r="G99" s="369">
        <f t="shared" si="4"/>
        <v>289507.02659596503</v>
      </c>
      <c r="H99" s="369">
        <f t="shared" si="4"/>
        <v>378003.36852896464</v>
      </c>
      <c r="I99" s="369">
        <f t="shared" si="4"/>
        <v>517814.36852896464</v>
      </c>
      <c r="J99" s="369">
        <f t="shared" si="4"/>
        <v>580976.5256478301</v>
      </c>
      <c r="K99" s="369">
        <f t="shared" si="4"/>
        <v>580976.5256478301</v>
      </c>
      <c r="L99" s="369">
        <f t="shared" si="4"/>
        <v>580976.5256478301</v>
      </c>
      <c r="M99" s="369">
        <f t="shared" si="4"/>
        <v>580976.5256478301</v>
      </c>
      <c r="N99" s="477">
        <f t="shared" si="4"/>
        <v>580976.5256478301</v>
      </c>
      <c r="O99" s="20"/>
      <c r="P99" s="20"/>
      <c r="S99" s="19"/>
    </row>
    <row r="100" spans="1:19" ht="15" thickBot="1">
      <c r="A100" s="3"/>
      <c r="B100" s="472" t="s">
        <v>6</v>
      </c>
      <c r="C100" s="473">
        <f>+C97</f>
        <v>0</v>
      </c>
      <c r="D100" s="474">
        <f t="shared" ref="D100:N100" si="5">+C100+D97</f>
        <v>0</v>
      </c>
      <c r="E100" s="474">
        <f>+D100+E97</f>
        <v>2411851</v>
      </c>
      <c r="F100" s="474">
        <f t="shared" si="5"/>
        <v>2423139</v>
      </c>
      <c r="G100" s="474">
        <f t="shared" si="5"/>
        <v>2463996</v>
      </c>
      <c r="H100" s="474">
        <f t="shared" si="5"/>
        <v>2850881</v>
      </c>
      <c r="I100" s="474">
        <f t="shared" si="5"/>
        <v>3057751</v>
      </c>
      <c r="J100" s="474">
        <f t="shared" si="5"/>
        <v>3224248</v>
      </c>
      <c r="K100" s="474">
        <f t="shared" si="5"/>
        <v>3224248</v>
      </c>
      <c r="L100" s="474">
        <f t="shared" si="5"/>
        <v>3224248</v>
      </c>
      <c r="M100" s="474">
        <f t="shared" si="5"/>
        <v>3224248</v>
      </c>
      <c r="N100" s="478">
        <f t="shared" si="5"/>
        <v>3224248</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5">
      <c r="A105" s="3"/>
      <c r="B105" s="110" t="s">
        <v>386</v>
      </c>
      <c r="C105" s="3"/>
      <c r="D105" s="3"/>
      <c r="E105" s="3"/>
      <c r="F105" s="3"/>
      <c r="G105" s="3"/>
      <c r="H105" s="3"/>
      <c r="I105" s="15"/>
      <c r="J105" s="15"/>
      <c r="K105" s="15"/>
      <c r="L105" s="15"/>
      <c r="M105" s="15"/>
      <c r="N105" s="20"/>
      <c r="O105" s="20"/>
      <c r="P105" s="20"/>
    </row>
    <row r="106" spans="1:19" ht="1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3" t="s">
        <v>35</v>
      </c>
      <c r="C108" s="412" t="s">
        <v>416</v>
      </c>
      <c r="D108" s="413">
        <v>3</v>
      </c>
      <c r="E108" s="414">
        <f>IF(ISBLANK(D108),"",D108*30)</f>
        <v>90</v>
      </c>
      <c r="F108" s="370">
        <v>325</v>
      </c>
      <c r="G108" s="371">
        <f>IF(AND(E108&gt;0,F108&gt;0),(F108*E108),"")</f>
        <v>29250</v>
      </c>
      <c r="H108" s="370">
        <v>285600</v>
      </c>
      <c r="I108" s="430">
        <f>IF(AND(G108&gt;0,H108&gt;0),H108/G108,"")</f>
        <v>9.7641025641025649</v>
      </c>
      <c r="J108" s="415">
        <v>4</v>
      </c>
      <c r="K108" s="479">
        <f>IF(AND(I108&gt;0,J108&gt;0),I108-J108,"")</f>
        <v>5.7641025641025649</v>
      </c>
      <c r="L108" s="2"/>
      <c r="M108" s="20"/>
      <c r="N108" s="20"/>
      <c r="O108" s="20"/>
      <c r="P108" s="19"/>
      <c r="R108" s="20"/>
    </row>
    <row r="109" spans="1:19">
      <c r="A109" s="3"/>
      <c r="B109" s="654"/>
      <c r="C109" s="412" t="s">
        <v>428</v>
      </c>
      <c r="D109" s="413">
        <v>2</v>
      </c>
      <c r="E109" s="414">
        <f>IF(ISBLANK(D109),"",D109*30)</f>
        <v>60</v>
      </c>
      <c r="F109" s="370">
        <v>300</v>
      </c>
      <c r="G109" s="371">
        <f>IF(AND(E109&gt;0,F109&gt;0),(F109*E109),"")</f>
        <v>18000</v>
      </c>
      <c r="H109" s="370">
        <v>248515</v>
      </c>
      <c r="I109" s="430">
        <f>IF(AND(G109&gt;0,H109&gt;0),H109/G109,"")</f>
        <v>13.80638888888889</v>
      </c>
      <c r="J109" s="415">
        <v>4</v>
      </c>
      <c r="K109" s="479">
        <f>IF(AND(I109&gt;0,J109&gt;0),I109-J109,"")</f>
        <v>9.8063888888888897</v>
      </c>
      <c r="L109" s="2"/>
      <c r="M109" s="20"/>
      <c r="N109" s="20"/>
      <c r="O109" s="20"/>
      <c r="P109" s="19"/>
    </row>
    <row r="110" spans="1:19">
      <c r="A110" s="3"/>
      <c r="B110" s="654"/>
      <c r="C110" s="412" t="s">
        <v>429</v>
      </c>
      <c r="D110" s="413">
        <v>2</v>
      </c>
      <c r="E110" s="414">
        <f>IF(ISBLANK(D110),"",D110*30)</f>
        <v>60</v>
      </c>
      <c r="F110" s="370">
        <v>50</v>
      </c>
      <c r="G110" s="371">
        <f>IF(AND(E110&gt;0,F110&gt;0),(F110*E110),"")</f>
        <v>3000</v>
      </c>
      <c r="H110" s="370">
        <v>39088</v>
      </c>
      <c r="I110" s="430">
        <f>IF(AND(G110&gt;0,H110&gt;0),H110/G110,"")</f>
        <v>13.029333333333334</v>
      </c>
      <c r="J110" s="415">
        <v>4</v>
      </c>
      <c r="K110" s="479">
        <f>IF(AND(I110&gt;0,J110&gt;0),I110-J110,"")</f>
        <v>9.0293333333333337</v>
      </c>
      <c r="L110" s="2"/>
      <c r="M110" s="20"/>
      <c r="N110" s="20"/>
      <c r="O110" s="20"/>
      <c r="P110" s="19"/>
      <c r="R110" s="20"/>
    </row>
    <row r="111" spans="1:19" ht="15" thickBot="1">
      <c r="A111" s="3"/>
      <c r="B111" s="655"/>
      <c r="C111" s="416" t="s">
        <v>431</v>
      </c>
      <c r="D111" s="417">
        <v>3</v>
      </c>
      <c r="E111" s="469">
        <f>IF(ISBLANK(D111),"",D111*30)</f>
        <v>90</v>
      </c>
      <c r="F111" s="372">
        <v>40</v>
      </c>
      <c r="G111" s="470">
        <f>IF(AND(E111&gt;0,F111&gt;0),(F111*E111),"")</f>
        <v>3600</v>
      </c>
      <c r="H111" s="372">
        <v>53078</v>
      </c>
      <c r="I111" s="471">
        <f>IF(AND(G111&gt;0,H111&gt;0),H111/G111,"")</f>
        <v>14.74388888888889</v>
      </c>
      <c r="J111" s="418">
        <v>4</v>
      </c>
      <c r="K111" s="480">
        <f>IF(AND(I111&gt;0,J111&gt;0),I111-J111,"")</f>
        <v>10.74388888888889</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4" thickBot="1">
      <c r="A113" s="3"/>
      <c r="B113" s="3"/>
      <c r="C113" s="3"/>
      <c r="D113" s="3"/>
      <c r="E113" s="3"/>
      <c r="F113" s="485" t="s">
        <v>417</v>
      </c>
      <c r="G113" s="485" t="s">
        <v>430</v>
      </c>
      <c r="H113" s="485" t="s">
        <v>430</v>
      </c>
      <c r="I113" s="2"/>
      <c r="J113" s="109"/>
      <c r="K113" s="109"/>
      <c r="L113" s="3"/>
      <c r="M113" s="3"/>
    </row>
    <row r="114" spans="1:20" ht="19" thickBot="1">
      <c r="A114" s="3"/>
      <c r="B114" s="243" t="s">
        <v>393</v>
      </c>
      <c r="C114" s="129"/>
      <c r="D114" s="129"/>
      <c r="E114" s="130"/>
      <c r="F114" s="130"/>
      <c r="G114" s="130"/>
      <c r="H114" s="258"/>
      <c r="I114" s="244"/>
      <c r="J114" s="346"/>
      <c r="K114" s="347" t="s">
        <v>372</v>
      </c>
      <c r="L114" s="130"/>
      <c r="M114" s="348"/>
      <c r="N114" s="349"/>
      <c r="O114" s="349"/>
      <c r="P114" s="420"/>
      <c r="Q114" s="36"/>
    </row>
    <row r="115" spans="1:20" ht="15" thickBot="1">
      <c r="A115" s="3"/>
      <c r="B115" s="3"/>
      <c r="C115" s="3"/>
      <c r="D115" s="3"/>
      <c r="E115" s="3"/>
      <c r="F115" s="3"/>
      <c r="G115" s="3"/>
      <c r="H115" s="3"/>
      <c r="I115" s="3"/>
      <c r="J115" s="3"/>
      <c r="K115" s="3"/>
      <c r="L115" s="3"/>
      <c r="M115" s="3"/>
      <c r="N115"/>
      <c r="O115"/>
      <c r="P115" s="36"/>
      <c r="Q115" s="36"/>
    </row>
    <row r="116" spans="1:20">
      <c r="A116" s="3"/>
      <c r="B116" s="696" t="s">
        <v>399</v>
      </c>
      <c r="C116" s="697"/>
      <c r="D116" s="698"/>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6"/>
      <c r="C117" s="447"/>
      <c r="D117" s="447"/>
      <c r="E117" s="448"/>
      <c r="F117" s="449"/>
      <c r="G117" s="450"/>
      <c r="H117" s="451"/>
      <c r="I117" s="451"/>
      <c r="J117" s="451"/>
      <c r="K117" s="451"/>
      <c r="L117" s="451"/>
      <c r="M117" s="451"/>
      <c r="N117" s="451"/>
      <c r="O117" s="451"/>
      <c r="P117" s="451"/>
      <c r="Q117" s="451"/>
      <c r="R117" s="451"/>
      <c r="S117" s="452"/>
      <c r="T117" s="64"/>
    </row>
    <row r="118" spans="1:20" ht="15" customHeight="1">
      <c r="A118" s="680" t="s">
        <v>376</v>
      </c>
      <c r="B118" s="684" t="s">
        <v>418</v>
      </c>
      <c r="C118" s="685"/>
      <c r="D118" s="686"/>
      <c r="E118" s="604">
        <v>2.1</v>
      </c>
      <c r="F118" s="605" t="s">
        <v>115</v>
      </c>
      <c r="G118" s="249" t="s">
        <v>86</v>
      </c>
      <c r="H118" s="486">
        <v>63</v>
      </c>
      <c r="I118" s="133">
        <v>65</v>
      </c>
      <c r="J118" s="133">
        <v>65</v>
      </c>
      <c r="K118" s="282">
        <v>75</v>
      </c>
      <c r="L118" s="133">
        <v>75</v>
      </c>
      <c r="M118" s="133">
        <v>75</v>
      </c>
      <c r="N118" s="133">
        <v>75</v>
      </c>
      <c r="O118" s="133">
        <v>75</v>
      </c>
      <c r="P118" s="133">
        <v>75</v>
      </c>
      <c r="Q118" s="133"/>
      <c r="R118" s="133"/>
      <c r="S118" s="134"/>
      <c r="T118" s="64"/>
    </row>
    <row r="119" spans="1:20">
      <c r="A119" s="680"/>
      <c r="B119" s="687"/>
      <c r="C119" s="688"/>
      <c r="D119" s="689"/>
      <c r="E119" s="604"/>
      <c r="F119" s="605"/>
      <c r="G119" s="249" t="s">
        <v>87</v>
      </c>
      <c r="H119" s="133">
        <v>113</v>
      </c>
      <c r="I119" s="133">
        <v>108</v>
      </c>
      <c r="J119" s="133">
        <v>63</v>
      </c>
      <c r="K119" s="282">
        <v>66</v>
      </c>
      <c r="L119" s="133">
        <v>82</v>
      </c>
      <c r="M119" s="133">
        <v>82</v>
      </c>
      <c r="N119" s="133">
        <v>88</v>
      </c>
      <c r="O119" s="133">
        <v>91</v>
      </c>
      <c r="P119" s="133"/>
      <c r="Q119" s="133"/>
      <c r="R119" s="133"/>
      <c r="S119" s="134"/>
      <c r="T119" s="64"/>
    </row>
    <row r="120" spans="1:20" ht="15" customHeight="1">
      <c r="A120" s="680"/>
      <c r="B120" s="618" t="s">
        <v>425</v>
      </c>
      <c r="C120" s="619"/>
      <c r="D120" s="620"/>
      <c r="E120" s="608">
        <v>4.2</v>
      </c>
      <c r="F120" s="606" t="s">
        <v>115</v>
      </c>
      <c r="G120" s="457" t="s">
        <v>86</v>
      </c>
      <c r="H120" s="245">
        <v>70</v>
      </c>
      <c r="I120" s="245">
        <v>75</v>
      </c>
      <c r="J120" s="245">
        <v>75</v>
      </c>
      <c r="K120" s="283">
        <v>75</v>
      </c>
      <c r="L120" s="245">
        <v>75</v>
      </c>
      <c r="M120" s="245">
        <v>75</v>
      </c>
      <c r="N120" s="283">
        <v>75</v>
      </c>
      <c r="O120" s="245">
        <v>75</v>
      </c>
      <c r="P120" s="245">
        <v>75</v>
      </c>
      <c r="Q120" s="245"/>
      <c r="R120" s="245"/>
      <c r="S120" s="329"/>
      <c r="T120" s="64"/>
    </row>
    <row r="121" spans="1:20" ht="21" customHeight="1">
      <c r="A121" s="680"/>
      <c r="B121" s="644"/>
      <c r="C121" s="619"/>
      <c r="D121" s="620"/>
      <c r="E121" s="608"/>
      <c r="F121" s="607"/>
      <c r="G121" s="457" t="s">
        <v>87</v>
      </c>
      <c r="H121" s="245">
        <v>69</v>
      </c>
      <c r="I121" s="245">
        <v>70</v>
      </c>
      <c r="J121" s="330">
        <v>72</v>
      </c>
      <c r="K121" s="331">
        <v>73</v>
      </c>
      <c r="L121" s="330">
        <v>80</v>
      </c>
      <c r="M121" s="330">
        <v>70</v>
      </c>
      <c r="N121" s="330">
        <v>83</v>
      </c>
      <c r="O121" s="330">
        <v>81</v>
      </c>
      <c r="P121" s="245"/>
      <c r="Q121" s="245"/>
      <c r="R121" s="245"/>
      <c r="S121" s="329"/>
      <c r="T121" s="64"/>
    </row>
    <row r="122" spans="1:20" ht="15" customHeight="1">
      <c r="A122" s="680"/>
      <c r="B122" s="693" t="s">
        <v>426</v>
      </c>
      <c r="C122" s="688"/>
      <c r="D122" s="689"/>
      <c r="E122" s="604">
        <v>3.1</v>
      </c>
      <c r="F122" s="647" t="s">
        <v>115</v>
      </c>
      <c r="G122" s="249" t="s">
        <v>86</v>
      </c>
      <c r="H122" s="133">
        <v>1018</v>
      </c>
      <c r="I122" s="133">
        <v>1018</v>
      </c>
      <c r="J122" s="133">
        <v>1017</v>
      </c>
      <c r="K122" s="133">
        <v>1016</v>
      </c>
      <c r="L122" s="133">
        <v>2032</v>
      </c>
      <c r="M122" s="133">
        <v>1016</v>
      </c>
      <c r="N122" s="133">
        <v>4063</v>
      </c>
      <c r="O122" s="133">
        <v>1014</v>
      </c>
      <c r="P122" s="133">
        <v>1014</v>
      </c>
      <c r="Q122" s="133"/>
      <c r="R122" s="133"/>
      <c r="S122" s="134"/>
      <c r="T122" s="64"/>
    </row>
    <row r="123" spans="1:20" ht="26.25" customHeight="1">
      <c r="A123" s="680"/>
      <c r="B123" s="687"/>
      <c r="C123" s="688"/>
      <c r="D123" s="689"/>
      <c r="E123" s="604"/>
      <c r="F123" s="648"/>
      <c r="G123" s="249" t="s">
        <v>87</v>
      </c>
      <c r="H123" s="133">
        <v>702</v>
      </c>
      <c r="I123" s="133">
        <v>646</v>
      </c>
      <c r="J123" s="133">
        <v>784</v>
      </c>
      <c r="K123" s="133">
        <v>757</v>
      </c>
      <c r="L123" s="133">
        <v>1676</v>
      </c>
      <c r="M123" s="133">
        <v>701</v>
      </c>
      <c r="N123" s="133">
        <v>3136</v>
      </c>
      <c r="O123" s="133">
        <v>761</v>
      </c>
      <c r="P123" s="133"/>
      <c r="Q123" s="133"/>
      <c r="R123" s="133"/>
      <c r="S123" s="134"/>
      <c r="T123" s="64"/>
    </row>
    <row r="124" spans="1:20" ht="15" customHeight="1">
      <c r="A124" s="3"/>
      <c r="B124" s="618" t="s">
        <v>427</v>
      </c>
      <c r="C124" s="619"/>
      <c r="D124" s="620"/>
      <c r="E124" s="608">
        <v>2.2999999999999998</v>
      </c>
      <c r="F124" s="656" t="s">
        <v>115</v>
      </c>
      <c r="G124" s="457" t="s">
        <v>86</v>
      </c>
      <c r="H124" s="330">
        <v>91</v>
      </c>
      <c r="I124" s="245">
        <v>91</v>
      </c>
      <c r="J124" s="245">
        <v>91</v>
      </c>
      <c r="K124" s="283">
        <v>91</v>
      </c>
      <c r="L124" s="245">
        <v>100</v>
      </c>
      <c r="M124" s="245">
        <v>100</v>
      </c>
      <c r="N124" s="245">
        <v>100</v>
      </c>
      <c r="O124" s="245">
        <v>100</v>
      </c>
      <c r="P124" s="245">
        <v>91</v>
      </c>
      <c r="Q124" s="245"/>
      <c r="R124" s="245"/>
      <c r="S124" s="329"/>
      <c r="T124" s="64"/>
    </row>
    <row r="125" spans="1:20" ht="25.5" customHeight="1">
      <c r="A125" s="3"/>
      <c r="B125" s="644"/>
      <c r="C125" s="619"/>
      <c r="D125" s="620"/>
      <c r="E125" s="608"/>
      <c r="F125" s="607"/>
      <c r="G125" s="457" t="s">
        <v>87</v>
      </c>
      <c r="H125" s="330">
        <v>91</v>
      </c>
      <c r="I125" s="245">
        <v>80</v>
      </c>
      <c r="J125" s="245">
        <v>82</v>
      </c>
      <c r="K125" s="283">
        <v>91</v>
      </c>
      <c r="L125" s="245">
        <v>91</v>
      </c>
      <c r="M125" s="245">
        <v>91</v>
      </c>
      <c r="N125" s="245">
        <v>82</v>
      </c>
      <c r="O125" s="245">
        <v>82</v>
      </c>
      <c r="P125" s="245"/>
      <c r="Q125" s="245"/>
      <c r="R125" s="245"/>
      <c r="S125" s="329"/>
      <c r="T125" s="64"/>
    </row>
    <row r="126" spans="1:20" ht="15" customHeight="1">
      <c r="A126" s="3"/>
      <c r="B126" s="634" t="s">
        <v>419</v>
      </c>
      <c r="C126" s="635"/>
      <c r="D126" s="636"/>
      <c r="E126" s="604">
        <v>3.2</v>
      </c>
      <c r="F126" s="647" t="s">
        <v>115</v>
      </c>
      <c r="G126" s="458" t="s">
        <v>86</v>
      </c>
      <c r="H126" s="459">
        <v>529</v>
      </c>
      <c r="I126" s="459">
        <v>529</v>
      </c>
      <c r="J126" s="459">
        <v>529</v>
      </c>
      <c r="K126" s="460">
        <v>604</v>
      </c>
      <c r="L126" s="459">
        <v>1122</v>
      </c>
      <c r="M126" s="459">
        <v>604</v>
      </c>
      <c r="N126" s="459">
        <v>2417</v>
      </c>
      <c r="O126" s="459">
        <v>603</v>
      </c>
      <c r="P126" s="459">
        <v>603</v>
      </c>
      <c r="Q126" s="459"/>
      <c r="R126" s="459"/>
      <c r="S126" s="461"/>
      <c r="T126" s="64"/>
    </row>
    <row r="127" spans="1:20">
      <c r="A127" s="3"/>
      <c r="B127" s="637"/>
      <c r="C127" s="635"/>
      <c r="D127" s="636"/>
      <c r="E127" s="604"/>
      <c r="F127" s="648"/>
      <c r="G127" s="458" t="s">
        <v>87</v>
      </c>
      <c r="H127" s="459">
        <v>402</v>
      </c>
      <c r="I127" s="459">
        <v>403</v>
      </c>
      <c r="J127" s="459">
        <v>369</v>
      </c>
      <c r="K127" s="460">
        <v>386</v>
      </c>
      <c r="L127" s="459">
        <v>937</v>
      </c>
      <c r="M127" s="459">
        <v>409</v>
      </c>
      <c r="N127" s="459">
        <v>1754</v>
      </c>
      <c r="O127" s="459">
        <v>421</v>
      </c>
      <c r="P127" s="459"/>
      <c r="Q127" s="459"/>
      <c r="R127" s="459"/>
      <c r="S127" s="461"/>
      <c r="T127" s="64"/>
    </row>
    <row r="128" spans="1:20" ht="15" customHeight="1">
      <c r="A128" s="3"/>
      <c r="B128" s="618" t="s">
        <v>420</v>
      </c>
      <c r="C128" s="619"/>
      <c r="D128" s="620"/>
      <c r="E128" s="608">
        <v>3.3</v>
      </c>
      <c r="F128" s="656" t="s">
        <v>115</v>
      </c>
      <c r="G128" s="457" t="s">
        <v>86</v>
      </c>
      <c r="H128" s="330">
        <v>1109</v>
      </c>
      <c r="I128" s="330">
        <v>1109</v>
      </c>
      <c r="J128" s="330">
        <v>1109</v>
      </c>
      <c r="K128" s="331">
        <v>1106</v>
      </c>
      <c r="L128" s="330">
        <v>2212</v>
      </c>
      <c r="M128" s="330">
        <v>1106</v>
      </c>
      <c r="N128" s="330">
        <v>4423</v>
      </c>
      <c r="O128" s="330">
        <v>1103</v>
      </c>
      <c r="P128" s="330">
        <v>1102</v>
      </c>
      <c r="Q128" s="330"/>
      <c r="R128" s="330"/>
      <c r="S128" s="462"/>
      <c r="T128" s="64"/>
    </row>
    <row r="129" spans="1:21">
      <c r="A129" s="3"/>
      <c r="B129" s="644"/>
      <c r="C129" s="619"/>
      <c r="D129" s="620"/>
      <c r="E129" s="608"/>
      <c r="F129" s="607"/>
      <c r="G129" s="457" t="s">
        <v>87</v>
      </c>
      <c r="H129" s="330">
        <v>901</v>
      </c>
      <c r="I129" s="245">
        <v>804</v>
      </c>
      <c r="J129" s="245">
        <v>944</v>
      </c>
      <c r="K129" s="283">
        <v>857</v>
      </c>
      <c r="L129" s="245">
        <v>1816</v>
      </c>
      <c r="M129" s="245">
        <v>740</v>
      </c>
      <c r="N129" s="245">
        <v>3352</v>
      </c>
      <c r="O129" s="245">
        <v>798</v>
      </c>
      <c r="P129" s="330"/>
      <c r="Q129" s="330"/>
      <c r="R129" s="330"/>
      <c r="S129" s="462"/>
      <c r="T129" s="64"/>
    </row>
    <row r="130" spans="1:21">
      <c r="A130" s="3"/>
      <c r="B130" s="634" t="s">
        <v>421</v>
      </c>
      <c r="C130" s="635"/>
      <c r="D130" s="636"/>
      <c r="E130" s="604">
        <v>3.4</v>
      </c>
      <c r="F130" s="605" t="s">
        <v>115</v>
      </c>
      <c r="G130" s="458" t="s">
        <v>86</v>
      </c>
      <c r="H130" s="459">
        <v>130</v>
      </c>
      <c r="I130" s="459">
        <v>130</v>
      </c>
      <c r="J130" s="459">
        <v>130</v>
      </c>
      <c r="K130" s="460">
        <v>130</v>
      </c>
      <c r="L130" s="459">
        <v>260</v>
      </c>
      <c r="M130" s="459">
        <v>130</v>
      </c>
      <c r="N130" s="459">
        <v>519</v>
      </c>
      <c r="O130" s="459">
        <v>129</v>
      </c>
      <c r="P130" s="459">
        <v>129</v>
      </c>
      <c r="Q130" s="459"/>
      <c r="R130" s="459"/>
      <c r="S130" s="461"/>
      <c r="T130" s="64"/>
    </row>
    <row r="131" spans="1:21">
      <c r="A131" s="3"/>
      <c r="B131" s="637"/>
      <c r="C131" s="635"/>
      <c r="D131" s="636"/>
      <c r="E131" s="604"/>
      <c r="F131" s="605"/>
      <c r="G131" s="458" t="s">
        <v>87</v>
      </c>
      <c r="H131" s="459">
        <v>133</v>
      </c>
      <c r="I131" s="459">
        <v>132</v>
      </c>
      <c r="J131" s="459">
        <v>134</v>
      </c>
      <c r="K131" s="460">
        <v>105</v>
      </c>
      <c r="L131" s="459">
        <v>224</v>
      </c>
      <c r="M131" s="459">
        <v>106</v>
      </c>
      <c r="N131" s="459">
        <v>457</v>
      </c>
      <c r="O131" s="459">
        <v>107</v>
      </c>
      <c r="P131" s="459"/>
      <c r="Q131" s="459"/>
      <c r="R131" s="459"/>
      <c r="S131" s="461"/>
      <c r="T131" s="64"/>
    </row>
    <row r="132" spans="1:21" ht="14.25" customHeight="1">
      <c r="A132" s="3"/>
      <c r="B132" s="618" t="s">
        <v>422</v>
      </c>
      <c r="C132" s="619"/>
      <c r="D132" s="620"/>
      <c r="E132" s="608">
        <v>3.5</v>
      </c>
      <c r="F132" s="632" t="s">
        <v>115</v>
      </c>
      <c r="G132" s="457" t="s">
        <v>86</v>
      </c>
      <c r="H132" s="330">
        <v>95</v>
      </c>
      <c r="I132" s="330">
        <v>95</v>
      </c>
      <c r="J132" s="330">
        <v>95</v>
      </c>
      <c r="K132" s="330">
        <v>95</v>
      </c>
      <c r="L132" s="330">
        <v>95</v>
      </c>
      <c r="M132" s="330">
        <v>95</v>
      </c>
      <c r="N132" s="330">
        <v>95</v>
      </c>
      <c r="O132" s="330">
        <v>100</v>
      </c>
      <c r="P132" s="330">
        <v>100</v>
      </c>
      <c r="Q132" s="330"/>
      <c r="R132" s="330"/>
      <c r="S132" s="462"/>
      <c r="T132" s="64"/>
    </row>
    <row r="133" spans="1:21">
      <c r="A133" s="3"/>
      <c r="B133" s="644"/>
      <c r="C133" s="619"/>
      <c r="D133" s="620"/>
      <c r="E133" s="608"/>
      <c r="F133" s="632"/>
      <c r="G133" s="457" t="s">
        <v>87</v>
      </c>
      <c r="H133" s="330">
        <v>98</v>
      </c>
      <c r="I133" s="330">
        <v>92</v>
      </c>
      <c r="J133" s="330">
        <v>88</v>
      </c>
      <c r="K133" s="330">
        <v>94</v>
      </c>
      <c r="L133" s="330">
        <v>90</v>
      </c>
      <c r="M133" s="330">
        <v>90</v>
      </c>
      <c r="N133" s="330">
        <v>89</v>
      </c>
      <c r="O133" s="330">
        <v>92</v>
      </c>
      <c r="P133" s="330"/>
      <c r="Q133" s="330"/>
      <c r="R133" s="330"/>
      <c r="S133" s="462"/>
      <c r="T133" s="64"/>
    </row>
    <row r="134" spans="1:21" ht="14.25" customHeight="1">
      <c r="A134" s="3"/>
      <c r="B134" s="634" t="s">
        <v>423</v>
      </c>
      <c r="C134" s="635"/>
      <c r="D134" s="636"/>
      <c r="E134" s="604">
        <v>3.6</v>
      </c>
      <c r="F134" s="630" t="s">
        <v>115</v>
      </c>
      <c r="G134" s="458" t="s">
        <v>86</v>
      </c>
      <c r="H134" s="459">
        <v>12</v>
      </c>
      <c r="I134" s="459">
        <v>6</v>
      </c>
      <c r="J134" s="459">
        <v>9</v>
      </c>
      <c r="K134" s="459">
        <v>9</v>
      </c>
      <c r="L134" s="459">
        <v>8</v>
      </c>
      <c r="M134" s="459">
        <v>10</v>
      </c>
      <c r="N134" s="459">
        <v>12</v>
      </c>
      <c r="O134" s="459">
        <v>11</v>
      </c>
      <c r="P134" s="459">
        <v>10</v>
      </c>
      <c r="Q134" s="459"/>
      <c r="R134" s="459"/>
      <c r="S134" s="461"/>
      <c r="T134" s="64"/>
    </row>
    <row r="135" spans="1:21">
      <c r="A135" s="3"/>
      <c r="B135" s="637"/>
      <c r="C135" s="635"/>
      <c r="D135" s="636"/>
      <c r="E135" s="604"/>
      <c r="F135" s="630"/>
      <c r="G135" s="458" t="s">
        <v>87</v>
      </c>
      <c r="H135" s="459">
        <v>11</v>
      </c>
      <c r="I135" s="459">
        <v>11</v>
      </c>
      <c r="J135" s="459">
        <v>11</v>
      </c>
      <c r="K135" s="459">
        <v>11</v>
      </c>
      <c r="L135" s="459">
        <v>11</v>
      </c>
      <c r="M135" s="459">
        <v>10</v>
      </c>
      <c r="N135" s="459">
        <v>10</v>
      </c>
      <c r="O135" s="459">
        <v>10</v>
      </c>
      <c r="P135" s="459"/>
      <c r="Q135" s="459"/>
      <c r="R135" s="459"/>
      <c r="S135" s="461"/>
      <c r="T135" s="64"/>
    </row>
    <row r="136" spans="1:21" ht="14.25" customHeight="1">
      <c r="A136" s="3"/>
      <c r="B136" s="618" t="s">
        <v>424</v>
      </c>
      <c r="C136" s="619"/>
      <c r="D136" s="620"/>
      <c r="E136" s="608">
        <v>4.0999999999999996</v>
      </c>
      <c r="F136" s="632" t="s">
        <v>115</v>
      </c>
      <c r="G136" s="457" t="s">
        <v>86</v>
      </c>
      <c r="H136" s="330">
        <v>70</v>
      </c>
      <c r="I136" s="330">
        <v>70</v>
      </c>
      <c r="J136" s="330">
        <v>70</v>
      </c>
      <c r="K136" s="330">
        <v>70</v>
      </c>
      <c r="L136" s="330">
        <v>70</v>
      </c>
      <c r="M136" s="330">
        <v>70</v>
      </c>
      <c r="N136" s="330">
        <v>70</v>
      </c>
      <c r="O136" s="330">
        <v>70</v>
      </c>
      <c r="P136" s="330">
        <v>70</v>
      </c>
      <c r="Q136" s="330"/>
      <c r="R136" s="330"/>
      <c r="S136" s="462"/>
      <c r="T136" s="64"/>
    </row>
    <row r="137" spans="1:21" ht="15" thickBot="1">
      <c r="A137" s="3"/>
      <c r="B137" s="621"/>
      <c r="C137" s="622"/>
      <c r="D137" s="623"/>
      <c r="E137" s="631"/>
      <c r="F137" s="633"/>
      <c r="G137" s="463" t="s">
        <v>87</v>
      </c>
      <c r="H137" s="464">
        <v>0</v>
      </c>
      <c r="I137" s="464">
        <v>65</v>
      </c>
      <c r="J137" s="464">
        <v>69</v>
      </c>
      <c r="K137" s="464">
        <v>80</v>
      </c>
      <c r="L137" s="464">
        <v>83</v>
      </c>
      <c r="M137" s="464">
        <v>82</v>
      </c>
      <c r="N137" s="464">
        <v>79</v>
      </c>
      <c r="O137" s="464">
        <v>73</v>
      </c>
      <c r="P137" s="464"/>
      <c r="Q137" s="464"/>
      <c r="R137" s="464"/>
      <c r="S137" s="46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 thickBot="1">
      <c r="A141" s="3"/>
      <c r="B141" s="334"/>
      <c r="C141" s="3"/>
      <c r="D141" s="3"/>
      <c r="E141" s="3"/>
      <c r="F141" s="3"/>
      <c r="G141" s="2"/>
      <c r="H141" s="3"/>
      <c r="I141" s="3"/>
      <c r="J141" s="3"/>
      <c r="K141" s="3"/>
      <c r="L141" s="3"/>
      <c r="M141" s="3"/>
      <c r="N141" s="3"/>
      <c r="O141" s="3"/>
      <c r="R141" s="36"/>
      <c r="S141" s="36"/>
    </row>
    <row r="142" spans="1:21" ht="15" thickBot="1">
      <c r="A142" s="3"/>
      <c r="B142" s="3" t="s">
        <v>407</v>
      </c>
      <c r="C142" s="3"/>
      <c r="D142" s="3"/>
      <c r="E142" s="332" t="s">
        <v>328</v>
      </c>
      <c r="F142" s="287" t="s">
        <v>345</v>
      </c>
      <c r="G142" s="248"/>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38" t="str">
        <f>IF(ISBLANK(B118),"",(B118))</f>
        <v xml:space="preserve">Percentage of TB patients who had an HIV test result recorded in the TB register </v>
      </c>
      <c r="C143" s="639"/>
      <c r="D143" s="640"/>
      <c r="E143" s="626">
        <f>IF(ISBLANK(E118),"",(E118))</f>
        <v>2.1</v>
      </c>
      <c r="F143" s="628" t="str">
        <f>IF(ISBLANK(F118),"",(F118))</f>
        <v>Yes</v>
      </c>
      <c r="G143" s="360" t="s">
        <v>86</v>
      </c>
      <c r="H143" s="428">
        <f t="shared" ref="H143:S143" si="7">H118</f>
        <v>63</v>
      </c>
      <c r="I143" s="428">
        <f t="shared" si="7"/>
        <v>65</v>
      </c>
      <c r="J143" s="428">
        <f t="shared" si="7"/>
        <v>65</v>
      </c>
      <c r="K143" s="428">
        <f t="shared" si="7"/>
        <v>75</v>
      </c>
      <c r="L143" s="428">
        <f t="shared" si="7"/>
        <v>75</v>
      </c>
      <c r="M143" s="428">
        <f t="shared" si="7"/>
        <v>75</v>
      </c>
      <c r="N143" s="428">
        <f t="shared" si="7"/>
        <v>75</v>
      </c>
      <c r="O143" s="428">
        <f t="shared" si="7"/>
        <v>75</v>
      </c>
      <c r="P143" s="428">
        <f t="shared" si="7"/>
        <v>75</v>
      </c>
      <c r="Q143" s="428">
        <f t="shared" si="7"/>
        <v>0</v>
      </c>
      <c r="R143" s="428">
        <f t="shared" si="7"/>
        <v>0</v>
      </c>
      <c r="S143" s="481">
        <f t="shared" si="7"/>
        <v>0</v>
      </c>
      <c r="T143" s="36"/>
      <c r="U143" s="36"/>
    </row>
    <row r="144" spans="1:21">
      <c r="A144" s="3"/>
      <c r="B144" s="641"/>
      <c r="C144" s="642"/>
      <c r="D144" s="643"/>
      <c r="E144" s="626"/>
      <c r="F144" s="628"/>
      <c r="G144" s="131" t="s">
        <v>87</v>
      </c>
      <c r="H144" s="428">
        <f t="shared" ref="H144:K148" si="8">H119</f>
        <v>113</v>
      </c>
      <c r="I144" s="428">
        <f t="shared" si="8"/>
        <v>108</v>
      </c>
      <c r="J144" s="428">
        <f t="shared" si="8"/>
        <v>63</v>
      </c>
      <c r="K144" s="428">
        <f t="shared" si="8"/>
        <v>66</v>
      </c>
      <c r="L144" s="428">
        <f t="shared" ref="L144:S144" si="9">L119</f>
        <v>82</v>
      </c>
      <c r="M144" s="428">
        <f t="shared" si="9"/>
        <v>82</v>
      </c>
      <c r="N144" s="428">
        <f t="shared" si="9"/>
        <v>88</v>
      </c>
      <c r="O144" s="428">
        <f t="shared" si="9"/>
        <v>91</v>
      </c>
      <c r="P144" s="428">
        <f t="shared" si="9"/>
        <v>0</v>
      </c>
      <c r="Q144" s="428">
        <f t="shared" si="9"/>
        <v>0</v>
      </c>
      <c r="R144" s="428">
        <f t="shared" si="9"/>
        <v>0</v>
      </c>
      <c r="S144" s="481">
        <f t="shared" si="9"/>
        <v>0</v>
      </c>
      <c r="T144" s="36"/>
      <c r="U144" s="36"/>
    </row>
    <row r="145" spans="1:21">
      <c r="A145" s="3"/>
      <c r="B145" s="660" t="str">
        <f>IF(ISBLANK(B120),"",(B120))</f>
        <v>Number and percentage of M/XDR-TB patients on treatment receiving cash incentives for better adherence to treatment during out-patient phase</v>
      </c>
      <c r="C145" s="661"/>
      <c r="D145" s="662"/>
      <c r="E145" s="624">
        <f>IF(ISBLANK(E120),"",(E120))</f>
        <v>4.2</v>
      </c>
      <c r="F145" s="625" t="str">
        <f>IF(ISBLANK(F120),"",(F120))</f>
        <v>Yes</v>
      </c>
      <c r="G145" s="466" t="s">
        <v>86</v>
      </c>
      <c r="H145" s="467">
        <f t="shared" si="8"/>
        <v>70</v>
      </c>
      <c r="I145" s="467">
        <f>I120</f>
        <v>75</v>
      </c>
      <c r="J145" s="467">
        <f t="shared" si="8"/>
        <v>75</v>
      </c>
      <c r="K145" s="467">
        <f>K120</f>
        <v>75</v>
      </c>
      <c r="L145" s="467">
        <f t="shared" ref="L145:S145" si="10">L120</f>
        <v>75</v>
      </c>
      <c r="M145" s="467">
        <f t="shared" si="10"/>
        <v>75</v>
      </c>
      <c r="N145" s="467">
        <f t="shared" si="10"/>
        <v>75</v>
      </c>
      <c r="O145" s="467">
        <f t="shared" si="10"/>
        <v>75</v>
      </c>
      <c r="P145" s="467">
        <f t="shared" si="10"/>
        <v>75</v>
      </c>
      <c r="Q145" s="467">
        <f t="shared" si="10"/>
        <v>0</v>
      </c>
      <c r="R145" s="467">
        <f t="shared" si="10"/>
        <v>0</v>
      </c>
      <c r="S145" s="482">
        <f t="shared" si="10"/>
        <v>0</v>
      </c>
      <c r="T145" s="36"/>
      <c r="U145" s="36"/>
    </row>
    <row r="146" spans="1:21">
      <c r="A146" s="3"/>
      <c r="B146" s="660"/>
      <c r="C146" s="661"/>
      <c r="D146" s="662"/>
      <c r="E146" s="624"/>
      <c r="F146" s="625"/>
      <c r="G146" s="466" t="s">
        <v>87</v>
      </c>
      <c r="H146" s="467">
        <f t="shared" si="8"/>
        <v>69</v>
      </c>
      <c r="I146" s="467">
        <f t="shared" si="8"/>
        <v>70</v>
      </c>
      <c r="J146" s="467">
        <f t="shared" si="8"/>
        <v>72</v>
      </c>
      <c r="K146" s="467">
        <f t="shared" si="8"/>
        <v>73</v>
      </c>
      <c r="L146" s="467">
        <f t="shared" ref="L146:S146" si="11">L121</f>
        <v>80</v>
      </c>
      <c r="M146" s="467">
        <f t="shared" si="11"/>
        <v>70</v>
      </c>
      <c r="N146" s="467">
        <f t="shared" si="11"/>
        <v>83</v>
      </c>
      <c r="O146" s="467">
        <f t="shared" si="11"/>
        <v>81</v>
      </c>
      <c r="P146" s="467">
        <f t="shared" si="11"/>
        <v>0</v>
      </c>
      <c r="Q146" s="467">
        <f t="shared" si="11"/>
        <v>0</v>
      </c>
      <c r="R146" s="467">
        <f t="shared" si="11"/>
        <v>0</v>
      </c>
      <c r="S146" s="482">
        <f t="shared" si="11"/>
        <v>0</v>
      </c>
      <c r="T146" s="36"/>
      <c r="U146" s="36"/>
    </row>
    <row r="147" spans="1:21">
      <c r="A147" s="3"/>
      <c r="B147" s="612" t="str">
        <f>IF(ISBLANK(B122),"",(B122))</f>
        <v xml:space="preserve">
Number of notified cases of all forms of TB - (i.e. bacteriologically confirmed +clinically diagnosed) (new and relapse)
</v>
      </c>
      <c r="C147" s="613"/>
      <c r="D147" s="614"/>
      <c r="E147" s="626">
        <f>IF(ISBLANK(E122),"",(E122))</f>
        <v>3.1</v>
      </c>
      <c r="F147" s="628" t="str">
        <f>IF(ISBLANK(F122),"",(F122))</f>
        <v>Yes</v>
      </c>
      <c r="G147" s="131" t="s">
        <v>86</v>
      </c>
      <c r="H147" s="428">
        <f t="shared" si="8"/>
        <v>1018</v>
      </c>
      <c r="I147" s="428">
        <f t="shared" si="8"/>
        <v>1018</v>
      </c>
      <c r="J147" s="428">
        <f t="shared" si="8"/>
        <v>1017</v>
      </c>
      <c r="K147" s="428">
        <f t="shared" si="8"/>
        <v>1016</v>
      </c>
      <c r="L147" s="428">
        <f t="shared" ref="L147:S147" si="12">L122</f>
        <v>2032</v>
      </c>
      <c r="M147" s="428">
        <f t="shared" si="12"/>
        <v>1016</v>
      </c>
      <c r="N147" s="428">
        <f t="shared" si="12"/>
        <v>4063</v>
      </c>
      <c r="O147" s="428">
        <f t="shared" si="12"/>
        <v>1014</v>
      </c>
      <c r="P147" s="428">
        <f t="shared" si="12"/>
        <v>1014</v>
      </c>
      <c r="Q147" s="428">
        <f t="shared" si="12"/>
        <v>0</v>
      </c>
      <c r="R147" s="428">
        <f t="shared" si="12"/>
        <v>0</v>
      </c>
      <c r="S147" s="481">
        <f t="shared" si="12"/>
        <v>0</v>
      </c>
      <c r="T147" s="36"/>
      <c r="U147" s="36"/>
    </row>
    <row r="148" spans="1:21" ht="15" thickBot="1">
      <c r="A148" s="3"/>
      <c r="B148" s="615"/>
      <c r="C148" s="616"/>
      <c r="D148" s="617"/>
      <c r="E148" s="627"/>
      <c r="F148" s="629"/>
      <c r="G148" s="132" t="s">
        <v>87</v>
      </c>
      <c r="H148" s="429">
        <f t="shared" si="8"/>
        <v>702</v>
      </c>
      <c r="I148" s="429">
        <f t="shared" si="8"/>
        <v>646</v>
      </c>
      <c r="J148" s="429">
        <f t="shared" si="8"/>
        <v>784</v>
      </c>
      <c r="K148" s="429">
        <f t="shared" si="8"/>
        <v>757</v>
      </c>
      <c r="L148" s="429">
        <f t="shared" ref="L148:S148" si="13">L123</f>
        <v>1676</v>
      </c>
      <c r="M148" s="429">
        <f t="shared" si="13"/>
        <v>701</v>
      </c>
      <c r="N148" s="429">
        <f t="shared" si="13"/>
        <v>3136</v>
      </c>
      <c r="O148" s="429">
        <f t="shared" si="13"/>
        <v>761</v>
      </c>
      <c r="P148" s="429">
        <f t="shared" si="13"/>
        <v>0</v>
      </c>
      <c r="Q148" s="429">
        <f t="shared" si="13"/>
        <v>0</v>
      </c>
      <c r="R148" s="429">
        <f t="shared" si="13"/>
        <v>0</v>
      </c>
      <c r="S148" s="483">
        <f t="shared" si="13"/>
        <v>0</v>
      </c>
      <c r="T148" s="36"/>
      <c r="U148" s="36"/>
    </row>
    <row r="149" spans="1:21">
      <c r="A149" s="3"/>
      <c r="B149" s="3"/>
      <c r="C149" s="3"/>
      <c r="D149" s="3"/>
      <c r="E149" s="3"/>
      <c r="F149" s="3"/>
      <c r="G149" s="3"/>
      <c r="H149" s="3"/>
      <c r="I149" s="3"/>
      <c r="J149" s="3"/>
      <c r="K149" s="3"/>
      <c r="L149" s="3"/>
      <c r="M149" s="3"/>
      <c r="N149"/>
      <c r="O149"/>
      <c r="P149" s="36"/>
      <c r="Q149" s="36"/>
      <c r="S149" s="468"/>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B32 C33:N33 C31:C32 F32:H32">
    <cfRule type="expression" dxfId="42" priority="3" stopIfTrue="1">
      <formula>+AND(#REF!&gt;=#REF!,#REF!&lt;=#REF!)</formula>
    </cfRule>
  </conditionalFormatting>
  <conditionalFormatting sqref="C34:N34">
    <cfRule type="expression" dxfId="41" priority="4" stopIfTrue="1">
      <formula>+AND(#REF!&gt;=#REF!,#REF!&lt;=#REF!)</formula>
    </cfRule>
  </conditionalFormatting>
  <conditionalFormatting sqref="C30:N30 C94:N94">
    <cfRule type="cellIs" dxfId="40" priority="7" stopIfTrue="1" operator="equal">
      <formula>$C$16</formula>
    </cfRule>
  </conditionalFormatting>
  <conditionalFormatting sqref="C12:D12">
    <cfRule type="cellIs" dxfId="39" priority="9" stopIfTrue="1" operator="equal">
      <formula>"C"</formula>
    </cfRule>
    <cfRule type="cellIs" dxfId="38" priority="10" stopIfTrue="1" operator="equal">
      <formula>"B2"</formula>
    </cfRule>
    <cfRule type="cellIs" dxfId="37" priority="11" stopIfTrue="1" operator="equal">
      <formula>"B1"</formula>
    </cfRule>
  </conditionalFormatting>
  <conditionalFormatting sqref="H116:S117 H142:S142">
    <cfRule type="cellIs" dxfId="36" priority="18" stopIfTrue="1" operator="equal">
      <formula>$C$16</formula>
    </cfRule>
  </conditionalFormatting>
  <conditionalFormatting sqref="F47:I47">
    <cfRule type="expression" dxfId="35" priority="19" stopIfTrue="1">
      <formula>LEFT($F$47,2)="OK"</formula>
    </cfRule>
  </conditionalFormatting>
  <conditionalFormatting sqref="D32:E32">
    <cfRule type="expression" dxfId="34" priority="2" stopIfTrue="1">
      <formula>+AND(#REF!&gt;=#REF!,#REF!&lt;=#REF!)</formula>
    </cfRule>
  </conditionalFormatting>
  <conditionalFormatting sqref="I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headerFooter>
    <oddFooter>&amp;L&amp;F&amp;C&amp;A&amp;RV1.0          &amp;D</oddFooter>
  </headerFooter>
  <rowBreaks count="3" manualBreakCount="3">
    <brk id="27" max="16383" man="1"/>
    <brk id="65" max="16383" man="1"/>
    <brk id="67" max="16383" man="1"/>
  </rowBreaks>
  <ignoredErrors>
    <ignoredError sqref="H142:S142 E143 D32:E32 E97 E90 F96 C31:G31 H96 I32:J32 C53:C55 I97 C39:C43 C52:D52 D39:D43 D55 J96" unlockedFormula="1"/>
  </ignoredError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C31" sqref="C31"/>
    </sheetView>
  </sheetViews>
  <sheetFormatPr defaultColWidth="11.453125" defaultRowHeight="14.5"/>
  <cols>
    <col min="1" max="1" width="21.1796875" style="3" customWidth="1"/>
    <col min="2" max="2" width="12.453125" style="3" customWidth="1"/>
    <col min="3" max="3" width="20.453125" style="3" customWidth="1"/>
    <col min="4" max="4" width="15.26953125" style="3" customWidth="1"/>
    <col min="5" max="5" width="11.7265625" style="3" customWidth="1"/>
    <col min="6" max="6" width="10.7265625" style="3" customWidth="1"/>
    <col min="7" max="7" width="11.7265625" style="3" customWidth="1"/>
    <col min="8" max="8" width="15" style="3" customWidth="1"/>
    <col min="9" max="9" width="9.453125" style="3" customWidth="1"/>
    <col min="10" max="10" width="13" style="3" customWidth="1"/>
    <col min="11" max="11" width="11.453125" style="3" customWidth="1"/>
    <col min="12" max="12" width="8.1796875" style="3" customWidth="1"/>
    <col min="13" max="13" width="9.7265625" style="3" customWidth="1"/>
    <col min="14" max="14" width="8.453125" style="3" customWidth="1"/>
    <col min="15" max="15" width="7.1796875" style="3" customWidth="1"/>
    <col min="16" max="16384" width="11.453125" style="3"/>
  </cols>
  <sheetData>
    <row r="1" spans="1:24" ht="21" customHeight="1">
      <c r="A1" s="2"/>
      <c r="B1" s="2"/>
      <c r="C1" s="2"/>
      <c r="D1" s="2"/>
      <c r="E1" s="2"/>
      <c r="F1" s="2"/>
      <c r="G1" s="277"/>
      <c r="H1" s="2"/>
      <c r="I1" s="2"/>
      <c r="J1" s="2"/>
    </row>
    <row r="2" spans="1:24" ht="25.5" customHeight="1"/>
    <row r="3" spans="1:24" ht="36">
      <c r="B3" s="704" t="str">
        <f>+"Dashboard: "&amp;" "&amp;+IF('Data Entry'!C4="Please Select","",'Data Entry'!C4&amp;" - ")&amp;+IF('Data Entry'!G6="Please Select","",'Data Entry'!G6)</f>
        <v>Dashboard:  Georgia - TB</v>
      </c>
      <c r="C3" s="704"/>
      <c r="D3" s="704"/>
      <c r="E3" s="704"/>
      <c r="F3" s="704"/>
      <c r="G3" s="704"/>
      <c r="H3" s="704"/>
      <c r="I3" s="704"/>
      <c r="J3" s="70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5" t="str">
        <f>+IF('Data Entry'!C4="Please Select","",'Data Entry'!C4)</f>
        <v>Georgia</v>
      </c>
      <c r="C6" s="705"/>
      <c r="D6" s="708" t="s">
        <v>12</v>
      </c>
      <c r="E6" s="708"/>
      <c r="F6" s="709">
        <f>+'Data Entry'!G4</f>
        <v>0</v>
      </c>
      <c r="G6" s="709"/>
      <c r="H6" s="709"/>
      <c r="I6" s="709"/>
      <c r="J6" s="709"/>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07" t="s">
        <v>13</v>
      </c>
      <c r="F9" s="707"/>
      <c r="G9" s="353">
        <f>+IF(ISBLANK('Data Entry'!C10),"",'Data Entry'!C10)</f>
        <v>41730</v>
      </c>
      <c r="H9" s="387" t="s">
        <v>330</v>
      </c>
      <c r="I9" s="706">
        <f>+IF(ISBLANK('Data Entry'!I6),"",'Data Entry'!I6)</f>
        <v>11182992</v>
      </c>
      <c r="J9" s="706"/>
      <c r="K9" s="50"/>
      <c r="L9" s="50"/>
      <c r="M9" s="50"/>
      <c r="N9" s="50"/>
      <c r="O9" s="52"/>
      <c r="P9" s="51"/>
      <c r="Q9" s="52"/>
      <c r="R9" s="53"/>
      <c r="S9" s="17"/>
      <c r="T9" s="11"/>
      <c r="U9" s="11"/>
      <c r="V9" s="10"/>
      <c r="W9" s="10"/>
      <c r="X9" s="10"/>
    </row>
    <row r="10" spans="1:24" ht="25.5" customHeight="1">
      <c r="A10" s="387" t="s">
        <v>324</v>
      </c>
      <c r="B10" s="354" t="str">
        <f>+IF('Data Entry'!G8="Please Select","",'Data Entry'!G8)</f>
        <v>Round 10</v>
      </c>
      <c r="C10" s="228" t="s">
        <v>323</v>
      </c>
      <c r="D10" s="355" t="str">
        <f>+IF('Data Entry'!I8="Please Select","",'Data Entry'!I8)</f>
        <v>Phase 2</v>
      </c>
      <c r="E10" s="700" t="s">
        <v>269</v>
      </c>
      <c r="F10" s="700"/>
      <c r="G10" s="699" t="str">
        <f>+'Data Entry'!C8</f>
        <v>NCDC</v>
      </c>
      <c r="H10" s="699"/>
      <c r="I10" s="699"/>
      <c r="J10" s="699"/>
      <c r="K10" s="54"/>
      <c r="L10" s="54"/>
      <c r="M10" s="50"/>
      <c r="N10" s="54"/>
      <c r="O10" s="52"/>
      <c r="P10" s="51"/>
      <c r="Q10" s="11"/>
      <c r="R10" s="53"/>
      <c r="S10" s="17"/>
      <c r="T10" s="11"/>
      <c r="U10" s="11"/>
    </row>
    <row r="11" spans="1:24" ht="25.5" customHeight="1">
      <c r="A11" s="387" t="s">
        <v>21</v>
      </c>
      <c r="B11" s="356" t="str">
        <f>+'Data Entry'!C16</f>
        <v>P8</v>
      </c>
      <c r="C11" s="337" t="s">
        <v>267</v>
      </c>
      <c r="D11" s="357">
        <f>+IF(ISBLANK('Data Entry'!E16),"",'Data Entry'!E16)</f>
        <v>42370</v>
      </c>
      <c r="E11" s="707" t="s">
        <v>22</v>
      </c>
      <c r="F11" s="707"/>
      <c r="G11" s="357">
        <f>+IF(ISBLANK('Data Entry'!G16),"",'Data Entry'!G16)</f>
        <v>42460</v>
      </c>
      <c r="H11" s="387" t="s">
        <v>29</v>
      </c>
      <c r="I11" s="701" t="str">
        <f>+IF('Data Entry'!C12="Please Select","",'Data Entry'!C12)</f>
        <v>A2</v>
      </c>
      <c r="J11" s="701"/>
      <c r="K11" s="276"/>
      <c r="L11" s="54"/>
      <c r="M11" s="50"/>
      <c r="N11" s="54"/>
      <c r="O11" s="54"/>
      <c r="P11" s="51"/>
      <c r="Q11" s="11"/>
      <c r="R11" s="53"/>
      <c r="S11" s="17"/>
      <c r="T11" s="12"/>
      <c r="U11" s="11"/>
    </row>
    <row r="12" spans="1:24" ht="25.5" customHeight="1">
      <c r="A12" s="387" t="s">
        <v>31</v>
      </c>
      <c r="B12" s="699" t="str">
        <f>+IF('Data Entry'!G10="Please Select","",'Data Entry'!G10)</f>
        <v>UNOPS</v>
      </c>
      <c r="C12" s="699"/>
      <c r="D12" s="699"/>
      <c r="E12" s="700" t="s">
        <v>290</v>
      </c>
      <c r="F12" s="700"/>
      <c r="G12" s="699" t="str">
        <f>+'Data Entry'!G12</f>
        <v>Tsovinar Sakanian</v>
      </c>
      <c r="H12" s="699"/>
      <c r="I12" s="699"/>
      <c r="J12" s="699"/>
      <c r="K12" s="54"/>
      <c r="L12" s="54"/>
      <c r="M12" s="50"/>
      <c r="N12" s="54"/>
      <c r="O12" s="17"/>
      <c r="P12" s="51"/>
      <c r="Q12" s="11"/>
      <c r="R12" s="53"/>
      <c r="S12" s="17"/>
      <c r="T12" s="11"/>
      <c r="U12" s="55"/>
      <c r="V12" s="11"/>
      <c r="W12" s="12"/>
      <c r="X12" s="11"/>
    </row>
    <row r="13" spans="1:24" ht="25.5" customHeight="1">
      <c r="A13" s="387" t="s">
        <v>32</v>
      </c>
      <c r="B13" s="699" t="str">
        <f>+'Data Entry'!D18</f>
        <v>Giorgi Kuchukhidze</v>
      </c>
      <c r="C13" s="699"/>
      <c r="D13" s="699"/>
      <c r="E13" s="700" t="s">
        <v>30</v>
      </c>
      <c r="F13" s="700"/>
      <c r="G13" s="702">
        <f>+IF(ISBLANK('Data Entry'!J16),"",'Data Entry'!J16)</f>
        <v>42508</v>
      </c>
      <c r="H13" s="703"/>
      <c r="I13" s="703"/>
      <c r="J13" s="70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4.5"/>
  <cols>
    <col min="1" max="1" width="3.453125" customWidth="1"/>
    <col min="2" max="2" width="11.26953125" customWidth="1"/>
    <col min="3" max="3" width="5.1796875" customWidth="1"/>
    <col min="4" max="4" width="12.453125" customWidth="1"/>
    <col min="5" max="5" width="11.453125" customWidth="1"/>
    <col min="6" max="6" width="14.26953125" customWidth="1"/>
    <col min="7" max="7" width="3.81640625" customWidth="1"/>
    <col min="8" max="8" width="10.453125" customWidth="1"/>
    <col min="9" max="9" width="14.7265625" customWidth="1"/>
    <col min="10" max="10" width="12" customWidth="1"/>
    <col min="11" max="11" width="11.7265625" customWidth="1"/>
  </cols>
  <sheetData>
    <row r="1" spans="2:15" ht="30.75" customHeight="1">
      <c r="B1" s="3"/>
      <c r="C1" s="3"/>
      <c r="D1" s="3"/>
      <c r="E1" s="3"/>
      <c r="F1" s="3"/>
      <c r="G1" s="3"/>
      <c r="H1" s="3"/>
      <c r="I1" s="3"/>
      <c r="J1" s="3"/>
      <c r="K1" s="3"/>
    </row>
    <row r="2" spans="2:15" ht="27.75" customHeight="1">
      <c r="B2" s="657" t="str">
        <f>+"Dashboard:  "&amp;"  "&amp;IF(+'Data Entry'!C4="Please Select","",'Data Entry'!C4&amp;" - ")&amp;IF('Data Entry'!G6="Please Select","",'Data Entry'!G6)</f>
        <v>Dashboard:    Georgia - TB</v>
      </c>
      <c r="C2" s="657"/>
      <c r="D2" s="657"/>
      <c r="E2" s="657"/>
      <c r="F2" s="657"/>
      <c r="G2" s="657"/>
      <c r="H2" s="657"/>
      <c r="I2" s="657"/>
      <c r="J2" s="657"/>
      <c r="K2" s="657"/>
      <c r="L2" s="1"/>
      <c r="M2" s="1"/>
      <c r="N2" s="1"/>
      <c r="O2" s="1"/>
    </row>
    <row r="3" spans="2:15">
      <c r="B3" s="135" t="str">
        <f>+IF('Data Entry'!G8="Please Select","",'Data Entry'!G8)</f>
        <v>Round 10</v>
      </c>
      <c r="C3" s="725" t="str">
        <f>+IF('Data Entry'!I8="Please Select","",'Data Entry'!I8)</f>
        <v>Phase 2</v>
      </c>
      <c r="D3" s="725"/>
      <c r="E3" s="724"/>
      <c r="F3" s="724"/>
      <c r="G3" s="724"/>
      <c r="H3" s="724"/>
      <c r="I3" s="722" t="str">
        <f>+'Data Entry'!B16</f>
        <v>Report Period:</v>
      </c>
      <c r="J3" s="722"/>
      <c r="K3" s="201" t="str">
        <f>+'Data Entry'!C16</f>
        <v>P8</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42370</v>
      </c>
    </row>
    <row r="5" spans="2:15" ht="18.75" customHeight="1">
      <c r="B5" s="135"/>
      <c r="C5" s="135"/>
      <c r="D5" s="721">
        <f>+'Data Entry'!G4</f>
        <v>0</v>
      </c>
      <c r="E5" s="721"/>
      <c r="F5" s="721"/>
      <c r="G5" s="721"/>
      <c r="H5" s="721"/>
      <c r="I5" s="721"/>
      <c r="J5" s="135" t="str">
        <f>+'Data Entry'!F16</f>
        <v>To:</v>
      </c>
      <c r="K5" s="203">
        <f>+IF(ISBLANK('Data Entry'!G16),"",'Data Entry'!G16)</f>
        <v>42460</v>
      </c>
    </row>
    <row r="6" spans="2:15" ht="18.5">
      <c r="B6" s="139"/>
      <c r="C6" s="135"/>
      <c r="D6" s="136"/>
      <c r="E6" s="710" t="s">
        <v>63</v>
      </c>
      <c r="F6" s="710"/>
      <c r="G6" s="710"/>
      <c r="H6" s="710"/>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P8</v>
      </c>
      <c r="C8" s="145"/>
      <c r="D8" s="2"/>
      <c r="E8" s="2"/>
      <c r="F8" s="2"/>
      <c r="H8" s="206" t="str">
        <f>+'Data Entry'!B49&amp; " - in ("&amp;'Data Entry'!D26&amp;")         "&amp;+I3&amp;" "&amp;+K3</f>
        <v>F3: Disbursements and expenditures - in (€)         Report Period: P8</v>
      </c>
      <c r="I8" s="3"/>
      <c r="J8" s="3"/>
      <c r="K8" s="3"/>
    </row>
    <row r="9" spans="2:15">
      <c r="B9" s="361" t="s">
        <v>9</v>
      </c>
      <c r="C9" s="718"/>
      <c r="D9" s="719"/>
      <c r="E9" s="719"/>
      <c r="F9" s="720"/>
      <c r="H9" s="362" t="s">
        <v>9</v>
      </c>
      <c r="I9" s="727"/>
      <c r="J9" s="719"/>
      <c r="K9" s="72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P8</v>
      </c>
      <c r="C22" s="2"/>
      <c r="D22" s="2"/>
      <c r="E22" s="2"/>
      <c r="F22" s="2"/>
      <c r="H22" s="207" t="str">
        <f>+'Data Entry'!B58&amp;"      "&amp;+I3&amp;" "&amp;+K3</f>
        <v>F4: Latest PR reporting and disbursement cycle      Report Period: P8</v>
      </c>
      <c r="J22" s="3"/>
      <c r="K22" s="3"/>
    </row>
    <row r="23" spans="1:11">
      <c r="B23" s="362" t="s">
        <v>10</v>
      </c>
      <c r="C23" s="727"/>
      <c r="D23" s="719"/>
      <c r="E23" s="719"/>
      <c r="F23" s="720"/>
      <c r="G23" s="384"/>
      <c r="H23" s="362" t="s">
        <v>9</v>
      </c>
      <c r="I23" s="727"/>
      <c r="J23" s="728"/>
      <c r="K23" s="729"/>
    </row>
    <row r="24" spans="1:11" ht="15" thickBot="1">
      <c r="B24" s="216"/>
      <c r="C24" s="216"/>
      <c r="D24" s="216"/>
      <c r="E24" s="216"/>
      <c r="F24" s="216"/>
      <c r="G24" s="216"/>
      <c r="H24" s="217"/>
      <c r="I24" s="217"/>
      <c r="J24" s="216"/>
      <c r="K24" s="216"/>
    </row>
    <row r="25" spans="1:11" ht="29.25" customHeight="1" thickBot="1">
      <c r="B25" s="3"/>
      <c r="C25" s="3"/>
      <c r="D25" s="3"/>
      <c r="E25" s="3"/>
      <c r="F25" s="3"/>
      <c r="G25" s="335"/>
      <c r="H25" s="711" t="s">
        <v>309</v>
      </c>
      <c r="I25" s="712"/>
      <c r="J25" s="712"/>
      <c r="K25" s="713"/>
    </row>
    <row r="26" spans="1:11">
      <c r="B26" s="3"/>
      <c r="C26" s="3"/>
      <c r="D26" s="3"/>
      <c r="E26" s="3"/>
      <c r="F26" s="3"/>
      <c r="G26" s="295"/>
      <c r="H26" s="714"/>
      <c r="I26" s="715"/>
      <c r="J26" s="311" t="s">
        <v>61</v>
      </c>
      <c r="K26" s="312" t="s">
        <v>62</v>
      </c>
    </row>
    <row r="27" spans="1:11" ht="23.25" customHeight="1">
      <c r="B27" s="3"/>
      <c r="C27" s="3"/>
      <c r="D27" s="3"/>
      <c r="E27" s="3"/>
      <c r="F27" s="3"/>
      <c r="G27" s="336"/>
      <c r="H27" s="716" t="str">
        <f>'Data Entry'!B62</f>
        <v>Days taken to submit final PU/DR to LFA</v>
      </c>
      <c r="I27" s="717"/>
      <c r="J27" s="313">
        <f>+'Data Entry'!C62</f>
        <v>75</v>
      </c>
      <c r="K27" s="310">
        <f>+'Data Entry'!D62</f>
        <v>75</v>
      </c>
    </row>
    <row r="28" spans="1:11" ht="21" customHeight="1">
      <c r="B28" s="3"/>
      <c r="C28" s="3"/>
      <c r="D28" s="3"/>
      <c r="E28" s="3"/>
      <c r="F28" s="3"/>
      <c r="G28" s="336"/>
      <c r="H28" s="716" t="str">
        <f>'Data Entry'!B63</f>
        <v>Days taken for disbursement to reach PR</v>
      </c>
      <c r="I28" s="717"/>
      <c r="J28" s="313">
        <f>+'Data Entry'!C63</f>
        <v>45</v>
      </c>
      <c r="K28" s="310" t="str">
        <f>+'Data Entry'!D63</f>
        <v>N/A</v>
      </c>
    </row>
    <row r="29" spans="1:11" ht="21" customHeight="1" thickBot="1">
      <c r="B29" s="3"/>
      <c r="C29" s="3"/>
      <c r="D29" s="3"/>
      <c r="E29" s="3"/>
      <c r="F29" s="3"/>
      <c r="G29" s="336"/>
      <c r="H29" s="730" t="str">
        <f>'Data Entry'!B64</f>
        <v xml:space="preserve">Days taken for disbursement to reach SRs </v>
      </c>
      <c r="I29" s="731"/>
      <c r="J29" s="314">
        <f>+'Data Entry'!C64</f>
        <v>5</v>
      </c>
      <c r="K29" s="315">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I16" sqref="I16:L16"/>
    </sheetView>
  </sheetViews>
  <sheetFormatPr defaultColWidth="11" defaultRowHeight="14.5"/>
  <cols>
    <col min="1" max="1" width="3.26953125" customWidth="1"/>
    <col min="2" max="2" width="10.453125" customWidth="1"/>
    <col min="3" max="3" width="12.453125" customWidth="1"/>
    <col min="4" max="4" width="13.1796875" customWidth="1"/>
    <col min="5" max="5" width="11.453125" customWidth="1"/>
    <col min="6" max="6" width="17" customWidth="1"/>
    <col min="7" max="7" width="3.81640625" customWidth="1"/>
    <col min="8" max="8" width="9.81640625" customWidth="1"/>
    <col min="9" max="9" width="13" customWidth="1"/>
    <col min="10" max="10" width="13.7265625" customWidth="1"/>
    <col min="11" max="11" width="13.453125" customWidth="1"/>
    <col min="12" max="12" width="14.1796875" customWidth="1"/>
  </cols>
  <sheetData>
    <row r="1" spans="1:16" ht="28.5" customHeight="1">
      <c r="C1" s="234"/>
      <c r="E1" s="235"/>
    </row>
    <row r="2" spans="1:16" ht="27.75" customHeight="1">
      <c r="B2" s="742" t="str">
        <f>+"Dashboard:  "&amp;"  "&amp;IF(+'Data Entry'!C4="Please Select","",'Data Entry'!C4&amp;" - ")&amp;IF('Data Entry'!G6="Please Select","",'Data Entry'!G6)</f>
        <v>Dashboard:    Georgia - TB</v>
      </c>
      <c r="C2" s="742"/>
      <c r="D2" s="742"/>
      <c r="E2" s="742"/>
      <c r="F2" s="742"/>
      <c r="G2" s="742"/>
      <c r="H2" s="742"/>
      <c r="I2" s="742"/>
      <c r="J2" s="742"/>
      <c r="K2" s="742"/>
      <c r="L2" s="742"/>
      <c r="M2" s="26"/>
      <c r="N2" s="26"/>
      <c r="O2" s="26"/>
      <c r="P2" s="26"/>
    </row>
    <row r="3" spans="1:16">
      <c r="B3" s="24" t="str">
        <f>+IF('Data Entry'!G8="Please Select","",'Data Entry'!G8)</f>
        <v>Round 10</v>
      </c>
      <c r="C3" s="741" t="str">
        <f>+IF('Data Entry'!I8="Please Select","",'Data Entry'!I8)</f>
        <v>Phase 2</v>
      </c>
      <c r="D3" s="741"/>
      <c r="E3" s="739"/>
      <c r="F3" s="739"/>
      <c r="G3" s="739"/>
      <c r="H3" s="739"/>
      <c r="I3" s="739"/>
      <c r="J3" s="735" t="str">
        <f>+'Data Entry'!B16</f>
        <v>Report Period:</v>
      </c>
      <c r="K3" s="735"/>
      <c r="L3" s="201" t="str">
        <f>+'Data Entry'!C16</f>
        <v>P8</v>
      </c>
    </row>
    <row r="4" spans="1:16">
      <c r="B4" s="24" t="str">
        <f>+'Data Entry'!B12</f>
        <v>Latest Rating:</v>
      </c>
      <c r="C4" s="726" t="str">
        <f>+IF('Data Entry'!C12="Please Select","",'Data Entry'!C12)</f>
        <v>A2</v>
      </c>
      <c r="D4" s="726"/>
      <c r="E4" s="739" t="str">
        <f>+'Data Entry'!C8</f>
        <v>NCDC</v>
      </c>
      <c r="F4" s="739"/>
      <c r="G4" s="739"/>
      <c r="H4" s="739"/>
      <c r="I4" s="739"/>
      <c r="J4" s="735" t="str">
        <f>+'Data Entry'!D16</f>
        <v>From:</v>
      </c>
      <c r="K4" s="736"/>
      <c r="L4" s="203">
        <f>+IF(ISBLANK('Data Entry'!E16),"",'Data Entry'!E16)</f>
        <v>42370</v>
      </c>
    </row>
    <row r="5" spans="1:16" ht="18.75" customHeight="1">
      <c r="B5" s="24"/>
      <c r="C5" s="24"/>
      <c r="D5" s="739">
        <f>+'Data Entry'!G4</f>
        <v>0</v>
      </c>
      <c r="E5" s="739"/>
      <c r="F5" s="739"/>
      <c r="G5" s="739"/>
      <c r="H5" s="739"/>
      <c r="I5" s="739"/>
      <c r="J5" s="739"/>
      <c r="K5" s="24" t="str">
        <f>+'Data Entry'!F16</f>
        <v>To:</v>
      </c>
      <c r="L5" s="203">
        <f>+IF(ISBLANK('Data Entry'!G16),"",'Data Entry'!G16)</f>
        <v>42460</v>
      </c>
    </row>
    <row r="6" spans="1:16" ht="18.5">
      <c r="B6" s="23"/>
      <c r="C6" s="24"/>
      <c r="D6" s="25"/>
      <c r="E6" s="743" t="s">
        <v>70</v>
      </c>
      <c r="F6" s="743"/>
      <c r="G6" s="743"/>
      <c r="H6" s="743"/>
      <c r="I6" s="743"/>
    </row>
    <row r="7" spans="1:16">
      <c r="B7" s="385" t="str">
        <f>+'Data Entry'!B69&amp;"                "&amp;+J3&amp;" "&amp;+L3</f>
        <v>M1: Status of Conditions Precedent (CPs) and Time Bound Actions (TBAs)                Report Period: P8</v>
      </c>
      <c r="C7" s="21"/>
      <c r="H7" s="385" t="str">
        <f>+'Data Entry'!B76&amp;"                                                                             "&amp;+J3&amp;"  "&amp;+L3</f>
        <v>M2: Status of key PR management positions                                                                             Report Period:  P8</v>
      </c>
    </row>
    <row r="8" spans="1:16">
      <c r="B8" s="363" t="s">
        <v>9</v>
      </c>
      <c r="C8" s="727"/>
      <c r="D8" s="728"/>
      <c r="E8" s="728"/>
      <c r="F8" s="729"/>
      <c r="G8" s="386"/>
      <c r="H8" s="362" t="s">
        <v>9</v>
      </c>
      <c r="I8" s="727"/>
      <c r="J8" s="737"/>
      <c r="K8" s="737"/>
      <c r="L8" s="738"/>
    </row>
    <row r="9" spans="1:16">
      <c r="B9" s="19"/>
      <c r="C9" s="19"/>
      <c r="D9" s="19"/>
      <c r="E9" s="19"/>
      <c r="F9" s="19"/>
      <c r="G9" s="19"/>
      <c r="H9" s="19"/>
    </row>
    <row r="10" spans="1:16">
      <c r="A10" s="47"/>
      <c r="B10" s="19"/>
      <c r="C10" s="19"/>
      <c r="D10" s="740"/>
      <c r="E10" s="531"/>
      <c r="F10" s="531"/>
      <c r="G10" s="210"/>
      <c r="H10" s="19"/>
      <c r="N10" s="49"/>
      <c r="O10" s="49"/>
      <c r="P10" s="48"/>
    </row>
    <row r="11" spans="1:16">
      <c r="B11" s="19"/>
      <c r="C11" s="28"/>
      <c r="D11" s="740"/>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P8</v>
      </c>
      <c r="H15" s="385" t="str">
        <f>+'Data Entry'!B86&amp;"                                                             "&amp;+J3&amp;" "&amp;+L3</f>
        <v>M4: Number of complete reports received on time                                                             Report Period: P8</v>
      </c>
    </row>
    <row r="16" spans="1:16">
      <c r="B16" s="363" t="s">
        <v>9</v>
      </c>
      <c r="C16" s="727"/>
      <c r="D16" s="737"/>
      <c r="E16" s="737"/>
      <c r="F16" s="738"/>
      <c r="G16" s="386"/>
      <c r="H16" s="362" t="s">
        <v>9</v>
      </c>
      <c r="I16" s="727"/>
      <c r="J16" s="728"/>
      <c r="K16" s="728"/>
      <c r="L16" s="729"/>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P8</v>
      </c>
    </row>
    <row r="27" spans="2:13">
      <c r="B27" s="361" t="s">
        <v>9</v>
      </c>
      <c r="C27" s="718"/>
      <c r="D27" s="737"/>
      <c r="E27" s="737"/>
      <c r="F27" s="738"/>
      <c r="G27" s="386"/>
      <c r="H27" s="362" t="s">
        <v>9</v>
      </c>
      <c r="I27" s="727" t="s">
        <v>432</v>
      </c>
      <c r="J27" s="728"/>
      <c r="K27" s="728"/>
      <c r="L27" s="729"/>
    </row>
    <row r="28" spans="2:13" ht="15" thickBot="1"/>
    <row r="29" spans="2:13" ht="44.25" customHeight="1">
      <c r="F29" s="342"/>
      <c r="G29" s="342"/>
      <c r="H29" s="222" t="s">
        <v>33</v>
      </c>
      <c r="I29" s="338" t="s">
        <v>80</v>
      </c>
      <c r="J29" s="359" t="s">
        <v>344</v>
      </c>
      <c r="K29" s="221" t="s">
        <v>332</v>
      </c>
      <c r="L29" s="339" t="s">
        <v>331</v>
      </c>
    </row>
    <row r="30" spans="2:13" ht="15" customHeight="1">
      <c r="F30" s="342"/>
      <c r="G30" s="342"/>
      <c r="H30" s="732" t="str">
        <f>+'Data Entry'!B108</f>
        <v>TB</v>
      </c>
      <c r="I30" s="340" t="str">
        <f>+'Data Entry'!C108</f>
        <v>Cycloserine</v>
      </c>
      <c r="J30" s="453">
        <f>+'Data Entry'!I108</f>
        <v>9.7641025641025649</v>
      </c>
      <c r="K30" s="454">
        <f>+'Data Entry'!J108</f>
        <v>4</v>
      </c>
      <c r="L30" s="431">
        <f>+'Data Entry'!K108</f>
        <v>5.7641025641025649</v>
      </c>
    </row>
    <row r="31" spans="2:13">
      <c r="F31" s="342"/>
      <c r="G31" s="342"/>
      <c r="H31" s="733"/>
      <c r="I31" s="340" t="str">
        <f>+'Data Entry'!C109</f>
        <v>PAS</v>
      </c>
      <c r="J31" s="453">
        <f>+'Data Entry'!I109</f>
        <v>13.80638888888889</v>
      </c>
      <c r="K31" s="454">
        <f>+'Data Entry'!J109</f>
        <v>4</v>
      </c>
      <c r="L31" s="432">
        <f>+'Data Entry'!K109</f>
        <v>9.8063888888888897</v>
      </c>
    </row>
    <row r="32" spans="2:13">
      <c r="F32" s="342"/>
      <c r="G32" s="342"/>
      <c r="H32" s="733"/>
      <c r="I32" s="340" t="str">
        <f>+'Data Entry'!C110</f>
        <v>Clarithromycin</v>
      </c>
      <c r="J32" s="453">
        <f>+'Data Entry'!I110</f>
        <v>13.029333333333334</v>
      </c>
      <c r="K32" s="454">
        <f>+'Data Entry'!J110</f>
        <v>4</v>
      </c>
      <c r="L32" s="431">
        <f>+'Data Entry'!K110</f>
        <v>9.0293333333333337</v>
      </c>
    </row>
    <row r="33" spans="2:12" ht="15" thickBot="1">
      <c r="F33" s="342"/>
      <c r="G33" s="342"/>
      <c r="H33" s="734"/>
      <c r="I33" s="341" t="str">
        <f>+'Data Entry'!C111</f>
        <v>Clofazimine</v>
      </c>
      <c r="J33" s="455">
        <f>+'Data Entry'!I111</f>
        <v>14.74388888888889</v>
      </c>
      <c r="K33" s="456">
        <f>+'Data Entry'!J111</f>
        <v>4</v>
      </c>
      <c r="L33" s="431">
        <f>+'Data Entry'!K111</f>
        <v>10.74388888888889</v>
      </c>
    </row>
    <row r="34" spans="2:12" ht="24.75" customHeight="1">
      <c r="B34" s="744" t="str">
        <f>+'Data Entry'!B102</f>
        <v>* Includes only EFR category 4 and 5  (Health products and health equipment &amp; Medicines and Pharmaceuticals)</v>
      </c>
      <c r="C34" s="744"/>
      <c r="D34" s="744"/>
      <c r="E34" s="744"/>
      <c r="F34" s="19"/>
      <c r="G34" s="19"/>
      <c r="H34" s="218"/>
      <c r="I34" s="219"/>
      <c r="J34" s="220"/>
      <c r="K34" s="210"/>
      <c r="L34" s="20"/>
    </row>
    <row r="35" spans="2:12">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2" zoomScale="150" zoomScaleNormal="150" zoomScalePageLayoutView="150" workbookViewId="0">
      <selection activeCell="F23" sqref="F23"/>
    </sheetView>
  </sheetViews>
  <sheetFormatPr defaultColWidth="11" defaultRowHeight="14.5"/>
  <cols>
    <col min="1" max="1" width="0.453125" customWidth="1"/>
    <col min="2" max="2" width="11.26953125" customWidth="1"/>
    <col min="3" max="3" width="16.1796875" customWidth="1"/>
    <col min="4" max="4" width="17.26953125" customWidth="1"/>
    <col min="5" max="5" width="8" customWidth="1"/>
    <col min="6" max="6" width="7.7265625" customWidth="1"/>
    <col min="7" max="7" width="5.7265625" customWidth="1"/>
    <col min="8" max="8" width="6.26953125" customWidth="1"/>
    <col min="9" max="9" width="6" customWidth="1"/>
    <col min="10" max="10" width="4.1796875" customWidth="1"/>
    <col min="11" max="11" width="12.453125" customWidth="1"/>
    <col min="12" max="12" width="8.453125" customWidth="1"/>
    <col min="13" max="13" width="5" customWidth="1"/>
    <col min="14" max="14" width="6.453125" customWidth="1"/>
    <col min="15" max="15" width="4.1796875" customWidth="1"/>
    <col min="16" max="16" width="10.7265625" customWidth="1"/>
    <col min="17" max="17" width="11.7265625" customWidth="1"/>
    <col min="18" max="18" width="6.453125" customWidth="1"/>
  </cols>
  <sheetData>
    <row r="1" spans="1:35" ht="26.25" customHeight="1">
      <c r="A1" s="3"/>
      <c r="B1" s="3"/>
      <c r="C1" s="3"/>
      <c r="D1" s="3"/>
      <c r="E1" s="3"/>
      <c r="F1" s="3"/>
      <c r="G1" s="3"/>
      <c r="H1" s="3"/>
      <c r="I1" s="3"/>
      <c r="J1" s="3"/>
      <c r="K1" s="3"/>
      <c r="L1" s="3"/>
      <c r="M1" s="3"/>
      <c r="N1" s="3"/>
      <c r="O1" s="3"/>
      <c r="P1" s="3"/>
    </row>
    <row r="2" spans="1:35" ht="21.75" customHeight="1">
      <c r="A2" s="3"/>
      <c r="B2" s="745" t="str">
        <f>+"Dashboard:  "&amp;"  "&amp;IF(+'Data Entry'!C4="Please Select","",'Data Entry'!C4&amp;" - ")&amp;IF('Data Entry'!G6="Please Select","",'Data Entry'!G6)</f>
        <v>Dashboard:    Georgia - TB</v>
      </c>
      <c r="C2" s="745"/>
      <c r="D2" s="745"/>
      <c r="E2" s="745"/>
      <c r="F2" s="745"/>
      <c r="G2" s="745"/>
      <c r="H2" s="745"/>
      <c r="I2" s="745"/>
      <c r="J2" s="745"/>
      <c r="K2" s="745"/>
      <c r="L2" s="745"/>
      <c r="M2" s="745"/>
      <c r="N2" s="745"/>
      <c r="O2" s="745"/>
      <c r="P2" s="745"/>
      <c r="Q2" s="745"/>
    </row>
    <row r="3" spans="1:35" ht="18.5">
      <c r="A3" s="3"/>
      <c r="B3" s="135" t="str">
        <f>+IF('Data Entry'!G8="Please Select","",'Data Entry'!G8)</f>
        <v>Round 10</v>
      </c>
      <c r="C3" s="725" t="str">
        <f>+IF('Data Entry'!I8="Please Select","",'Data Entry'!I8)</f>
        <v>Phase 2</v>
      </c>
      <c r="D3" s="725"/>
      <c r="E3" s="724"/>
      <c r="F3" s="724"/>
      <c r="G3" s="724"/>
      <c r="H3" s="724"/>
      <c r="I3" s="748"/>
      <c r="J3" s="748"/>
      <c r="K3" s="748"/>
      <c r="L3" s="3"/>
      <c r="M3" s="3"/>
      <c r="O3" s="722" t="str">
        <f>+'Data Entry'!B16</f>
        <v>Report Period:</v>
      </c>
      <c r="P3" s="722"/>
      <c r="Q3" s="202" t="str">
        <f>+'Data Entry'!C16</f>
        <v>P8</v>
      </c>
    </row>
    <row r="4" spans="1:35" ht="12" customHeight="1">
      <c r="A4" s="3"/>
      <c r="B4" s="135" t="str">
        <f>+'Data Entry'!B12</f>
        <v>Latest Rating:</v>
      </c>
      <c r="C4" s="749" t="str">
        <f>+IF('Data Entry'!C12="Please Select","",'Data Entry'!C12)</f>
        <v>A2</v>
      </c>
      <c r="D4" s="749"/>
      <c r="E4" s="724" t="str">
        <f>+'Data Entry'!C8</f>
        <v>NCDC</v>
      </c>
      <c r="F4" s="724"/>
      <c r="G4" s="724"/>
      <c r="H4" s="724"/>
      <c r="I4" s="724"/>
      <c r="J4" s="724"/>
      <c r="K4" s="724"/>
      <c r="L4" s="724"/>
      <c r="M4" s="3"/>
      <c r="O4" s="344"/>
      <c r="P4" s="135" t="str">
        <f>+'Data Entry'!D16</f>
        <v>From:</v>
      </c>
      <c r="Q4" s="345">
        <f>+IF(ISBLANK('Data Entry'!E16),"",'Data Entry'!E16)</f>
        <v>42370</v>
      </c>
      <c r="Y4" s="71"/>
      <c r="Z4" s="71"/>
      <c r="AA4" s="71"/>
      <c r="AB4" s="71"/>
      <c r="AC4" s="71"/>
    </row>
    <row r="5" spans="1:35" ht="15.75" customHeight="1">
      <c r="A5" s="3"/>
      <c r="B5" s="135"/>
      <c r="C5" s="135"/>
      <c r="D5" s="724">
        <f>+'Data Entry'!G4</f>
        <v>0</v>
      </c>
      <c r="E5" s="724"/>
      <c r="F5" s="724"/>
      <c r="G5" s="724"/>
      <c r="H5" s="724"/>
      <c r="I5" s="724"/>
      <c r="J5" s="724"/>
      <c r="K5" s="724"/>
      <c r="L5" s="724"/>
      <c r="M5" s="724"/>
      <c r="N5" s="724"/>
      <c r="P5" s="135" t="str">
        <f>+'Data Entry'!F16</f>
        <v>To:</v>
      </c>
      <c r="Q5" s="345">
        <f>+IF(ISBLANK('Data Entry'!G16),"",'Data Entry'!G16)</f>
        <v>42460</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47" t="s">
        <v>394</v>
      </c>
      <c r="G6" s="747"/>
      <c r="H6" s="747"/>
      <c r="I6" s="747"/>
      <c r="J6" s="747"/>
      <c r="K6" s="747"/>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46" t="str">
        <f>+'Data Entry'!B118</f>
        <v xml:space="preserve">Percentage of TB patients who had an HIV test result recorded in the TB register </v>
      </c>
      <c r="C8" s="746"/>
      <c r="D8" s="746"/>
      <c r="E8" s="746"/>
      <c r="F8" s="746" t="str">
        <f>+'Data Entry'!B120</f>
        <v>Number and percentage of M/XDR-TB patients on treatment receiving cash incentives for better adherence to treatment during out-patient phase</v>
      </c>
      <c r="G8" s="746"/>
      <c r="H8" s="746"/>
      <c r="I8" s="746"/>
      <c r="J8" s="746"/>
      <c r="K8" s="746"/>
      <c r="L8" s="746" t="str">
        <f>+'Data Entry'!B122</f>
        <v xml:space="preserve">
Number of notified cases of all forms of TB - (i.e. bacteriologically confirmed +clinically diagnosed) (new and relapse)
</v>
      </c>
      <c r="M8" s="746"/>
      <c r="N8" s="746"/>
      <c r="O8" s="746"/>
      <c r="P8" s="746"/>
      <c r="Q8" s="746"/>
      <c r="S8" s="229"/>
      <c r="T8" s="229"/>
      <c r="U8" s="229"/>
      <c r="V8" s="229"/>
      <c r="W8" s="229"/>
      <c r="X8" s="229"/>
      <c r="Y8" s="71"/>
      <c r="Z8" s="71"/>
      <c r="AA8" s="71"/>
      <c r="AB8" s="71"/>
      <c r="AC8" s="71"/>
      <c r="AD8" s="229"/>
      <c r="AE8" s="229"/>
      <c r="AF8" s="229"/>
      <c r="AG8" s="229"/>
      <c r="AH8" s="229"/>
      <c r="AI8" s="229"/>
    </row>
    <row r="9" spans="1:35" ht="24" customHeight="1">
      <c r="A9" s="3"/>
      <c r="B9" s="484" t="s">
        <v>413</v>
      </c>
      <c r="C9" s="776"/>
      <c r="D9" s="777"/>
      <c r="E9" s="778"/>
      <c r="F9" s="484" t="s">
        <v>414</v>
      </c>
      <c r="G9" s="776"/>
      <c r="H9" s="777"/>
      <c r="I9" s="777"/>
      <c r="J9" s="777"/>
      <c r="K9" s="778"/>
      <c r="L9" s="484" t="s">
        <v>415</v>
      </c>
      <c r="M9" s="776"/>
      <c r="N9" s="779"/>
      <c r="O9" s="779"/>
      <c r="P9" s="779"/>
      <c r="Q9" s="780"/>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1"/>
      <c r="F18" s="761"/>
      <c r="G18" s="761"/>
      <c r="H18" s="761"/>
      <c r="I18" s="761"/>
      <c r="J18" s="761"/>
      <c r="K18" s="761"/>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62" t="s">
        <v>89</v>
      </c>
      <c r="C19" s="762"/>
      <c r="D19" s="762"/>
      <c r="E19" s="146" t="s">
        <v>86</v>
      </c>
      <c r="F19" s="146" t="s">
        <v>90</v>
      </c>
      <c r="G19" s="757" t="s">
        <v>333</v>
      </c>
      <c r="H19" s="758"/>
      <c r="I19" s="759" t="s">
        <v>334</v>
      </c>
      <c r="J19" s="760"/>
      <c r="K19" s="343" t="s">
        <v>335</v>
      </c>
      <c r="L19" s="750" t="s">
        <v>93</v>
      </c>
      <c r="M19" s="751"/>
      <c r="N19" s="751"/>
      <c r="O19" s="751"/>
      <c r="P19" s="751"/>
      <c r="Q19" s="752"/>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5" customHeight="1">
      <c r="A20" s="3"/>
      <c r="B20" s="763" t="str">
        <f>+'Data Entry'!B118</f>
        <v xml:space="preserve">Percentage of TB patients who had an HIV test result recorded in the TB register </v>
      </c>
      <c r="C20" s="763"/>
      <c r="D20" s="763"/>
      <c r="E20" s="147">
        <f ca="1">OFFSET('Data Entry'!$G$117,1,RIGHT('Data Entry'!$C$16,LEN('Data Entry'!$C$16)-1),1,1)</f>
        <v>75</v>
      </c>
      <c r="F20" s="147">
        <f ca="1">OFFSET('Data Entry'!$G$117,2,RIGHT('Data Entry'!$C$16,LEN('Data Entry'!$C$16)-1),1,1)</f>
        <v>91</v>
      </c>
      <c r="G20" s="754">
        <f t="shared" ref="G20:G29" ca="1" si="0">+IF(ISERROR(F20/E20),0,F20/E20)</f>
        <v>1.2133333333333334</v>
      </c>
      <c r="H20" s="755"/>
      <c r="I20" s="755"/>
      <c r="J20" s="755"/>
      <c r="K20" s="756"/>
      <c r="L20" s="753"/>
      <c r="M20" s="753"/>
      <c r="N20" s="753"/>
      <c r="O20" s="753"/>
      <c r="P20" s="753"/>
      <c r="Q20" s="753"/>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8" t="str">
        <f>+'Data Entry'!B120</f>
        <v>Number and percentage of M/XDR-TB patients on treatment receiving cash incentives for better adherence to treatment during out-patient phase</v>
      </c>
      <c r="C21" s="768"/>
      <c r="D21" s="768"/>
      <c r="E21" s="147">
        <f ca="1">OFFSET('Data Entry'!$G$117,3,RIGHT('Data Entry'!$C$16,LEN('Data Entry'!$C$16)-1),1,1)</f>
        <v>75</v>
      </c>
      <c r="F21" s="147">
        <f ca="1">OFFSET('Data Entry'!$G$117,4,RIGHT('Data Entry'!$C$16,LEN('Data Entry'!$C$16)-1),1,1)</f>
        <v>81</v>
      </c>
      <c r="G21" s="754">
        <f t="shared" ca="1" si="0"/>
        <v>1.08</v>
      </c>
      <c r="H21" s="755"/>
      <c r="I21" s="755"/>
      <c r="J21" s="755"/>
      <c r="K21" s="756"/>
      <c r="L21" s="753"/>
      <c r="M21" s="753"/>
      <c r="N21" s="753"/>
      <c r="O21" s="753"/>
      <c r="P21" s="753"/>
      <c r="Q21" s="753"/>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5" customHeight="1">
      <c r="A22" s="3"/>
      <c r="B22" s="763" t="str">
        <f>+'Data Entry'!B122</f>
        <v xml:space="preserve">
Number of notified cases of all forms of TB - (i.e. bacteriologically confirmed +clinically diagnosed) (new and relapse)
</v>
      </c>
      <c r="C22" s="763"/>
      <c r="D22" s="763"/>
      <c r="E22" s="147">
        <f ca="1">OFFSET('Data Entry'!$G$117,5,RIGHT('Data Entry'!$C$16,LEN('Data Entry'!$C$16)-1),1,1)</f>
        <v>1014</v>
      </c>
      <c r="F22" s="147">
        <f ca="1">OFFSET('Data Entry'!$G$117,6,RIGHT('Data Entry'!$C$16,LEN('Data Entry'!$C$16)-1),1,1)</f>
        <v>761</v>
      </c>
      <c r="G22" s="754">
        <f t="shared" ca="1" si="0"/>
        <v>0.75049309664694275</v>
      </c>
      <c r="H22" s="755"/>
      <c r="I22" s="755"/>
      <c r="J22" s="755"/>
      <c r="K22" s="756"/>
      <c r="L22" s="753" t="s">
        <v>443</v>
      </c>
      <c r="M22" s="753"/>
      <c r="N22" s="753"/>
      <c r="O22" s="753"/>
      <c r="P22" s="753"/>
      <c r="Q22" s="753"/>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5" customHeight="1">
      <c r="A23" s="3"/>
      <c r="B23" s="765" t="str">
        <f>+'Data Entry'!B124</f>
        <v xml:space="preserve">Percentage of laboratories showing adequate performance in external quality assurance for smear microscopy among the total number of laboratories that undertake smear microscopy during the reporting period </v>
      </c>
      <c r="C23" s="766"/>
      <c r="D23" s="767"/>
      <c r="E23" s="147">
        <f ca="1">OFFSET('Data Entry'!$G$117,7,RIGHT('Data Entry'!$C$16,LEN('Data Entry'!$C$16)-1),1,1)</f>
        <v>100</v>
      </c>
      <c r="F23" s="147">
        <f ca="1">OFFSET('Data Entry'!$G$117,8,RIGHT('Data Entry'!$C$16,LEN('Data Entry'!$C$16)-1),1,1)</f>
        <v>82</v>
      </c>
      <c r="G23" s="754">
        <f t="shared" ca="1" si="0"/>
        <v>0.82</v>
      </c>
      <c r="H23" s="755"/>
      <c r="I23" s="755"/>
      <c r="J23" s="755"/>
      <c r="K23" s="756"/>
      <c r="L23" s="753"/>
      <c r="M23" s="753"/>
      <c r="N23" s="753"/>
      <c r="O23" s="753"/>
      <c r="P23" s="753"/>
      <c r="Q23" s="753"/>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68" t="str">
        <f>+'Data Entry'!B126</f>
        <v>Number of bacteriologically confirmed  TB cases in a specified period who subsequently were successfully treated (sum of WHO outcome categories "cured” plus "treatment completed”)</v>
      </c>
      <c r="C24" s="768"/>
      <c r="D24" s="768"/>
      <c r="E24" s="147">
        <f ca="1">OFFSET('Data Entry'!$G$117,9,RIGHT('Data Entry'!$C$16,LEN('Data Entry'!$C$16)-1),1,1)</f>
        <v>603</v>
      </c>
      <c r="F24" s="147">
        <f ca="1">OFFSET('Data Entry'!$G$117,10,RIGHT('Data Entry'!$C$16,LEN('Data Entry'!$C$16)-1),1,1)</f>
        <v>421</v>
      </c>
      <c r="G24" s="754">
        <f t="shared" ca="1" si="0"/>
        <v>0.69817578772802658</v>
      </c>
      <c r="H24" s="755"/>
      <c r="I24" s="755"/>
      <c r="J24" s="755"/>
      <c r="K24" s="756"/>
      <c r="L24" s="753" t="s">
        <v>443</v>
      </c>
      <c r="M24" s="753"/>
      <c r="N24" s="753"/>
      <c r="O24" s="753"/>
      <c r="P24" s="753"/>
      <c r="Q24" s="753"/>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63" t="str">
        <f>+'Data Entry'!B128</f>
        <v>Number of TB patients enrolled on standardized 1st line treatment in the specified calendar year</v>
      </c>
      <c r="C25" s="763"/>
      <c r="D25" s="763"/>
      <c r="E25" s="147">
        <f ca="1">OFFSET('Data Entry'!$G$117,11,RIGHT('Data Entry'!$C$16,LEN('Data Entry'!$C$16)-1),1,1)</f>
        <v>1103</v>
      </c>
      <c r="F25" s="147">
        <f ca="1">OFFSET('Data Entry'!$G$117,12,RIGHT('Data Entry'!$C$16,LEN('Data Entry'!$C$16)-1),1,1)</f>
        <v>798</v>
      </c>
      <c r="G25" s="754">
        <f t="shared" ca="1" si="0"/>
        <v>0.72348141432456936</v>
      </c>
      <c r="H25" s="755"/>
      <c r="I25" s="755"/>
      <c r="J25" s="755"/>
      <c r="K25" s="756"/>
      <c r="L25" s="753" t="s">
        <v>443</v>
      </c>
      <c r="M25" s="753"/>
      <c r="N25" s="753"/>
      <c r="O25" s="753"/>
      <c r="P25" s="753"/>
      <c r="Q25" s="753"/>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68" t="str">
        <f>+'Data Entry'!B130</f>
        <v>Laboratory-confirmed X/MDR-TB patients enrolled on second line anti-TB treatment in the specified calendar year</v>
      </c>
      <c r="C26" s="768"/>
      <c r="D26" s="768"/>
      <c r="E26" s="147">
        <f ca="1">OFFSET('Data Entry'!$G$117,13,RIGHT('Data Entry'!$C$16,LEN('Data Entry'!$C$16)-1),1,1)</f>
        <v>129</v>
      </c>
      <c r="F26" s="147">
        <f ca="1">OFFSET('Data Entry'!$G$117,14,RIGHT('Data Entry'!$C$16,LEN('Data Entry'!$C$16)-1),1,1)</f>
        <v>107</v>
      </c>
      <c r="G26" s="754">
        <f t="shared" ca="1" si="0"/>
        <v>0.8294573643410853</v>
      </c>
      <c r="H26" s="755"/>
      <c r="I26" s="755"/>
      <c r="J26" s="755"/>
      <c r="K26" s="756"/>
      <c r="L26" s="753"/>
      <c r="M26" s="753"/>
      <c r="N26" s="753"/>
      <c r="O26" s="753"/>
      <c r="P26" s="753"/>
      <c r="Q26" s="753"/>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63" t="str">
        <f>+'Data Entry'!B132</f>
        <v xml:space="preserve">Percentage of previously treated TB patients receiving DST
</v>
      </c>
      <c r="C27" s="763"/>
      <c r="D27" s="763"/>
      <c r="E27" s="147">
        <f ca="1">OFFSET('Data Entry'!$G$117,15,RIGHT('Data Entry'!$C$16,LEN('Data Entry'!$C$16)-1),1,1)</f>
        <v>100</v>
      </c>
      <c r="F27" s="147">
        <f ca="1">OFFSET('Data Entry'!$G$117,16,RIGHT('Data Entry'!$C$16,LEN('Data Entry'!$C$16)-1),1,1)</f>
        <v>92</v>
      </c>
      <c r="G27" s="754">
        <f t="shared" ca="1" si="0"/>
        <v>0.92</v>
      </c>
      <c r="H27" s="755"/>
      <c r="I27" s="755"/>
      <c r="J27" s="755"/>
      <c r="K27" s="756"/>
      <c r="L27" s="753"/>
      <c r="M27" s="753"/>
      <c r="N27" s="753"/>
      <c r="O27" s="753"/>
      <c r="P27" s="753"/>
      <c r="Q27" s="753"/>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5" customHeight="1">
      <c r="A28" s="3"/>
      <c r="B28" s="768" t="str">
        <f>+'Data Entry'!B134</f>
        <v>Percentage of cases with drug resistant TB (RR-TB and/or MDR-TB) started on treatment for MDR-TB who were lost to follow up during the first six months of treatment</v>
      </c>
      <c r="C28" s="768"/>
      <c r="D28" s="768"/>
      <c r="E28" s="147">
        <f ca="1">OFFSET('Data Entry'!$G$117,17,RIGHT('Data Entry'!$C$16,LEN('Data Entry'!$C$16)-1),1,1)</f>
        <v>11</v>
      </c>
      <c r="F28" s="147">
        <f ca="1">OFFSET('Data Entry'!$G$117,18,RIGHT('Data Entry'!$C$16,LEN('Data Entry'!$C$16)-1),1,1)</f>
        <v>10</v>
      </c>
      <c r="G28" s="754">
        <f t="shared" ca="1" si="0"/>
        <v>0.90909090909090906</v>
      </c>
      <c r="H28" s="755"/>
      <c r="I28" s="755"/>
      <c r="J28" s="755"/>
      <c r="K28" s="756"/>
      <c r="L28" s="753"/>
      <c r="M28" s="753"/>
      <c r="N28" s="753"/>
      <c r="O28" s="753"/>
      <c r="P28" s="753"/>
      <c r="Q28" s="753"/>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65" t="str">
        <f>+'Data Entry'!B136</f>
        <v xml:space="preserve">Number of and percentage of TB patients on 1st line treatment receiving cash incentives for better adherence to treatment </v>
      </c>
      <c r="C29" s="766"/>
      <c r="D29" s="767"/>
      <c r="E29" s="147">
        <f ca="1">OFFSET('Data Entry'!$G$117,19,RIGHT('Data Entry'!$C$16,LEN('Data Entry'!$C$16)-1),1,1)</f>
        <v>70</v>
      </c>
      <c r="F29" s="147">
        <f ca="1">OFFSET('Data Entry'!$G$117,20,RIGHT('Data Entry'!$C$16,LEN('Data Entry'!$C$16)-1),1,1)</f>
        <v>73</v>
      </c>
      <c r="G29" s="754">
        <f t="shared" ca="1" si="0"/>
        <v>1.0428571428571429</v>
      </c>
      <c r="H29" s="755"/>
      <c r="I29" s="755"/>
      <c r="J29" s="755"/>
      <c r="K29" s="756"/>
      <c r="L29" s="753"/>
      <c r="M29" s="753"/>
      <c r="N29" s="753"/>
      <c r="O29" s="753"/>
      <c r="P29" s="753"/>
      <c r="Q29" s="75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5"/>
      <c r="C30" s="775"/>
      <c r="D30" s="775"/>
      <c r="E30" s="775"/>
      <c r="F30" s="774"/>
      <c r="G30" s="774"/>
      <c r="H30" s="774"/>
      <c r="I30" s="774"/>
      <c r="J30" s="774"/>
      <c r="K30" s="774"/>
      <c r="L30" s="773"/>
      <c r="M30" s="773"/>
      <c r="N30" s="773"/>
      <c r="O30" s="773"/>
      <c r="P30" s="77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69"/>
      <c r="C31" s="769"/>
      <c r="D31" s="769"/>
      <c r="E31" s="770"/>
      <c r="F31" s="771"/>
      <c r="G31" s="772"/>
      <c r="H31" s="772"/>
      <c r="I31" s="772"/>
      <c r="J31" s="772"/>
      <c r="K31" s="770"/>
      <c r="L31" s="771"/>
      <c r="M31" s="772"/>
      <c r="N31" s="772"/>
      <c r="O31" s="772"/>
      <c r="P31" s="772"/>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4"/>
      <c r="C33" s="764"/>
      <c r="D33" s="764"/>
      <c r="E33" s="764"/>
      <c r="F33" s="764"/>
      <c r="G33" s="764"/>
      <c r="H33" s="764"/>
      <c r="I33" s="764"/>
      <c r="J33" s="764"/>
      <c r="K33" s="764"/>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4"/>
      <c r="C34" s="764"/>
      <c r="D34" s="764"/>
      <c r="E34" s="764"/>
      <c r="F34" s="764"/>
      <c r="G34" s="764"/>
      <c r="H34" s="764"/>
      <c r="I34" s="764"/>
      <c r="J34" s="764"/>
      <c r="K34" s="764"/>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53125" defaultRowHeight="11.5"/>
  <cols>
    <col min="1" max="1" width="1.1796875" style="31" customWidth="1"/>
    <col min="2" max="2" width="19.26953125" style="31" customWidth="1"/>
    <col min="3" max="3" width="1.1796875" style="31" customWidth="1"/>
    <col min="4" max="4" width="17.1796875" style="31" customWidth="1"/>
    <col min="5" max="5" width="17.453125" style="31" customWidth="1"/>
    <col min="6" max="6" width="9.7265625" style="31" customWidth="1"/>
    <col min="7" max="7" width="13" style="31" customWidth="1"/>
    <col min="8" max="8" width="4.26953125" style="31" customWidth="1"/>
    <col min="9" max="9" width="15.81640625" style="31" customWidth="1"/>
    <col min="10" max="10" width="3.453125" style="31" customWidth="1"/>
    <col min="11" max="11" width="7.453125" style="32" customWidth="1"/>
    <col min="12" max="12" width="14.26953125" style="31" customWidth="1"/>
    <col min="13" max="13" width="12" style="31" customWidth="1"/>
    <col min="14" max="14" width="5.453125" style="31" customWidth="1"/>
    <col min="15" max="15" width="2.453125" style="31" customWidth="1"/>
    <col min="16" max="16384" width="11.453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45" t="str">
        <f>+"Dashboard:  "&amp;"  "&amp;IF(+'Data Entry'!C4="Please Select","",'Data Entry'!C4&amp;" - ")&amp;IF('Data Entry'!G6="Please Select","",'Data Entry'!G6)</f>
        <v>Dashboard:    Georgia - TB</v>
      </c>
      <c r="C2" s="745"/>
      <c r="D2" s="745"/>
      <c r="E2" s="745"/>
      <c r="F2" s="745"/>
      <c r="G2" s="745"/>
      <c r="H2" s="745"/>
      <c r="I2" s="745"/>
      <c r="J2" s="745"/>
      <c r="K2" s="745"/>
      <c r="L2" s="745"/>
      <c r="M2" s="745"/>
      <c r="N2" s="745"/>
      <c r="O2" s="73"/>
    </row>
    <row r="3" spans="1:15" customFormat="1" ht="18.5">
      <c r="A3" s="3"/>
      <c r="B3" s="135" t="str">
        <f>+IF('Data Entry'!G8="Please Select","",'Data Entry'!G8)</f>
        <v>Round 10</v>
      </c>
      <c r="C3" s="725" t="str">
        <f>+IF('Data Entry'!I8="Please Select","",'Data Entry'!I8)</f>
        <v>Phase 2</v>
      </c>
      <c r="D3" s="725"/>
      <c r="E3" s="748"/>
      <c r="F3" s="748"/>
      <c r="G3" s="748"/>
      <c r="H3" s="748"/>
      <c r="I3" s="748"/>
      <c r="J3" s="748"/>
      <c r="K3" s="748"/>
      <c r="L3" s="135" t="str">
        <f>+'Data Entry'!B16</f>
        <v>Report Period:</v>
      </c>
      <c r="M3" s="202" t="str">
        <f>+'Data Entry'!C16</f>
        <v>P8</v>
      </c>
      <c r="N3" s="202"/>
      <c r="O3" s="31"/>
    </row>
    <row r="4" spans="1:15" customFormat="1" ht="14.5">
      <c r="A4" s="3"/>
      <c r="B4" s="135" t="str">
        <f>+'Data Entry'!B12</f>
        <v>Latest Rating:</v>
      </c>
      <c r="C4" s="749" t="str">
        <f>+IF('Data Entry'!C12="Please Select","",'Data Entry'!C12)</f>
        <v>A2</v>
      </c>
      <c r="D4" s="749"/>
      <c r="E4" s="724" t="str">
        <f>+'Data Entry'!C8</f>
        <v>NCDC</v>
      </c>
      <c r="F4" s="724"/>
      <c r="G4" s="724"/>
      <c r="H4" s="724"/>
      <c r="I4" s="724"/>
      <c r="J4" s="724"/>
      <c r="K4" s="724"/>
      <c r="L4" s="135" t="str">
        <f>+'Data Entry'!D16</f>
        <v>From:</v>
      </c>
      <c r="M4" s="203">
        <f>+IF(ISBLANK('Data Entry'!E16),"",'Data Entry'!E16)</f>
        <v>42370</v>
      </c>
      <c r="N4" s="203"/>
      <c r="O4" s="31"/>
    </row>
    <row r="5" spans="1:15" customFormat="1" ht="18.75" customHeight="1">
      <c r="A5" s="3"/>
      <c r="B5" s="135"/>
      <c r="C5" s="135"/>
      <c r="D5" s="136"/>
      <c r="E5" s="724">
        <f>+'Data Entry'!G4</f>
        <v>0</v>
      </c>
      <c r="F5" s="724"/>
      <c r="G5" s="724"/>
      <c r="H5" s="724"/>
      <c r="I5" s="724"/>
      <c r="J5" s="724"/>
      <c r="K5" s="724"/>
      <c r="L5" s="135" t="str">
        <f>+'Data Entry'!F16</f>
        <v>To:</v>
      </c>
      <c r="M5" s="203">
        <f>+IF(ISBLANK('Data Entry'!G16),"",'Data Entry'!G16)</f>
        <v>42460</v>
      </c>
      <c r="N5" s="203"/>
    </row>
    <row r="6" spans="1:15" customFormat="1" ht="22.5" customHeight="1">
      <c r="A6" s="3"/>
      <c r="B6" s="140"/>
      <c r="C6" s="141"/>
      <c r="D6" s="142"/>
      <c r="E6" s="813" t="s">
        <v>316</v>
      </c>
      <c r="F6" s="813"/>
      <c r="G6" s="813"/>
      <c r="H6" s="813"/>
      <c r="I6" s="813"/>
      <c r="J6" s="813"/>
      <c r="K6" s="813"/>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87" t="s">
        <v>99</v>
      </c>
      <c r="C8" s="787"/>
      <c r="D8" s="787"/>
      <c r="E8" s="787"/>
      <c r="F8" s="787"/>
      <c r="G8" s="787"/>
      <c r="H8" s="787"/>
      <c r="I8" s="787"/>
      <c r="J8" s="787"/>
      <c r="K8" s="787"/>
      <c r="L8" s="787"/>
      <c r="M8" s="787"/>
      <c r="N8" s="787"/>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08" t="s">
        <v>94</v>
      </c>
      <c r="C10" s="800"/>
      <c r="D10" s="788" t="s">
        <v>98</v>
      </c>
      <c r="E10" s="789"/>
      <c r="F10" s="789"/>
      <c r="G10" s="790"/>
      <c r="H10" s="163"/>
      <c r="I10" s="788" t="s">
        <v>316</v>
      </c>
      <c r="J10" s="789"/>
      <c r="K10" s="789"/>
      <c r="L10" s="789"/>
      <c r="M10" s="789"/>
      <c r="N10" s="790"/>
    </row>
    <row r="11" spans="1:15" s="34" customFormat="1" ht="28.5" customHeight="1">
      <c r="A11" s="160"/>
      <c r="B11" s="436" t="s">
        <v>102</v>
      </c>
      <c r="C11" s="180"/>
      <c r="D11" s="811" t="str">
        <f>IF(ISBLANK(Finance!C9),"",(Finance!C9))</f>
        <v/>
      </c>
      <c r="E11" s="811"/>
      <c r="F11" s="811"/>
      <c r="G11" s="816"/>
      <c r="H11" s="186"/>
      <c r="I11" s="817"/>
      <c r="J11" s="818"/>
      <c r="K11" s="818"/>
      <c r="L11" s="818"/>
      <c r="M11" s="818"/>
      <c r="N11" s="819"/>
    </row>
    <row r="12" spans="1:15" s="34" customFormat="1" ht="27.75" customHeight="1">
      <c r="A12" s="160"/>
      <c r="B12" s="437" t="s">
        <v>103</v>
      </c>
      <c r="C12" s="181"/>
      <c r="D12" s="811" t="str">
        <f>IF(ISBLANK(Finance!C23),"",(Finance!C23))</f>
        <v/>
      </c>
      <c r="E12" s="811"/>
      <c r="F12" s="811"/>
      <c r="G12" s="816"/>
      <c r="H12" s="186"/>
      <c r="I12" s="802"/>
      <c r="J12" s="803"/>
      <c r="K12" s="803"/>
      <c r="L12" s="803"/>
      <c r="M12" s="803"/>
      <c r="N12" s="804"/>
    </row>
    <row r="13" spans="1:15" s="34" customFormat="1" ht="26.25" customHeight="1">
      <c r="A13" s="160"/>
      <c r="B13" s="437" t="s">
        <v>104</v>
      </c>
      <c r="C13" s="181"/>
      <c r="D13" s="811" t="str">
        <f>IF(ISBLANK(Finance!I9),"",(Finance!I9))</f>
        <v/>
      </c>
      <c r="E13" s="811"/>
      <c r="F13" s="811"/>
      <c r="G13" s="816"/>
      <c r="H13" s="186"/>
      <c r="I13" s="802"/>
      <c r="J13" s="803"/>
      <c r="K13" s="803"/>
      <c r="L13" s="803"/>
      <c r="M13" s="803"/>
      <c r="N13" s="804"/>
    </row>
    <row r="14" spans="1:15" s="34" customFormat="1" ht="28.5" customHeight="1" thickBot="1">
      <c r="A14" s="160"/>
      <c r="B14" s="438" t="s">
        <v>105</v>
      </c>
      <c r="C14" s="182"/>
      <c r="D14" s="814" t="str">
        <f>IF(ISBLANK(Finance!I23),"",(Finance!I23))</f>
        <v/>
      </c>
      <c r="E14" s="814"/>
      <c r="F14" s="814"/>
      <c r="G14" s="815"/>
      <c r="H14" s="186"/>
      <c r="I14" s="805"/>
      <c r="J14" s="806"/>
      <c r="K14" s="806"/>
      <c r="L14" s="806"/>
      <c r="M14" s="806"/>
      <c r="N14" s="807"/>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87" t="s">
        <v>101</v>
      </c>
      <c r="C16" s="787"/>
      <c r="D16" s="787"/>
      <c r="E16" s="787"/>
      <c r="F16" s="787"/>
      <c r="G16" s="787"/>
      <c r="H16" s="787"/>
      <c r="I16" s="787"/>
      <c r="J16" s="787"/>
      <c r="K16" s="787"/>
      <c r="L16" s="787"/>
      <c r="M16" s="787"/>
      <c r="N16" s="787"/>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0" t="s">
        <v>95</v>
      </c>
      <c r="C18" s="801"/>
      <c r="D18" s="823" t="s">
        <v>98</v>
      </c>
      <c r="E18" s="824"/>
      <c r="F18" s="824"/>
      <c r="G18" s="825"/>
      <c r="H18" s="163"/>
      <c r="I18" s="820" t="s">
        <v>316</v>
      </c>
      <c r="J18" s="821"/>
      <c r="K18" s="821"/>
      <c r="L18" s="821"/>
      <c r="M18" s="822"/>
      <c r="N18" s="822"/>
    </row>
    <row r="19" spans="1:15" s="34" customFormat="1" ht="21.75" customHeight="1">
      <c r="A19" s="160"/>
      <c r="B19" s="439" t="s">
        <v>110</v>
      </c>
      <c r="C19" s="188"/>
      <c r="D19" s="809" t="str">
        <f>IF(ISBLANK(Management!C8),"",(Management!C8))</f>
        <v/>
      </c>
      <c r="E19" s="809"/>
      <c r="F19" s="809"/>
      <c r="G19" s="810"/>
      <c r="H19" s="189"/>
      <c r="I19" s="791"/>
      <c r="J19" s="792"/>
      <c r="K19" s="792"/>
      <c r="L19" s="792"/>
      <c r="M19" s="792"/>
      <c r="N19" s="793"/>
    </row>
    <row r="20" spans="1:15" ht="24.75" customHeight="1">
      <c r="A20" s="154"/>
      <c r="B20" s="440" t="s">
        <v>111</v>
      </c>
      <c r="C20" s="190"/>
      <c r="D20" s="811" t="str">
        <f>IF(ISBLANK(Management!I8),"",(Management!I8))</f>
        <v/>
      </c>
      <c r="E20" s="811">
        <f>+'Data Entry'!D73/'Data Entry'!G73</f>
        <v>0.83333333333333337</v>
      </c>
      <c r="F20" s="811">
        <f>+('Data Entry'!E73+'Data Entry'!F73)/'Data Entry'!G73</f>
        <v>0.16666666666666666</v>
      </c>
      <c r="G20" s="812"/>
      <c r="H20" s="189"/>
      <c r="I20" s="797"/>
      <c r="J20" s="798"/>
      <c r="K20" s="798"/>
      <c r="L20" s="798"/>
      <c r="M20" s="798"/>
      <c r="N20" s="799"/>
      <c r="O20" s="35"/>
    </row>
    <row r="21" spans="1:15" ht="29.25" customHeight="1">
      <c r="A21" s="154"/>
      <c r="B21" s="441" t="s">
        <v>112</v>
      </c>
      <c r="C21" s="190"/>
      <c r="D21" s="811" t="str">
        <f>IF(ISBLANK(Management!C16),"",(Management!C16))</f>
        <v/>
      </c>
      <c r="E21" s="811"/>
      <c r="F21" s="811"/>
      <c r="G21" s="812"/>
      <c r="H21" s="189"/>
      <c r="I21" s="797"/>
      <c r="J21" s="798"/>
      <c r="K21" s="798"/>
      <c r="L21" s="798"/>
      <c r="M21" s="798"/>
      <c r="N21" s="799"/>
      <c r="O21" s="35"/>
    </row>
    <row r="22" spans="1:15" ht="26.25" customHeight="1">
      <c r="A22" s="154"/>
      <c r="B22" s="441" t="s">
        <v>113</v>
      </c>
      <c r="C22" s="190"/>
      <c r="D22" s="811" t="str">
        <f>IF(ISBLANK(Management!I16),"",(Management!I16))</f>
        <v/>
      </c>
      <c r="E22" s="811"/>
      <c r="F22" s="811"/>
      <c r="G22" s="812"/>
      <c r="H22" s="189"/>
      <c r="I22" s="797"/>
      <c r="J22" s="798"/>
      <c r="K22" s="798"/>
      <c r="L22" s="798"/>
      <c r="M22" s="798"/>
      <c r="N22" s="799"/>
      <c r="O22" s="35"/>
    </row>
    <row r="23" spans="1:15" ht="24.75" customHeight="1">
      <c r="A23" s="154"/>
      <c r="B23" s="441" t="s">
        <v>114</v>
      </c>
      <c r="C23" s="190"/>
      <c r="D23" s="811" t="str">
        <f>IF(ISBLANK(Management!C27),"",(Management!C27))</f>
        <v/>
      </c>
      <c r="E23" s="811"/>
      <c r="F23" s="811"/>
      <c r="G23" s="812"/>
      <c r="H23" s="189"/>
      <c r="I23" s="797"/>
      <c r="J23" s="798"/>
      <c r="K23" s="798"/>
      <c r="L23" s="798"/>
      <c r="M23" s="798"/>
      <c r="N23" s="799"/>
      <c r="O23" s="35"/>
    </row>
    <row r="24" spans="1:15" ht="27" customHeight="1" thickBot="1">
      <c r="A24" s="154"/>
      <c r="B24" s="442" t="s">
        <v>116</v>
      </c>
      <c r="C24" s="191"/>
      <c r="D24" s="830" t="str">
        <f>IF(ISBLANK(Management!I27),"",(Management!I27))</f>
        <v>The new order is expected to deliver in April 2015</v>
      </c>
      <c r="E24" s="830"/>
      <c r="F24" s="830"/>
      <c r="G24" s="831"/>
      <c r="H24" s="189"/>
      <c r="I24" s="794"/>
      <c r="J24" s="795"/>
      <c r="K24" s="795"/>
      <c r="L24" s="795"/>
      <c r="M24" s="795"/>
      <c r="N24" s="796"/>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87" t="s">
        <v>100</v>
      </c>
      <c r="C26" s="787"/>
      <c r="D26" s="787"/>
      <c r="E26" s="787"/>
      <c r="F26" s="787"/>
      <c r="G26" s="787"/>
      <c r="H26" s="787"/>
      <c r="I26" s="787"/>
      <c r="J26" s="787"/>
      <c r="K26" s="787"/>
      <c r="L26" s="787"/>
      <c r="M26" s="787"/>
      <c r="N26" s="787"/>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08" t="s">
        <v>7</v>
      </c>
      <c r="C28" s="801"/>
      <c r="D28" s="832" t="s">
        <v>98</v>
      </c>
      <c r="E28" s="833"/>
      <c r="F28" s="833"/>
      <c r="G28" s="834"/>
      <c r="H28" s="163"/>
      <c r="I28" s="832" t="s">
        <v>316</v>
      </c>
      <c r="J28" s="833"/>
      <c r="K28" s="833"/>
      <c r="L28" s="833"/>
      <c r="M28" s="833"/>
      <c r="N28" s="834"/>
      <c r="O28" s="35"/>
    </row>
    <row r="29" spans="1:15" ht="29.25" customHeight="1">
      <c r="A29" s="154"/>
      <c r="B29" s="443" t="s">
        <v>317</v>
      </c>
      <c r="C29" s="192"/>
      <c r="D29" s="835" t="str">
        <f>IF(ISBLANK(Programmatic!C9),"",(Programmatic!C9))</f>
        <v/>
      </c>
      <c r="E29" s="836"/>
      <c r="F29" s="836"/>
      <c r="G29" s="837"/>
      <c r="H29" s="189"/>
      <c r="I29" s="838"/>
      <c r="J29" s="839"/>
      <c r="K29" s="839"/>
      <c r="L29" s="839"/>
      <c r="M29" s="839"/>
      <c r="N29" s="840"/>
      <c r="O29" s="35"/>
    </row>
    <row r="30" spans="1:15" ht="21.75" customHeight="1">
      <c r="A30" s="154"/>
      <c r="B30" s="444" t="s">
        <v>318</v>
      </c>
      <c r="C30" s="193"/>
      <c r="D30" s="829" t="str">
        <f>IF(ISBLANK(Programmatic!G9),"",(Programmatic!G9))</f>
        <v/>
      </c>
      <c r="E30" s="827"/>
      <c r="F30" s="827"/>
      <c r="G30" s="828"/>
      <c r="H30" s="189"/>
      <c r="I30" s="781"/>
      <c r="J30" s="782"/>
      <c r="K30" s="782"/>
      <c r="L30" s="782"/>
      <c r="M30" s="782"/>
      <c r="N30" s="783"/>
      <c r="O30" s="35"/>
    </row>
    <row r="31" spans="1:15" ht="21.75" customHeight="1">
      <c r="A31" s="154"/>
      <c r="B31" s="444" t="s">
        <v>319</v>
      </c>
      <c r="C31" s="193"/>
      <c r="D31" s="829" t="str">
        <f>IF(ISBLANK(Programmatic!M9),"",(Programmatic!M9))</f>
        <v/>
      </c>
      <c r="E31" s="827"/>
      <c r="F31" s="827"/>
      <c r="G31" s="828"/>
      <c r="H31" s="189"/>
      <c r="I31" s="781"/>
      <c r="J31" s="782"/>
      <c r="K31" s="782"/>
      <c r="L31" s="782"/>
      <c r="M31" s="782"/>
      <c r="N31" s="783"/>
      <c r="O31" s="35"/>
    </row>
    <row r="32" spans="1:15" ht="21.75" customHeight="1">
      <c r="A32" s="154"/>
      <c r="B32" s="445" t="s">
        <v>106</v>
      </c>
      <c r="C32" s="193"/>
      <c r="D32" s="826" t="str">
        <f>IF(ISBLANK(Programmatic!L20),"",(Programmatic!L20))</f>
        <v/>
      </c>
      <c r="E32" s="827"/>
      <c r="F32" s="827"/>
      <c r="G32" s="828"/>
      <c r="H32" s="189"/>
      <c r="I32" s="781"/>
      <c r="J32" s="782"/>
      <c r="K32" s="782"/>
      <c r="L32" s="782"/>
      <c r="M32" s="782"/>
      <c r="N32" s="783"/>
      <c r="O32" s="35"/>
    </row>
    <row r="33" spans="1:15" ht="27" customHeight="1">
      <c r="A33" s="154"/>
      <c r="B33" s="445" t="s">
        <v>107</v>
      </c>
      <c r="C33" s="193"/>
      <c r="D33" s="826" t="str">
        <f>IF(ISBLANK(Programmatic!L21),"",(Programmatic!L21))</f>
        <v/>
      </c>
      <c r="E33" s="827"/>
      <c r="F33" s="827"/>
      <c r="G33" s="828"/>
      <c r="H33" s="189"/>
      <c r="I33" s="781"/>
      <c r="J33" s="782"/>
      <c r="K33" s="782"/>
      <c r="L33" s="782"/>
      <c r="M33" s="782"/>
      <c r="N33" s="783"/>
      <c r="O33" s="35"/>
    </row>
    <row r="34" spans="1:15" ht="21.75" customHeight="1">
      <c r="A34" s="154"/>
      <c r="B34" s="445" t="s">
        <v>108</v>
      </c>
      <c r="C34" s="193"/>
      <c r="D34" s="826" t="str">
        <f>IF(ISBLANK(Programmatic!L22),"",(Programmatic!L22))</f>
        <v xml:space="preserve">The relatively low indicator relates to the actual (decreased) number of TB patients in the country. </v>
      </c>
      <c r="E34" s="827"/>
      <c r="F34" s="827"/>
      <c r="G34" s="828"/>
      <c r="H34" s="189"/>
      <c r="I34" s="781"/>
      <c r="J34" s="782"/>
      <c r="K34" s="782"/>
      <c r="L34" s="782"/>
      <c r="M34" s="782"/>
      <c r="N34" s="783"/>
      <c r="O34" s="35"/>
    </row>
    <row r="35" spans="1:15" ht="21.75" customHeight="1">
      <c r="A35" s="154"/>
      <c r="B35" s="445" t="s">
        <v>109</v>
      </c>
      <c r="C35" s="236"/>
      <c r="D35" s="826" t="str">
        <f>IF(ISBLANK(Programmatic!L23),"",(Programmatic!L23))</f>
        <v/>
      </c>
      <c r="E35" s="827"/>
      <c r="F35" s="827"/>
      <c r="G35" s="828"/>
      <c r="H35" s="189"/>
      <c r="I35" s="781"/>
      <c r="J35" s="782"/>
      <c r="K35" s="782"/>
      <c r="L35" s="782"/>
      <c r="M35" s="782"/>
      <c r="N35" s="783"/>
      <c r="O35" s="35"/>
    </row>
    <row r="36" spans="1:15" ht="21.75" customHeight="1">
      <c r="A36" s="154"/>
      <c r="B36" s="445" t="s">
        <v>121</v>
      </c>
      <c r="C36" s="236"/>
      <c r="D36" s="826" t="str">
        <f>IF(ISBLANK(Programmatic!L24),"",(Programmatic!L24))</f>
        <v xml:space="preserve">The relatively low indicator relates to the actual (decreased) number of TB patients in the country. </v>
      </c>
      <c r="E36" s="827"/>
      <c r="F36" s="827"/>
      <c r="G36" s="828"/>
      <c r="H36" s="189"/>
      <c r="I36" s="781"/>
      <c r="J36" s="782"/>
      <c r="K36" s="782"/>
      <c r="L36" s="782"/>
      <c r="M36" s="782"/>
      <c r="N36" s="783"/>
      <c r="O36" s="35"/>
    </row>
    <row r="37" spans="1:15" ht="21.75" customHeight="1">
      <c r="A37" s="154"/>
      <c r="B37" s="445" t="s">
        <v>122</v>
      </c>
      <c r="C37" s="236"/>
      <c r="D37" s="826" t="str">
        <f>IF(ISBLANK(Programmatic!L25),"",(Programmatic!L25))</f>
        <v xml:space="preserve">The relatively low indicator relates to the actual (decreased) number of TB patients in the country. </v>
      </c>
      <c r="E37" s="827"/>
      <c r="F37" s="827"/>
      <c r="G37" s="828"/>
      <c r="H37" s="189"/>
      <c r="I37" s="781"/>
      <c r="J37" s="782"/>
      <c r="K37" s="782"/>
      <c r="L37" s="782"/>
      <c r="M37" s="782"/>
      <c r="N37" s="783"/>
      <c r="O37" s="35"/>
    </row>
    <row r="38" spans="1:15" ht="21.75" customHeight="1">
      <c r="A38" s="154"/>
      <c r="B38" s="445" t="s">
        <v>123</v>
      </c>
      <c r="C38" s="236"/>
      <c r="D38" s="826" t="str">
        <f>IF(ISBLANK(Programmatic!L26),"",(Programmatic!L26))</f>
        <v/>
      </c>
      <c r="E38" s="827"/>
      <c r="F38" s="827"/>
      <c r="G38" s="828"/>
      <c r="H38" s="189"/>
      <c r="I38" s="781"/>
      <c r="J38" s="782"/>
      <c r="K38" s="782"/>
      <c r="L38" s="782"/>
      <c r="M38" s="782"/>
      <c r="N38" s="783"/>
      <c r="O38" s="35"/>
    </row>
    <row r="39" spans="1:15" ht="21.75" customHeight="1">
      <c r="A39" s="154"/>
      <c r="B39" s="445" t="s">
        <v>124</v>
      </c>
      <c r="C39" s="236"/>
      <c r="D39" s="826" t="str">
        <f>IF(ISBLANK(Programmatic!L27),"",(Programmatic!L27))</f>
        <v/>
      </c>
      <c r="E39" s="827"/>
      <c r="F39" s="827"/>
      <c r="G39" s="828"/>
      <c r="H39" s="189"/>
      <c r="I39" s="781"/>
      <c r="J39" s="782"/>
      <c r="K39" s="782"/>
      <c r="L39" s="782"/>
      <c r="M39" s="782"/>
      <c r="N39" s="783"/>
      <c r="O39" s="35"/>
    </row>
    <row r="40" spans="1:15" ht="21.75" customHeight="1">
      <c r="A40" s="154"/>
      <c r="B40" s="445" t="s">
        <v>125</v>
      </c>
      <c r="C40" s="236"/>
      <c r="D40" s="826" t="str">
        <f>IF(ISBLANK(Programmatic!L28),"",(Programmatic!L28))</f>
        <v/>
      </c>
      <c r="E40" s="827"/>
      <c r="F40" s="827"/>
      <c r="G40" s="828"/>
      <c r="H40" s="189"/>
      <c r="I40" s="781"/>
      <c r="J40" s="782"/>
      <c r="K40" s="782"/>
      <c r="L40" s="782"/>
      <c r="M40" s="782"/>
      <c r="N40" s="783"/>
      <c r="O40" s="35"/>
    </row>
    <row r="41" spans="1:15" ht="21.75" customHeight="1" thickBot="1">
      <c r="A41" s="154"/>
      <c r="B41" s="445" t="s">
        <v>126</v>
      </c>
      <c r="C41" s="194"/>
      <c r="D41" s="826" t="str">
        <f>IF(ISBLANK(Programmatic!L29),"",(Programmatic!L29))</f>
        <v/>
      </c>
      <c r="E41" s="827"/>
      <c r="F41" s="827"/>
      <c r="G41" s="828"/>
      <c r="H41" s="189"/>
      <c r="I41" s="784"/>
      <c r="J41" s="785"/>
      <c r="K41" s="785"/>
      <c r="L41" s="785"/>
      <c r="M41" s="785"/>
      <c r="N41" s="786"/>
      <c r="O41" s="35"/>
    </row>
    <row r="42" spans="1:15" ht="13.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20" zoomScale="110" zoomScaleNormal="110" zoomScaleSheetLayoutView="100" zoomScalePageLayoutView="110" workbookViewId="0">
      <selection activeCell="B32" sqref="B32:E33"/>
    </sheetView>
  </sheetViews>
  <sheetFormatPr defaultColWidth="11" defaultRowHeight="14.5"/>
  <cols>
    <col min="1" max="1" width="4.1796875" customWidth="1"/>
    <col min="2" max="2" width="14.453125" customWidth="1"/>
    <col min="3" max="3" width="12.453125" customWidth="1"/>
    <col min="4" max="4" width="11.453125" customWidth="1"/>
    <col min="5" max="5" width="19" customWidth="1"/>
    <col min="6" max="6" width="1.453125" customWidth="1"/>
    <col min="7" max="7" width="11.453125" customWidth="1"/>
    <col min="8" max="8" width="9.453125" customWidth="1"/>
    <col min="9" max="9" width="11.453125" customWidth="1"/>
    <col min="10" max="10" width="12.453125" customWidth="1"/>
    <col min="11" max="11" width="10.453125" customWidth="1"/>
    <col min="12" max="12" width="9.7265625" customWidth="1"/>
  </cols>
  <sheetData>
    <row r="1" spans="1:13" ht="30.75" customHeight="1"/>
    <row r="2" spans="1:13" ht="27.75" customHeight="1">
      <c r="B2" s="742" t="str">
        <f>+"Dashboard:  "&amp;"  "&amp;IF(+'Data Entry'!C4="Please Select","",'Data Entry'!C4&amp;" - ")&amp;IF('Data Entry'!G6="Please Select","",'Data Entry'!G6)</f>
        <v>Dashboard:    Georgia - TB</v>
      </c>
      <c r="C2" s="742"/>
      <c r="D2" s="742"/>
      <c r="E2" s="742"/>
      <c r="F2" s="742"/>
      <c r="G2" s="742"/>
      <c r="H2" s="742"/>
      <c r="I2" s="742"/>
      <c r="J2" s="742"/>
      <c r="K2" s="742"/>
      <c r="L2" s="742"/>
    </row>
    <row r="3" spans="1:13">
      <c r="B3" s="24" t="str">
        <f>+IF('Data Entry'!G8="Please Select","",'Data Entry'!G8)</f>
        <v>Round 10</v>
      </c>
      <c r="C3" s="741" t="str">
        <f>+IF('Data Entry'!I8="Please Select","",'Data Entry'!I8)</f>
        <v>Phase 2</v>
      </c>
      <c r="D3" s="741"/>
      <c r="E3" s="739"/>
      <c r="F3" s="739"/>
      <c r="G3" s="739"/>
      <c r="H3" s="739"/>
      <c r="I3" s="739"/>
      <c r="J3" s="735" t="str">
        <f>+'Data Entry'!B16</f>
        <v>Report Period:</v>
      </c>
      <c r="K3" s="735"/>
      <c r="L3" s="202" t="str">
        <f>+'Data Entry'!C16</f>
        <v>P8</v>
      </c>
      <c r="M3" s="85"/>
    </row>
    <row r="4" spans="1:13">
      <c r="B4" s="24" t="str">
        <f>+'Data Entry'!B12</f>
        <v>Latest Rating:</v>
      </c>
      <c r="C4" s="887" t="str">
        <f>+IF('Data Entry'!C12="Please Select","",'Data Entry'!C12)</f>
        <v>A2</v>
      </c>
      <c r="D4" s="887"/>
      <c r="E4" s="739" t="str">
        <f>+'Data Entry'!C8</f>
        <v>NCDC</v>
      </c>
      <c r="F4" s="739"/>
      <c r="G4" s="739"/>
      <c r="H4" s="739"/>
      <c r="I4" s="739"/>
      <c r="J4" s="735" t="str">
        <f>+'Data Entry'!D16</f>
        <v>From:</v>
      </c>
      <c r="K4" s="736"/>
      <c r="L4" s="203">
        <f>+IF(ISBLANK('Data Entry'!E16),"",'Data Entry'!E16)</f>
        <v>42370</v>
      </c>
    </row>
    <row r="5" spans="1:13" ht="18.75" customHeight="1">
      <c r="B5" s="24"/>
      <c r="C5" s="24"/>
      <c r="D5" s="739">
        <f>+'Data Entry'!G4</f>
        <v>0</v>
      </c>
      <c r="E5" s="739"/>
      <c r="F5" s="739"/>
      <c r="G5" s="739"/>
      <c r="H5" s="739"/>
      <c r="I5" s="739"/>
      <c r="J5" s="739"/>
      <c r="K5" s="24" t="str">
        <f>+'Data Entry'!F16</f>
        <v>To:</v>
      </c>
      <c r="L5" s="203">
        <f>+IF(ISBLANK('Data Entry'!G16),"",'Data Entry'!G16)</f>
        <v>42460</v>
      </c>
    </row>
    <row r="6" spans="1:13" ht="18.5">
      <c r="B6" s="23"/>
      <c r="C6" s="24"/>
      <c r="D6" s="25"/>
      <c r="E6" s="743" t="s">
        <v>373</v>
      </c>
      <c r="F6" s="743"/>
      <c r="G6" s="743"/>
      <c r="H6" s="743"/>
      <c r="I6" s="743"/>
    </row>
    <row r="7" spans="1:13" ht="18.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89"/>
      <c r="C10" s="890"/>
      <c r="D10" s="890"/>
      <c r="E10" s="890"/>
      <c r="F10" s="890"/>
      <c r="G10" s="890"/>
      <c r="H10" s="890"/>
      <c r="I10" s="890"/>
      <c r="J10" s="890"/>
      <c r="K10" s="890"/>
      <c r="L10" s="891"/>
    </row>
    <row r="11" spans="1:13">
      <c r="B11" s="892"/>
      <c r="C11" s="893"/>
      <c r="D11" s="893"/>
      <c r="E11" s="893"/>
      <c r="F11" s="893"/>
      <c r="G11" s="893"/>
      <c r="H11" s="893"/>
      <c r="I11" s="893"/>
      <c r="J11" s="893"/>
      <c r="K11" s="893"/>
      <c r="L11" s="894"/>
    </row>
    <row r="12" spans="1:13" ht="15" thickBot="1"/>
    <row r="13" spans="1:13" ht="26.25" customHeight="1" thickBot="1">
      <c r="B13" s="849" t="s">
        <v>306</v>
      </c>
      <c r="C13" s="850"/>
      <c r="D13" s="850"/>
      <c r="E13" s="851"/>
      <c r="F13" s="77"/>
      <c r="G13" s="844" t="s">
        <v>129</v>
      </c>
      <c r="H13" s="845"/>
      <c r="I13" s="845"/>
      <c r="J13" s="78" t="s">
        <v>97</v>
      </c>
      <c r="K13" s="845" t="s">
        <v>293</v>
      </c>
      <c r="L13" s="883"/>
    </row>
    <row r="14" spans="1:13">
      <c r="A14" s="841" t="s">
        <v>307</v>
      </c>
      <c r="B14" s="868"/>
      <c r="C14" s="868"/>
      <c r="D14" s="868"/>
      <c r="E14" s="869"/>
      <c r="F14" s="46"/>
      <c r="G14" s="875"/>
      <c r="H14" s="874"/>
      <c r="I14" s="874"/>
      <c r="J14" s="874"/>
      <c r="K14" s="874"/>
      <c r="L14" s="888"/>
    </row>
    <row r="15" spans="1:13">
      <c r="A15" s="842"/>
      <c r="B15" s="868"/>
      <c r="C15" s="868"/>
      <c r="D15" s="868"/>
      <c r="E15" s="869"/>
      <c r="F15" s="46"/>
      <c r="G15" s="846"/>
      <c r="H15" s="847"/>
      <c r="I15" s="847"/>
      <c r="J15" s="847"/>
      <c r="K15" s="847"/>
      <c r="L15" s="882"/>
    </row>
    <row r="16" spans="1:13">
      <c r="A16" s="842"/>
      <c r="B16" s="868"/>
      <c r="C16" s="868"/>
      <c r="D16" s="868"/>
      <c r="E16" s="869"/>
      <c r="F16" s="46"/>
      <c r="G16" s="846"/>
      <c r="H16" s="847"/>
      <c r="I16" s="847"/>
      <c r="J16" s="847"/>
      <c r="K16" s="847"/>
      <c r="L16" s="882"/>
    </row>
    <row r="17" spans="1:12">
      <c r="A17" s="842"/>
      <c r="B17" s="868"/>
      <c r="C17" s="868"/>
      <c r="D17" s="868"/>
      <c r="E17" s="869"/>
      <c r="F17" s="46"/>
      <c r="G17" s="846"/>
      <c r="H17" s="847"/>
      <c r="I17" s="847"/>
      <c r="J17" s="847"/>
      <c r="K17" s="847"/>
      <c r="L17" s="882"/>
    </row>
    <row r="18" spans="1:12">
      <c r="A18" s="842"/>
      <c r="B18" s="868"/>
      <c r="C18" s="868"/>
      <c r="D18" s="868"/>
      <c r="E18" s="869"/>
      <c r="F18" s="46"/>
      <c r="G18" s="876"/>
      <c r="H18" s="877"/>
      <c r="I18" s="878"/>
      <c r="J18" s="847"/>
      <c r="K18" s="847"/>
      <c r="L18" s="882"/>
    </row>
    <row r="19" spans="1:12" ht="30.75" customHeight="1">
      <c r="A19" s="842"/>
      <c r="B19" s="868"/>
      <c r="C19" s="868"/>
      <c r="D19" s="868"/>
      <c r="E19" s="869"/>
      <c r="F19" s="46"/>
      <c r="G19" s="859"/>
      <c r="H19" s="860"/>
      <c r="I19" s="879"/>
      <c r="J19" s="847"/>
      <c r="K19" s="847"/>
      <c r="L19" s="882"/>
    </row>
    <row r="20" spans="1:12">
      <c r="A20" s="842"/>
      <c r="B20" s="868"/>
      <c r="C20" s="868"/>
      <c r="D20" s="868"/>
      <c r="E20" s="869"/>
      <c r="F20" s="46"/>
      <c r="G20" s="846"/>
      <c r="H20" s="847"/>
      <c r="I20" s="847"/>
      <c r="J20" s="847"/>
      <c r="K20" s="847"/>
      <c r="L20" s="882"/>
    </row>
    <row r="21" spans="1:12">
      <c r="A21" s="842"/>
      <c r="B21" s="868"/>
      <c r="C21" s="868"/>
      <c r="D21" s="868"/>
      <c r="E21" s="869"/>
      <c r="F21" s="46"/>
      <c r="G21" s="846"/>
      <c r="H21" s="847"/>
      <c r="I21" s="847"/>
      <c r="J21" s="847"/>
      <c r="K21" s="847"/>
      <c r="L21" s="882"/>
    </row>
    <row r="22" spans="1:12">
      <c r="A22" s="842"/>
      <c r="B22" s="868"/>
      <c r="C22" s="868"/>
      <c r="D22" s="868"/>
      <c r="E22" s="869"/>
      <c r="F22" s="46"/>
      <c r="G22" s="846"/>
      <c r="H22" s="847"/>
      <c r="I22" s="847"/>
      <c r="J22" s="847"/>
      <c r="K22" s="847"/>
      <c r="L22" s="882"/>
    </row>
    <row r="23" spans="1:12">
      <c r="A23" s="842"/>
      <c r="B23" s="868"/>
      <c r="C23" s="868"/>
      <c r="D23" s="868"/>
      <c r="E23" s="869"/>
      <c r="F23" s="46"/>
      <c r="G23" s="846"/>
      <c r="H23" s="847"/>
      <c r="I23" s="847"/>
      <c r="J23" s="847"/>
      <c r="K23" s="847"/>
      <c r="L23" s="882"/>
    </row>
    <row r="24" spans="1:12">
      <c r="A24" s="842"/>
      <c r="B24" s="868"/>
      <c r="C24" s="868"/>
      <c r="D24" s="868"/>
      <c r="E24" s="869"/>
      <c r="F24" s="46"/>
      <c r="G24" s="846"/>
      <c r="H24" s="847"/>
      <c r="I24" s="847"/>
      <c r="J24" s="847"/>
      <c r="K24" s="847"/>
      <c r="L24" s="882"/>
    </row>
    <row r="25" spans="1:12" ht="15" thickBot="1">
      <c r="A25" s="843"/>
      <c r="B25" s="870"/>
      <c r="C25" s="870"/>
      <c r="D25" s="870"/>
      <c r="E25" s="871"/>
      <c r="F25" s="46"/>
      <c r="G25" s="852"/>
      <c r="H25" s="853"/>
      <c r="I25" s="853"/>
      <c r="J25" s="853"/>
      <c r="K25" s="853"/>
      <c r="L25" s="884"/>
    </row>
    <row r="27" spans="1:12" ht="18.5">
      <c r="E27" s="848" t="s">
        <v>336</v>
      </c>
      <c r="F27" s="848"/>
      <c r="G27" s="848"/>
      <c r="H27" s="848"/>
      <c r="I27" s="848"/>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49" t="s">
        <v>129</v>
      </c>
      <c r="C31" s="850"/>
      <c r="D31" s="850"/>
      <c r="E31" s="851"/>
      <c r="F31" s="77"/>
      <c r="G31" s="844" t="s">
        <v>321</v>
      </c>
      <c r="H31" s="845"/>
      <c r="I31" s="845"/>
      <c r="J31" s="78" t="s">
        <v>295</v>
      </c>
      <c r="K31" s="845" t="s">
        <v>293</v>
      </c>
      <c r="L31" s="883"/>
    </row>
    <row r="32" spans="1:12" ht="14.25" customHeight="1">
      <c r="A32" s="841" t="s">
        <v>308</v>
      </c>
      <c r="B32" s="856" t="s">
        <v>451</v>
      </c>
      <c r="C32" s="857"/>
      <c r="D32" s="857"/>
      <c r="E32" s="858"/>
      <c r="F32" s="46"/>
      <c r="G32" s="872" t="s">
        <v>445</v>
      </c>
      <c r="H32" s="873"/>
      <c r="I32" s="873"/>
      <c r="J32" s="873" t="s">
        <v>446</v>
      </c>
      <c r="K32" s="873" t="s">
        <v>449</v>
      </c>
      <c r="L32" s="886"/>
    </row>
    <row r="33" spans="1:12" ht="16.5" customHeight="1">
      <c r="A33" s="842"/>
      <c r="B33" s="859"/>
      <c r="C33" s="860"/>
      <c r="D33" s="860"/>
      <c r="E33" s="861"/>
      <c r="F33" s="46"/>
      <c r="G33" s="854"/>
      <c r="H33" s="855"/>
      <c r="I33" s="855"/>
      <c r="J33" s="855"/>
      <c r="K33" s="855"/>
      <c r="L33" s="885"/>
    </row>
    <row r="34" spans="1:12">
      <c r="A34" s="842"/>
      <c r="B34" s="862" t="s">
        <v>447</v>
      </c>
      <c r="C34" s="863"/>
      <c r="D34" s="863"/>
      <c r="E34" s="864"/>
      <c r="F34" s="46"/>
      <c r="G34" s="854" t="s">
        <v>448</v>
      </c>
      <c r="H34" s="855"/>
      <c r="I34" s="855"/>
      <c r="J34" s="855"/>
      <c r="K34" s="855" t="s">
        <v>450</v>
      </c>
      <c r="L34" s="885"/>
    </row>
    <row r="35" spans="1:12">
      <c r="A35" s="842"/>
      <c r="B35" s="862"/>
      <c r="C35" s="863"/>
      <c r="D35" s="863"/>
      <c r="E35" s="864"/>
      <c r="F35" s="46"/>
      <c r="G35" s="854"/>
      <c r="H35" s="855"/>
      <c r="I35" s="855"/>
      <c r="J35" s="855"/>
      <c r="K35" s="855"/>
      <c r="L35" s="885"/>
    </row>
    <row r="36" spans="1:12">
      <c r="A36" s="842"/>
      <c r="B36" s="862" t="str">
        <f>+IF(Recommendations!I53="","",Recommendations!I53)</f>
        <v/>
      </c>
      <c r="C36" s="863"/>
      <c r="D36" s="863"/>
      <c r="E36" s="864"/>
      <c r="F36" s="46"/>
      <c r="G36" s="854"/>
      <c r="H36" s="855"/>
      <c r="I36" s="855"/>
      <c r="J36" s="855"/>
      <c r="K36" s="855"/>
      <c r="L36" s="885"/>
    </row>
    <row r="37" spans="1:12">
      <c r="A37" s="842"/>
      <c r="B37" s="862"/>
      <c r="C37" s="863"/>
      <c r="D37" s="863"/>
      <c r="E37" s="864"/>
      <c r="F37" s="46"/>
      <c r="G37" s="854"/>
      <c r="H37" s="855"/>
      <c r="I37" s="855"/>
      <c r="J37" s="855"/>
      <c r="K37" s="855"/>
      <c r="L37" s="885"/>
    </row>
    <row r="38" spans="1:12">
      <c r="A38" s="842"/>
      <c r="B38" s="862"/>
      <c r="C38" s="863"/>
      <c r="D38" s="863"/>
      <c r="E38" s="864"/>
      <c r="F38" s="46"/>
      <c r="G38" s="854"/>
      <c r="H38" s="855"/>
      <c r="I38" s="855"/>
      <c r="J38" s="855"/>
      <c r="K38" s="855"/>
      <c r="L38" s="885"/>
    </row>
    <row r="39" spans="1:12">
      <c r="A39" s="842"/>
      <c r="B39" s="862"/>
      <c r="C39" s="863"/>
      <c r="D39" s="863"/>
      <c r="E39" s="864"/>
      <c r="F39" s="46"/>
      <c r="G39" s="854"/>
      <c r="H39" s="855"/>
      <c r="I39" s="855"/>
      <c r="J39" s="855"/>
      <c r="K39" s="855"/>
      <c r="L39" s="885"/>
    </row>
    <row r="40" spans="1:12">
      <c r="A40" s="842"/>
      <c r="B40" s="862"/>
      <c r="C40" s="863"/>
      <c r="D40" s="863"/>
      <c r="E40" s="864"/>
      <c r="F40" s="46"/>
      <c r="G40" s="854"/>
      <c r="H40" s="855"/>
      <c r="I40" s="855"/>
      <c r="J40" s="855"/>
      <c r="K40" s="855"/>
      <c r="L40" s="885"/>
    </row>
    <row r="41" spans="1:12">
      <c r="A41" s="842"/>
      <c r="B41" s="862"/>
      <c r="C41" s="863"/>
      <c r="D41" s="863"/>
      <c r="E41" s="864"/>
      <c r="F41" s="46"/>
      <c r="G41" s="854"/>
      <c r="H41" s="855"/>
      <c r="I41" s="855"/>
      <c r="J41" s="855"/>
      <c r="K41" s="855"/>
      <c r="L41" s="885"/>
    </row>
    <row r="42" spans="1:12">
      <c r="A42" s="842"/>
      <c r="B42" s="862"/>
      <c r="C42" s="863"/>
      <c r="D42" s="863"/>
      <c r="E42" s="864"/>
      <c r="F42" s="46"/>
      <c r="G42" s="854"/>
      <c r="H42" s="855"/>
      <c r="I42" s="855"/>
      <c r="J42" s="855"/>
      <c r="K42" s="855"/>
      <c r="L42" s="885"/>
    </row>
    <row r="43" spans="1:12" ht="15" thickBot="1">
      <c r="A43" s="843"/>
      <c r="B43" s="865"/>
      <c r="C43" s="866"/>
      <c r="D43" s="866"/>
      <c r="E43" s="867"/>
      <c r="F43" s="46"/>
      <c r="G43" s="880"/>
      <c r="H43" s="881"/>
      <c r="I43" s="881"/>
      <c r="J43" s="881"/>
      <c r="K43" s="881"/>
      <c r="L43" s="895"/>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4.5"/>
  <cols>
    <col min="1" max="1" width="11.453125" customWidth="1"/>
    <col min="2" max="2" width="16.1796875" customWidth="1"/>
    <col min="3" max="3" width="14.7265625" customWidth="1"/>
    <col min="4" max="4" width="15.453125" customWidth="1"/>
    <col min="5" max="6" width="11.453125" customWidth="1"/>
    <col min="7" max="7" width="14.453125" customWidth="1"/>
    <col min="8" max="8" width="35.453125" customWidth="1"/>
    <col min="9" max="9" width="45.7265625" customWidth="1"/>
    <col min="10" max="10" width="33.453125" customWidth="1"/>
    <col min="11" max="12" width="11.453125" customWidth="1"/>
    <col min="13" max="13" width="28.453125" customWidth="1"/>
    <col min="14" max="14" width="46.453125" customWidth="1"/>
  </cols>
  <sheetData>
    <row r="2" spans="2:15" ht="25.5" customHeight="1"/>
    <row r="3" spans="2:15" ht="36">
      <c r="B3" s="896" t="str">
        <f>'Grant Detail'!B3:J3</f>
        <v>Dashboard:  Georgia - TB</v>
      </c>
      <c r="C3" s="896"/>
      <c r="D3" s="896"/>
      <c r="E3" s="896"/>
      <c r="F3" s="896"/>
      <c r="G3" s="896"/>
      <c r="H3" s="896"/>
      <c r="I3" s="1"/>
    </row>
    <row r="6" spans="2:15" ht="18.5">
      <c r="B6" s="848" t="s">
        <v>320</v>
      </c>
      <c r="C6" s="848"/>
      <c r="D6" s="848"/>
      <c r="E6" s="848"/>
      <c r="F6" s="848"/>
      <c r="G6" s="848"/>
      <c r="H6" s="848"/>
    </row>
    <row r="8" spans="2:15" ht="18.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6" t="s">
        <v>374</v>
      </c>
      <c r="J9" s="86" t="s">
        <v>374</v>
      </c>
      <c r="M9" s="19"/>
      <c r="N9" s="19"/>
      <c r="O9" s="19"/>
    </row>
    <row r="10" spans="2:15">
      <c r="B10" s="57" t="s">
        <v>28</v>
      </c>
      <c r="C10" s="57" t="s">
        <v>19</v>
      </c>
      <c r="D10" s="57" t="s">
        <v>17</v>
      </c>
      <c r="E10" s="57" t="s">
        <v>18</v>
      </c>
      <c r="F10" s="57" t="s">
        <v>106</v>
      </c>
      <c r="G10" s="435" t="s">
        <v>44</v>
      </c>
      <c r="H10" s="60" t="s">
        <v>49</v>
      </c>
      <c r="I10" s="27" t="s">
        <v>300</v>
      </c>
      <c r="J10" s="86" t="s">
        <v>131</v>
      </c>
      <c r="M10" s="19"/>
      <c r="N10" s="19"/>
      <c r="O10" s="19"/>
    </row>
    <row r="11" spans="2:15">
      <c r="B11" s="57" t="s">
        <v>34</v>
      </c>
      <c r="C11" s="57" t="s">
        <v>14</v>
      </c>
      <c r="D11" s="57" t="s">
        <v>20</v>
      </c>
      <c r="E11" s="57" t="s">
        <v>16</v>
      </c>
      <c r="F11" s="57" t="s">
        <v>107</v>
      </c>
      <c r="G11" s="435" t="s">
        <v>45</v>
      </c>
      <c r="H11" s="60" t="s">
        <v>50</v>
      </c>
      <c r="I11" s="27" t="s">
        <v>301</v>
      </c>
      <c r="J11" s="86" t="s">
        <v>132</v>
      </c>
      <c r="M11" s="19"/>
      <c r="N11" s="19"/>
      <c r="O11" s="19"/>
    </row>
    <row r="12" spans="2:15">
      <c r="B12" s="57" t="s">
        <v>35</v>
      </c>
      <c r="D12" s="57" t="s">
        <v>23</v>
      </c>
      <c r="E12" s="57" t="s">
        <v>24</v>
      </c>
      <c r="F12" s="57" t="s">
        <v>108</v>
      </c>
      <c r="G12" s="435" t="s">
        <v>46</v>
      </c>
      <c r="H12" s="60" t="s">
        <v>51</v>
      </c>
      <c r="I12" s="27" t="s">
        <v>302</v>
      </c>
      <c r="J12" s="86" t="s">
        <v>133</v>
      </c>
      <c r="M12" s="199"/>
      <c r="N12" s="19"/>
      <c r="O12" s="19"/>
    </row>
    <row r="13" spans="2:15">
      <c r="B13" s="57" t="s">
        <v>84</v>
      </c>
      <c r="D13" s="57" t="s">
        <v>25</v>
      </c>
      <c r="E13" s="58"/>
      <c r="F13" s="57" t="s">
        <v>109</v>
      </c>
      <c r="G13" s="435" t="s">
        <v>47</v>
      </c>
      <c r="H13" s="60" t="s">
        <v>52</v>
      </c>
      <c r="I13" s="27" t="s">
        <v>303</v>
      </c>
      <c r="J13" s="86" t="s">
        <v>134</v>
      </c>
      <c r="M13" s="199"/>
      <c r="N13" s="19"/>
      <c r="O13" s="19"/>
    </row>
    <row r="14" spans="2:15">
      <c r="B14" s="57" t="s">
        <v>85</v>
      </c>
      <c r="D14" s="57" t="s">
        <v>38</v>
      </c>
      <c r="F14" s="57" t="s">
        <v>121</v>
      </c>
      <c r="G14" s="435"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4"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D1A7189D-6043-4BCC-A93B-7366B7BCBFA9}">
  <ds:schemaRefs>
    <ds:schemaRef ds:uri="http://purl.org/dc/terms/"/>
    <ds:schemaRef ds:uri="http://www.w3.org/XML/1998/namespace"/>
    <ds:schemaRef ds:uri="http://schemas.openxmlformats.org/package/2006/metadata/core-properties"/>
    <ds:schemaRef ds:uri="http://schemas.microsoft.com/office/2006/metadata/properties"/>
    <ds:schemaRef ds:uri="http://schemas.microsoft.com/sharepoint/v3"/>
    <ds:schemaRef ds:uri="http://purl.org/dc/elements/1.1/"/>
    <ds:schemaRef ds:uri="http://schemas.microsoft.com/office/2006/documentManagement/types"/>
    <ds:schemaRef ds:uri="f127e3a1-6a43-4b35-8211-dfdf2a8cace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2015-03-11T10:26:05Z</cp:lastPrinted>
  <dcterms:created xsi:type="dcterms:W3CDTF">2008-11-20T16:06:13Z</dcterms:created>
  <dcterms:modified xsi:type="dcterms:W3CDTF">2016-06-01T18:08:01Z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