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0" yWindow="0" windowWidth="20730" windowHeight="11760" tabRatio="721" activeTab="8"/>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H96" i="29" l="1"/>
  <c r="C55" i="29" l="1"/>
  <c r="C54" i="29"/>
  <c r="C53" i="29"/>
  <c r="C52" i="29"/>
  <c r="D43" i="29"/>
  <c r="D42" i="29"/>
  <c r="D41" i="29"/>
  <c r="D40" i="29"/>
  <c r="D39" i="29"/>
  <c r="C43" i="29"/>
  <c r="C42" i="29"/>
  <c r="C41" i="29"/>
  <c r="C40" i="29"/>
  <c r="C39" i="29"/>
  <c r="E108" i="29" l="1"/>
  <c r="G108" i="29"/>
  <c r="E109" i="29"/>
  <c r="G109" i="29"/>
  <c r="E110" i="29"/>
  <c r="G110" i="29"/>
  <c r="E111" i="29"/>
  <c r="G111" i="29"/>
  <c r="C47" i="29"/>
  <c r="G31" i="29"/>
  <c r="F31" i="29"/>
  <c r="E31" i="29"/>
  <c r="E32" i="29"/>
  <c r="D31" i="29"/>
  <c r="D32" i="29"/>
  <c r="C31" i="29"/>
  <c r="C33" i="29"/>
  <c r="D33" i="29"/>
  <c r="E33" i="29"/>
  <c r="F33" i="29"/>
  <c r="G33" i="29"/>
  <c r="H33" i="29"/>
  <c r="C34" i="29"/>
  <c r="D34" i="29"/>
  <c r="F96" i="29"/>
  <c r="E55" i="29"/>
  <c r="D47" i="29"/>
  <c r="E52" i="29"/>
  <c r="E97" i="29"/>
  <c r="C35" i="29"/>
  <c r="E20" i="37"/>
  <c r="B22" i="45"/>
  <c r="F29" i="37"/>
  <c r="F28" i="37"/>
  <c r="F27" i="37"/>
  <c r="F26" i="37"/>
  <c r="F25" i="37"/>
  <c r="E29" i="37"/>
  <c r="E28" i="37"/>
  <c r="E27" i="37"/>
  <c r="E26" i="37"/>
  <c r="E25" i="37"/>
  <c r="F24" i="37"/>
  <c r="E24" i="37"/>
  <c r="F23" i="37"/>
  <c r="E23" i="37"/>
  <c r="F22" i="37"/>
  <c r="E22" i="37"/>
  <c r="F21" i="37"/>
  <c r="E21" i="37"/>
  <c r="F20"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E34" i="29"/>
  <c r="F34" i="29"/>
  <c r="D11" i="42"/>
  <c r="J3" i="35"/>
  <c r="L3" i="35"/>
  <c r="B15" i="35"/>
  <c r="I3" i="30"/>
  <c r="K3" i="30"/>
  <c r="H8" i="30"/>
  <c r="D33" i="42"/>
  <c r="D34" i="42"/>
  <c r="D35" i="42"/>
  <c r="D36" i="42"/>
  <c r="D37" i="42"/>
  <c r="D38" i="42"/>
  <c r="D39" i="42"/>
  <c r="D40" i="42"/>
  <c r="D41" i="42"/>
  <c r="D32" i="42"/>
  <c r="D31" i="42"/>
  <c r="D30" i="42"/>
  <c r="D29" i="42"/>
  <c r="I109" i="29"/>
  <c r="J31" i="35"/>
  <c r="I108" i="29"/>
  <c r="I110" i="29"/>
  <c r="I111" i="29"/>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L33" i="29"/>
  <c r="L35" i="29"/>
  <c r="M33" i="29"/>
  <c r="Q51" i="29" s="1"/>
  <c r="M35" i="29"/>
  <c r="N33" i="29"/>
  <c r="N35" i="29"/>
  <c r="L34" i="29"/>
  <c r="M34" i="29"/>
  <c r="N34"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s="1"/>
  <c r="G12" i="27"/>
  <c r="H4" i="1"/>
  <c r="K148" i="29"/>
  <c r="K147" i="29"/>
  <c r="K146" i="29"/>
  <c r="K145" i="29"/>
  <c r="K144" i="29"/>
  <c r="K143" i="29"/>
  <c r="C98" i="29"/>
  <c r="D98" i="29"/>
  <c r="E98" i="29"/>
  <c r="F98" i="29"/>
  <c r="G98" i="29"/>
  <c r="H98" i="29"/>
  <c r="I98" i="29"/>
  <c r="J98" i="29"/>
  <c r="K98" i="29"/>
  <c r="L98" i="29"/>
  <c r="M98" i="29"/>
  <c r="N98" i="29"/>
  <c r="G72" i="29"/>
  <c r="K27" i="30"/>
  <c r="J27" i="30"/>
  <c r="K28" i="30"/>
  <c r="J28" i="30"/>
  <c r="K29" i="30"/>
  <c r="J29" i="30"/>
  <c r="E53"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B3" i="32"/>
  <c r="C100" i="29"/>
  <c r="D100" i="29"/>
  <c r="E100" i="29"/>
  <c r="F100" i="29"/>
  <c r="G100" i="29"/>
  <c r="H100" i="29"/>
  <c r="I100" i="29" s="1"/>
  <c r="J100" i="29" s="1"/>
  <c r="K100" i="29" s="1"/>
  <c r="L100" i="29" s="1"/>
  <c r="M100" i="29" s="1"/>
  <c r="N100" i="29" s="1"/>
  <c r="C99" i="29"/>
  <c r="D99" i="29"/>
  <c r="E99" i="29"/>
  <c r="F99" i="29"/>
  <c r="G99" i="29"/>
  <c r="H99" i="29"/>
  <c r="I99" i="29"/>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B20" i="37"/>
  <c r="B27" i="37"/>
  <c r="N142" i="29"/>
  <c r="M142" i="29"/>
  <c r="L142" i="29"/>
  <c r="K142" i="29"/>
  <c r="J142" i="29"/>
  <c r="I142" i="29"/>
  <c r="H142" i="29"/>
  <c r="B36" i="39"/>
  <c r="B34" i="39"/>
  <c r="E54" i="29"/>
  <c r="B34" i="35"/>
  <c r="Z24" i="37"/>
  <c r="AA24" i="37"/>
  <c r="Z23" i="37"/>
  <c r="AA23" i="37"/>
  <c r="Z22" i="37"/>
  <c r="AA22" i="37"/>
  <c r="AF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B8" i="30"/>
  <c r="H22" i="30"/>
  <c r="AE22" i="37"/>
  <c r="B22" i="30"/>
  <c r="H7" i="35"/>
  <c r="B7" i="35"/>
  <c r="R29" i="29"/>
  <c r="D35" i="29"/>
  <c r="G34" i="29"/>
  <c r="H34" i="29" s="1"/>
  <c r="J33" i="35"/>
  <c r="K111" i="29"/>
  <c r="L33" i="35"/>
  <c r="AF23" i="37"/>
  <c r="AE23" i="37"/>
  <c r="AD23" i="37"/>
  <c r="AB23" i="37"/>
  <c r="AC23" i="37"/>
  <c r="AE24" i="37"/>
  <c r="AD24" i="37"/>
  <c r="AC24" i="37"/>
  <c r="AF24" i="37"/>
  <c r="AB24" i="37"/>
  <c r="J32" i="35"/>
  <c r="K110" i="29"/>
  <c r="L32" i="35"/>
  <c r="H26" i="35"/>
  <c r="AB22" i="37"/>
  <c r="K109" i="29"/>
  <c r="L31" i="35"/>
  <c r="AD22" i="37"/>
  <c r="H15" i="35"/>
  <c r="AC22" i="37"/>
  <c r="R30" i="29"/>
  <c r="R31" i="29"/>
  <c r="E35" i="29"/>
  <c r="R32" i="29"/>
  <c r="F35" i="29"/>
  <c r="G35" i="29"/>
  <c r="R33" i="29"/>
  <c r="J30" i="35"/>
  <c r="K108" i="29"/>
  <c r="L30" i="35"/>
  <c r="F20" i="42" l="1"/>
  <c r="G20" i="37"/>
  <c r="G28" i="37"/>
  <c r="F47" i="29"/>
  <c r="G27" i="37"/>
  <c r="I33" i="29"/>
  <c r="I35" i="29" s="1"/>
  <c r="R34" i="29"/>
  <c r="G23" i="37"/>
  <c r="G22" i="37"/>
  <c r="G24" i="37"/>
  <c r="G26" i="37"/>
  <c r="G25" i="37"/>
  <c r="G29" i="37"/>
  <c r="I34" i="29"/>
  <c r="J34" i="29" s="1"/>
  <c r="K34" i="29" s="1"/>
  <c r="H35" i="29"/>
  <c r="R35" i="29"/>
  <c r="J33" i="29"/>
  <c r="G21" i="37"/>
  <c r="J35" i="29" l="1"/>
  <c r="K33" i="29"/>
  <c r="R49" i="29"/>
  <c r="R50" i="29" l="1"/>
  <c r="K35" i="29"/>
  <c r="O31" i="29" s="1"/>
</calcChain>
</file>

<file path=xl/comments1.xml><?xml version="1.0" encoding="utf-8"?>
<comments xmlns="http://schemas.openxmlformats.org/spreadsheetml/2006/main">
  <authors>
    <author>mgleixner</author>
    <author>molszak</author>
  </authors>
  <commentList>
    <comment ref="B30" authorId="0">
      <text>
        <r>
          <rPr>
            <sz val="8"/>
            <color indexed="81"/>
            <rFont val="Tahoma"/>
          </rPr>
          <t>To define your periods (eg. P1, P2, P3 etc or P9, P10, P11 etc) you need to unprotect the cells.</t>
        </r>
      </text>
    </comment>
    <comment ref="B72" authorId="1">
      <text>
        <r>
          <rPr>
            <b/>
            <sz val="8"/>
            <color indexed="81"/>
            <rFont val="Tahoma"/>
            <family val="2"/>
          </rPr>
          <t xml:space="preserve">If data are not available, do not enter zeros; rather, leave the cells in the table blank. </t>
        </r>
      </text>
    </comment>
    <comment ref="B73" authorId="1">
      <text>
        <r>
          <rPr>
            <b/>
            <sz val="8"/>
            <color indexed="81"/>
            <rFont val="Tahoma"/>
            <family val="2"/>
          </rPr>
          <t>If data are not available, do not enter zeros; rather, leave the cells in this table blank.</t>
        </r>
      </text>
    </comment>
    <comment ref="B79" authorId="0">
      <text>
        <r>
          <rPr>
            <sz val="8"/>
            <color indexed="81"/>
            <rFont val="Tahoma"/>
          </rPr>
          <t xml:space="preserve">If data are not available, do not enter zeros; rather, leave the cells in this table blank. </t>
        </r>
      </text>
    </comment>
    <comment ref="B94" authorId="0">
      <text>
        <r>
          <rPr>
            <sz val="8"/>
            <color indexed="81"/>
            <rFont val="Tahoma"/>
          </rPr>
          <t>To define your periods (eg. P1, P2, P3 etc or P9, P10, P11 etc) you need to unprotect the cells.</t>
        </r>
      </text>
    </comment>
  </commentList>
</comments>
</file>

<file path=xl/sharedStrings.xml><?xml version="1.0" encoding="utf-8"?>
<sst xmlns="http://schemas.openxmlformats.org/spreadsheetml/2006/main" count="598" uniqueCount="448">
  <si>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</si>
  <si>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</si>
  <si>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</si>
  <si>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</si>
  <si>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</si>
  <si>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</si>
  <si>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</si>
  <si>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</si>
  <si>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</si>
  <si>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</si>
  <si>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</si>
  <si>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</si>
  <si>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</si>
  <si>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</si>
  <si>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</si>
  <si>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</si>
  <si>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</si>
  <si>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</si>
  <si>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</si>
  <si>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</si>
  <si>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</si>
  <si>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</si>
  <si>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</si>
  <si>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</si>
  <si>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</si>
  <si>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</si>
  <si>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</si>
  <si>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</si>
  <si>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</si>
  <si>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</si>
  <si>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</si>
  <si>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</si>
  <si>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</si>
  <si>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</si>
  <si>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</si>
  <si>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</si>
  <si>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</si>
  <si>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</si>
  <si>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</si>
  <si>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</si>
  <si>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</si>
  <si>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</si>
  <si>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</si>
  <si>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</si>
  <si>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</si>
  <si>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</si>
  <si>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</si>
  <si>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</si>
  <si>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</si>
  <si>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</si>
  <si>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</si>
  <si>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</si>
  <si>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</si>
  <si>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</si>
  <si>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</si>
  <si>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</si>
  <si>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</si>
  <si>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</si>
  <si>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</si>
  <si>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</si>
  <si>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</si>
  <si>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</si>
  <si>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</si>
  <si>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</si>
  <si>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</si>
  <si>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</si>
  <si>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</si>
  <si>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</si>
  <si>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</si>
  <si>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</si>
  <si>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</si>
  <si>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</si>
  <si>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</si>
  <si>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</si>
  <si>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</si>
  <si>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</si>
  <si>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</si>
  <si>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</si>
  <si>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</si>
  <si>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</si>
  <si>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</si>
  <si>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</si>
  <si>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</si>
  <si>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</si>
  <si>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</si>
  <si>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</si>
  <si>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</si>
  <si>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</si>
  <si>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</si>
  <si>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</si>
  <si>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</si>
  <si>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</si>
  <si>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</si>
  <si>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</si>
  <si>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</si>
  <si>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</si>
  <si>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</si>
  <si>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</si>
  <si>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</si>
  <si>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</si>
  <si>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</si>
  <si>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</si>
  <si>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</si>
  <si>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</si>
  <si>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</si>
  <si>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</si>
  <si>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</si>
  <si>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</si>
  <si>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</si>
  <si>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</si>
  <si>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</si>
  <si>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</si>
  <si>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</si>
  <si>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</si>
  <si>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</si>
  <si>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</si>
  <si>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</si>
  <si>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</si>
  <si>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</si>
  <si>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</si>
  <si>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</si>
  <si>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</si>
  <si>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</si>
  <si>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</si>
  <si>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</si>
  <si>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</si>
  <si>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</si>
  <si>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</si>
  <si>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</si>
  <si>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</si>
  <si>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</si>
  <si>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</si>
  <si>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</si>
  <si>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</si>
  <si>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</si>
  <si>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</si>
  <si>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</si>
  <si>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</si>
  <si>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</si>
  <si>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</si>
  <si>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</si>
  <si>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</si>
  <si>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</si>
  <si>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</si>
  <si>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</si>
  <si>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</si>
  <si>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</si>
  <si>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</si>
  <si>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</si>
  <si>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</si>
  <si>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</si>
  <si>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</si>
  <si>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</si>
  <si>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</si>
  <si>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</si>
  <si>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</si>
  <si>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</si>
  <si>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</si>
  <si>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</si>
  <si>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</si>
  <si>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</si>
  <si>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</si>
  <si>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</si>
  <si>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</si>
  <si>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</si>
  <si>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</si>
  <si>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</si>
  <si>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</si>
  <si>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</si>
  <si>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</si>
  <si>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</si>
  <si>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</si>
  <si>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</si>
  <si>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</si>
  <si>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</si>
  <si>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</si>
  <si>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</si>
  <si>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</si>
  <si>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</si>
  <si>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</si>
  <si>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</si>
  <si>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</si>
  <si>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</si>
  <si>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</si>
  <si>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</si>
  <si>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</si>
  <si>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</si>
  <si>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</si>
  <si>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</si>
  <si>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</si>
  <si>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</si>
  <si>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</si>
  <si>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</si>
  <si>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</si>
  <si>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</si>
  <si>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</si>
  <si>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</si>
  <si>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</si>
  <si>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</si>
  <si>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</si>
  <si>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</si>
  <si>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</si>
  <si>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</si>
  <si>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</si>
  <si>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</si>
  <si>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</si>
  <si>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</si>
  <si>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</si>
  <si>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</si>
  <si>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</si>
  <si>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</si>
  <si>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</si>
  <si>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</si>
  <si>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</si>
  <si>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</si>
  <si>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</si>
  <si>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</si>
  <si>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</si>
  <si>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</si>
  <si>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</si>
  <si>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</si>
  <si>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</si>
  <si>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</si>
  <si>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</si>
  <si>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</si>
  <si>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</si>
  <si>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</si>
  <si>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</si>
  <si>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</si>
  <si>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</si>
  <si>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</si>
  <si>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</si>
  <si>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</si>
  <si>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</si>
  <si>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</si>
  <si>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</si>
  <si>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</si>
  <si>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</si>
  <si>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</si>
  <si>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</si>
  <si>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</si>
  <si>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</si>
  <si>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</si>
  <si>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</si>
  <si>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</si>
  <si>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</si>
  <si>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</si>
  <si>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</si>
  <si>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</si>
  <si>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</si>
  <si>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</si>
  <si>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</si>
  <si>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</si>
  <si>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</si>
  <si>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</si>
  <si>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</si>
  <si>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</si>
  <si>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</si>
  <si>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</si>
  <si>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</si>
  <si>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</si>
  <si>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</si>
  <si>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</si>
  <si>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</si>
  <si>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</si>
  <si>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</si>
  <si>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</si>
  <si>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</si>
  <si>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</si>
  <si>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</si>
  <si>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</si>
  <si>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</si>
  <si>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</si>
  <si>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</si>
  <si>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</si>
  <si>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</si>
  <si>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</si>
  <si>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</si>
  <si>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</si>
  <si>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</si>
  <si>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</si>
  <si>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</si>
  <si>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</si>
  <si>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</si>
  <si>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</si>
  <si>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</si>
  <si>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</si>
  <si>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</si>
  <si>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</si>
  <si>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</si>
  <si>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</si>
  <si>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</si>
  <si>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</si>
  <si>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</si>
  <si>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</si>
  <si>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</si>
  <si>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</si>
  <si>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</si>
  <si>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</si>
  <si>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</si>
  <si>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</si>
  <si>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</si>
  <si>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</si>
  <si>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</si>
  <si>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</si>
  <si>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</si>
  <si>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</si>
  <si>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</si>
  <si>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</si>
  <si>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</si>
  <si>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</si>
  <si>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</si>
  <si>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</si>
  <si>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</si>
  <si>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</si>
  <si>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</si>
  <si>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</si>
  <si>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</si>
  <si>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</si>
  <si>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</si>
  <si>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</si>
  <si>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</si>
  <si>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</si>
  <si>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</si>
  <si>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</si>
  <si>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</si>
  <si>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</si>
  <si>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</si>
  <si>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</si>
  <si>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</si>
  <si>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</si>
  <si>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</si>
  <si>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</si>
  <si>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</si>
  <si>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</si>
  <si>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</si>
  <si>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</si>
  <si>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</si>
  <si>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</si>
  <si>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</si>
  <si>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</si>
  <si>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</si>
  <si>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</si>
  <si>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</si>
  <si>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</si>
  <si>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</si>
  <si>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</si>
  <si>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</si>
  <si>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</si>
  <si>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</si>
  <si>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</si>
  <si>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</si>
  <si>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</si>
  <si>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</si>
  <si>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</si>
  <si>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</si>
  <si>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</si>
  <si>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</si>
  <si>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</si>
  <si>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</si>
  <si>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</si>
  <si>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</si>
  <si>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</si>
  <si>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</si>
  <si>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</si>
  <si>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</si>
  <si>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</si>
  <si>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</si>
  <si>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</si>
  <si>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</si>
  <si>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</si>
  <si>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</si>
  <si>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</si>
  <si>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</si>
  <si>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</si>
  <si>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</si>
  <si>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</si>
  <si>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</si>
  <si>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</si>
  <si>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</si>
  <si>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</si>
  <si>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</si>
  <si>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</si>
  <si>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</si>
  <si>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</si>
  <si>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</si>
  <si>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</si>
  <si>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</si>
  <si>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</si>
  <si>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</si>
  <si>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</si>
  <si>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</si>
  <si>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</si>
  <si>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</si>
  <si>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</si>
  <si>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</si>
  <si>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</si>
  <si>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</si>
  <si>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</si>
  <si>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</si>
  <si>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</si>
  <si>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</si>
  <si>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</si>
  <si>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</si>
  <si>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</si>
  <si>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</si>
  <si>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</si>
  <si>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</si>
  <si>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</si>
  <si>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</si>
  <si>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</si>
  <si>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</si>
  <si>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</si>
  <si>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</si>
  <si>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</si>
  <si>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</si>
  <si>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</si>
  <si>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</si>
  <si>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Percentage of TB patients who had an HIV test result recorded in the TB register </t>
  </si>
  <si>
    <t>Number of bacteriologically confirmed  TB cases in a specified period who subsequently were successfully treated (sum of WHO outcome categories "cured” plus "treatment completed”)</t>
  </si>
  <si>
    <t>Number of TB patients enrolled on standardized 1st line treatment in the specified calendar year</t>
  </si>
  <si>
    <t>Laboratory-confirmed X/MDR-TB patients enrolled on second line anti-TB treatment in the specified calendar year</t>
  </si>
  <si>
    <t xml:space="preserve">Percentage of previously treated TB patients receiving DST
</t>
  </si>
  <si>
    <t>Percentage of cases with drug resistant TB (RR-TB and/or MDR-TB) started on treatment for MDR-TB who were lost to follow up during the first six months of treatment</t>
  </si>
  <si>
    <t xml:space="preserve">Number of and percentage of TB patients on 1st line treatment receiving cash incentives for better adherence to treatment </t>
  </si>
  <si>
    <t>Number and percentage of M/XDR-TB patients on treatment receiving cash incentives for better adherence to treatment during out-patient phase</t>
  </si>
  <si>
    <t xml:space="preserve">
Number of notified cases of all forms of TB - (i.e. bacteriologically confirmed +clinically diagnosed) (new and relapse)
</t>
  </si>
  <si>
    <t xml:space="preserve">Percentage of laboratories showing adequate performance in external quality assurance for smear microscopy among the total number of laboratories that undertake smear microscopy during the reporting period </t>
  </si>
  <si>
    <t>PAS</t>
  </si>
  <si>
    <t>Clarithromycin</t>
  </si>
  <si>
    <t xml:space="preserve">
</t>
  </si>
  <si>
    <t>Clofazimine</t>
  </si>
  <si>
    <t>The new order is expected to deliver in April 2015</t>
  </si>
  <si>
    <t>1- To strengthen the national TB Control Program management, coordination, monitoring and evaluation</t>
  </si>
  <si>
    <t>2-Improve diagnosis of TB including M/XDR TB</t>
  </si>
  <si>
    <t>3-To insure quality treatment of all forms of TB</t>
  </si>
  <si>
    <t>4-To insure adherence to TB treatment by intensive patient support and follow up</t>
  </si>
  <si>
    <t>5-Project nanagement of the PR</t>
  </si>
  <si>
    <t>Tsovinar Sakanian</t>
  </si>
  <si>
    <t>NCDC</t>
  </si>
  <si>
    <t>GEO-T-NCDC</t>
  </si>
  <si>
    <t>Giorgi Kuchukhidze</t>
  </si>
  <si>
    <t xml:space="preserve"> </t>
  </si>
  <si>
    <t xml:space="preserve">The relatively low indicator relates to the actual (decreased) number of TB patients in the country. </t>
  </si>
  <si>
    <t>Actual result reported (70% meaning that 336 patients, out of 477 received cash incentives for adequate compliance) includes transactions held in July-Sep 2015 (for underlying month July). As per Aug-Sep 2015 compliance – incentives were transferred in Q4</t>
  </si>
  <si>
    <t xml:space="preserve">To conduct the study aimed at identification of the reasons for the relatively low indicator relates to the actual (decreased) number of TB patients in the country. </t>
  </si>
  <si>
    <t>follow up with NCDCPH and NCTLD</t>
  </si>
  <si>
    <t>OC Chair, Secretariat</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</si>
</sst>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 _L_a_r_i_-;\-* #,##0.00\ _L_a_r_i_-;_-* &quot;-&quot;??\ _L_a_r_i_-;_-@_-"/>
    <numFmt numFmtId="164" formatCode="_-* #,##0.00_-;\-* #,##0.00_-;_-* &quot;-&quot;??_-;_-@_-"/>
    <numFmt numFmtId="165" formatCode="_(&quot;$&quot;* #,##0.00_);_(&quot;$&quot;* \(#,##0.00\);_(&quot;$&quot;* &quot;-&quot;??_);_(@_)"/>
    <numFmt numFmtId="166" formatCode="_(* #,##0.00_);_(* \(#,##0.00\);_(* &quot;-&quot;??_);_(@_)"/>
    <numFmt numFmtId="167" formatCode="&quot;Q&quot;#,##0_);[Red]\(&quot;Q&quot;#,##0\)"/>
    <numFmt numFmtId="168" formatCode="_(* #,##0_);_(* \(#,##0\);_(* &quot;-&quot;??_);_(@_)"/>
    <numFmt numFmtId="169" formatCode=";;;"/>
    <numFmt numFmtId="170" formatCode="0.0"/>
    <numFmt numFmtId="171" formatCode=";;;&quot;Financial Variance in %&quot;"/>
    <numFmt numFmtId="172" formatCode="_([$€]* #,##0.00_);_([$€]* \(#,##0.00\);_([$€]* &quot;-&quot;??_);_(@_)"/>
    <numFmt numFmtId="173" formatCode="[$$-409]#,##0"/>
    <numFmt numFmtId="174" formatCode="[$-409]d/mmm/yyyy;@"/>
    <numFmt numFmtId="175" formatCode="[$$-409]#,##0_);\([$$-409]#,##0\)"/>
    <numFmt numFmtId="176" formatCode="0.0%"/>
    <numFmt numFmtId="177" formatCode="_(* #,##0.00000_);_(* \(#,##0.00000\);_(* &quot;-&quot;??_);_(@_)"/>
    <numFmt numFmtId="178" formatCode="_(* #,##0.0000000_);_(* \(#,##0.0000000\);_(* &quot;-&quot;??_);_(@_)"/>
  </numFmts>
  <fonts count="160">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ont>
    <font>
      <b/>
      <sz val="11"/>
      <color indexed="60"/>
      <name val="Calibri"/>
    </font>
    <font>
      <b/>
      <sz val="11"/>
      <color indexed="14"/>
      <name val="Calibri"/>
      <family val="2"/>
    </font>
    <font>
      <sz val="22"/>
      <color indexed="9"/>
      <name val="Calibri"/>
      <family val="2"/>
    </font>
    <font>
      <sz val="10"/>
      <color indexed="60"/>
      <name val="Calibri"/>
    </font>
    <font>
      <sz val="11"/>
      <color indexed="12"/>
      <name val="Calibri"/>
      <family val="2"/>
    </font>
    <font>
      <i/>
      <sz val="11"/>
      <name val="Calibri"/>
    </font>
    <font>
      <sz val="10"/>
      <name val="Calibri"/>
      <family val="2"/>
    </font>
    <font>
      <sz val="9"/>
      <color indexed="16"/>
      <name val="Calibri"/>
      <family val="2"/>
    </font>
    <font>
      <b/>
      <i/>
      <sz val="14"/>
      <color indexed="12"/>
      <name val="Calibri"/>
    </font>
    <font>
      <b/>
      <sz val="9"/>
      <name val="Calibri"/>
      <family val="2"/>
    </font>
    <font>
      <sz val="16"/>
      <color indexed="9"/>
      <name val="Calibri"/>
      <family val="2"/>
    </font>
    <font>
      <i/>
      <sz val="11"/>
      <color indexed="8"/>
      <name val="Calibri"/>
    </font>
    <font>
      <b/>
      <sz val="14"/>
      <color indexed="44"/>
      <name val="Calibri"/>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s>
  <fills count="48">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s>
  <borders count="2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6"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166" fontId="3" fillId="0" borderId="0" applyFont="0" applyFill="0" applyBorder="0" applyAlignment="0" applyProtection="0"/>
    <xf numFmtId="164" fontId="2" fillId="0" borderId="0" applyFont="0" applyFill="0" applyBorder="0" applyAlignment="0" applyProtection="0"/>
    <xf numFmtId="164" fontId="137" fillId="0" borderId="0" applyFont="0" applyFill="0" applyBorder="0" applyAlignment="0" applyProtection="0"/>
    <xf numFmtId="43" fontId="138" fillId="0" borderId="0" applyFont="0" applyFill="0" applyBorder="0" applyAlignment="0" applyProtection="0"/>
    <xf numFmtId="166" fontId="156" fillId="0" borderId="0" applyFont="0" applyFill="0" applyBorder="0" applyAlignment="0" applyProtection="0"/>
    <xf numFmtId="43" fontId="2" fillId="0" borderId="0" applyFont="0" applyFill="0" applyBorder="0" applyAlignment="0" applyProtection="0"/>
    <xf numFmtId="166" fontId="156"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6" fontId="1" fillId="0" borderId="0" applyFont="0" applyFill="0" applyBorder="0" applyAlignment="0" applyProtection="0"/>
    <xf numFmtId="43" fontId="2" fillId="0" borderId="0" applyFont="0" applyFill="0" applyBorder="0" applyAlignment="0" applyProtection="0"/>
    <xf numFmtId="166" fontId="156" fillId="0" borderId="0" applyFont="0" applyFill="0" applyBorder="0" applyAlignment="0" applyProtection="0"/>
    <xf numFmtId="166" fontId="15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72"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166" fontId="2" fillId="0" borderId="0" applyFill="0" applyBorder="0" applyAlignment="0" applyProtection="0"/>
    <xf numFmtId="0" fontId="156" fillId="0" borderId="0"/>
    <xf numFmtId="0" fontId="156" fillId="0" borderId="0"/>
    <xf numFmtId="0" fontId="157" fillId="0" borderId="0"/>
    <xf numFmtId="166"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166" fontId="1" fillId="0" borderId="0"/>
    <xf numFmtId="166" fontId="1" fillId="0" borderId="0"/>
    <xf numFmtId="166" fontId="156" fillId="0" borderId="0"/>
    <xf numFmtId="0" fontId="2" fillId="0" borderId="0"/>
    <xf numFmtId="0" fontId="156" fillId="0" borderId="0"/>
    <xf numFmtId="166" fontId="156" fillId="0" borderId="0"/>
    <xf numFmtId="0" fontId="156" fillId="0" borderId="0"/>
    <xf numFmtId="166" fontId="156" fillId="0" borderId="0"/>
    <xf numFmtId="0" fontId="156" fillId="0" borderId="0"/>
    <xf numFmtId="0" fontId="2" fillId="0" borderId="0"/>
    <xf numFmtId="0" fontId="156" fillId="0" borderId="0"/>
    <xf numFmtId="166"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166" fontId="156" fillId="0" borderId="10" applyNumberFormat="0" applyFill="0" applyAlignment="0" applyProtection="0"/>
    <xf numFmtId="166" fontId="1" fillId="0" borderId="10" applyNumberFormat="0" applyFill="0" applyAlignment="0" applyProtection="0"/>
    <xf numFmtId="166" fontId="1" fillId="0" borderId="10" applyNumberFormat="0" applyFill="0" applyAlignment="0" applyProtection="0"/>
    <xf numFmtId="166"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4"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893">
    <xf numFmtId="0" fontId="0" fillId="0" borderId="0" xfId="0"/>
    <xf numFmtId="166" fontId="16" fillId="0" borderId="0" xfId="81" applyFont="1" applyFill="1" applyAlignment="1">
      <alignment vertical="center"/>
    </xf>
    <xf numFmtId="0" fontId="0" fillId="0" borderId="0" xfId="0" applyBorder="1" applyProtection="1"/>
    <xf numFmtId="0" fontId="0" fillId="0" borderId="0" xfId="0" applyProtection="1"/>
    <xf numFmtId="166" fontId="22" fillId="0" borderId="0" xfId="81" applyFont="1" applyFill="1" applyAlignment="1" applyProtection="1">
      <alignment vertical="center"/>
    </xf>
    <xf numFmtId="0" fontId="21" fillId="0" borderId="0" xfId="0" applyFont="1" applyProtection="1"/>
    <xf numFmtId="166" fontId="19" fillId="0" borderId="0" xfId="97" applyFont="1" applyFill="1" applyAlignment="1" applyProtection="1"/>
    <xf numFmtId="166" fontId="19" fillId="0" borderId="0" xfId="97" applyFont="1" applyFill="1" applyAlignment="1" applyProtection="1">
      <alignment horizontal="center"/>
    </xf>
    <xf numFmtId="166" fontId="19" fillId="0" borderId="0" xfId="97" applyFont="1" applyFill="1" applyAlignment="1" applyProtection="1">
      <alignment horizontal="right"/>
    </xf>
    <xf numFmtId="166" fontId="19" fillId="0" borderId="0" xfId="97" applyFont="1" applyFill="1" applyBorder="1" applyAlignment="1" applyProtection="1">
      <alignment horizontal="center"/>
    </xf>
    <xf numFmtId="166" fontId="156" fillId="0" borderId="0" xfId="94" applyProtection="1"/>
    <xf numFmtId="166" fontId="15" fillId="0" borderId="0" xfId="94" applyFont="1" applyProtection="1"/>
    <xf numFmtId="0" fontId="18" fillId="0" borderId="0" xfId="94" applyNumberFormat="1" applyFont="1" applyBorder="1" applyProtection="1"/>
    <xf numFmtId="166" fontId="156" fillId="0" borderId="0" xfId="99" applyProtection="1"/>
    <xf numFmtId="166" fontId="156" fillId="0" borderId="0" xfId="99" applyFill="1" applyBorder="1" applyAlignment="1" applyProtection="1">
      <alignment horizontal="left"/>
    </xf>
    <xf numFmtId="0" fontId="0" fillId="0" borderId="0" xfId="0" applyFill="1" applyBorder="1" applyProtection="1"/>
    <xf numFmtId="166" fontId="156" fillId="0" borderId="0" xfId="99" applyFill="1" applyBorder="1" applyProtection="1"/>
    <xf numFmtId="0" fontId="15" fillId="0" borderId="0" xfId="0" applyFont="1" applyProtection="1"/>
    <xf numFmtId="166"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6" fontId="28" fillId="0" borderId="0" xfId="0" applyNumberFormat="1" applyFont="1"/>
    <xf numFmtId="166" fontId="28" fillId="0" borderId="0" xfId="0" applyNumberFormat="1" applyFont="1" applyAlignment="1">
      <alignment horizontal="right"/>
    </xf>
    <xf numFmtId="168" fontId="28" fillId="0" borderId="0" xfId="51" applyNumberFormat="1" applyFont="1" applyAlignment="1">
      <alignment horizontal="left"/>
    </xf>
    <xf numFmtId="166"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166" fontId="28" fillId="0" borderId="0" xfId="0" applyNumberFormat="1" applyFont="1" applyFill="1" applyBorder="1" applyAlignment="1"/>
    <xf numFmtId="166" fontId="156" fillId="0" borderId="0" xfId="120" applyFill="1" applyBorder="1" applyAlignment="1" applyProtection="1">
      <alignment vertical="center"/>
      <protection locked="0"/>
    </xf>
    <xf numFmtId="167"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6"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6" fontId="69" fillId="0" borderId="0" xfId="94" applyFont="1" applyProtection="1"/>
    <xf numFmtId="166"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166"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166"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166"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166" fontId="31" fillId="0" borderId="16" xfId="120" applyFont="1" applyBorder="1" applyAlignment="1" applyProtection="1"/>
    <xf numFmtId="166" fontId="156" fillId="0" borderId="16" xfId="120" applyFill="1" applyBorder="1" applyAlignment="1" applyProtection="1">
      <alignment vertical="center"/>
    </xf>
    <xf numFmtId="166" fontId="3" fillId="0" borderId="16" xfId="120" applyFont="1" applyFill="1" applyBorder="1" applyAlignment="1" applyProtection="1">
      <alignment vertical="center"/>
    </xf>
    <xf numFmtId="166" fontId="31" fillId="0" borderId="0" xfId="120" applyFont="1" applyBorder="1" applyAlignment="1" applyProtection="1"/>
    <xf numFmtId="166" fontId="156" fillId="0" borderId="0" xfId="120" applyFill="1" applyBorder="1" applyAlignment="1" applyProtection="1">
      <alignment vertical="center"/>
    </xf>
    <xf numFmtId="166"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8"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166" fontId="38" fillId="0" borderId="22" xfId="120" applyFont="1" applyBorder="1" applyAlignment="1" applyProtection="1"/>
    <xf numFmtId="166" fontId="39" fillId="0" borderId="22" xfId="120" applyFont="1" applyFill="1" applyBorder="1" applyAlignment="1" applyProtection="1">
      <alignment vertical="center"/>
    </xf>
    <xf numFmtId="166" fontId="39" fillId="0" borderId="22" xfId="120" applyFont="1" applyFill="1" applyBorder="1" applyAlignment="1" applyProtection="1">
      <alignment horizontal="center" vertical="center"/>
    </xf>
    <xf numFmtId="166" fontId="39" fillId="0" borderId="0" xfId="120" applyFont="1" applyFill="1" applyBorder="1" applyAlignment="1" applyProtection="1">
      <alignment vertical="center"/>
    </xf>
    <xf numFmtId="166" fontId="38" fillId="0" borderId="0" xfId="120" applyFont="1" applyBorder="1" applyAlignment="1" applyProtection="1"/>
    <xf numFmtId="166"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166" fontId="101" fillId="0" borderId="0" xfId="51" applyFont="1" applyFill="1" applyBorder="1" applyProtection="1"/>
    <xf numFmtId="166" fontId="0" fillId="0" borderId="0" xfId="0" applyNumberFormat="1" applyFill="1" applyBorder="1" applyProtection="1"/>
    <xf numFmtId="166" fontId="68" fillId="0" borderId="30" xfId="120" applyFont="1" applyFill="1" applyBorder="1" applyAlignment="1" applyProtection="1"/>
    <xf numFmtId="166"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166" fontId="28" fillId="0" borderId="0" xfId="0" applyNumberFormat="1" applyFont="1" applyAlignment="1" applyProtection="1">
      <alignment horizontal="right"/>
    </xf>
    <xf numFmtId="168"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6" fontId="28" fillId="0" borderId="0" xfId="0" applyNumberFormat="1" applyFont="1" applyProtection="1"/>
    <xf numFmtId="166" fontId="28" fillId="0" borderId="0" xfId="0" applyNumberFormat="1" applyFont="1" applyBorder="1" applyProtection="1"/>
    <xf numFmtId="166" fontId="28" fillId="0" borderId="0" xfId="0" applyNumberFormat="1" applyFont="1" applyBorder="1" applyAlignment="1" applyProtection="1">
      <alignment horizontal="right"/>
    </xf>
    <xf numFmtId="168"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9"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1"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70"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166"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6" fontId="0" fillId="0" borderId="0" xfId="0" applyNumberFormat="1" applyAlignment="1" applyProtection="1">
      <alignment horizontal="right"/>
    </xf>
    <xf numFmtId="3" fontId="0" fillId="0" borderId="0" xfId="0" applyNumberFormat="1" applyProtection="1"/>
    <xf numFmtId="166" fontId="37" fillId="0" borderId="0" xfId="0" applyNumberFormat="1" applyFont="1" applyBorder="1" applyProtection="1"/>
    <xf numFmtId="166" fontId="37" fillId="0" borderId="0" xfId="0" applyNumberFormat="1" applyFont="1" applyProtection="1"/>
    <xf numFmtId="168" fontId="6" fillId="0" borderId="0" xfId="51" applyNumberFormat="1" applyFont="1" applyFill="1" applyBorder="1" applyAlignment="1" applyProtection="1">
      <protection locked="0"/>
    </xf>
    <xf numFmtId="168"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7" fontId="15" fillId="29" borderId="0" xfId="0" applyNumberFormat="1" applyFont="1" applyFill="1"/>
    <xf numFmtId="168" fontId="15" fillId="29" borderId="0" xfId="0" applyNumberFormat="1" applyFont="1" applyFill="1"/>
    <xf numFmtId="3" fontId="15" fillId="29" borderId="0" xfId="0" applyNumberFormat="1" applyFont="1" applyFill="1" applyProtection="1"/>
    <xf numFmtId="167"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166" fontId="17" fillId="0" borderId="0" xfId="92" applyFont="1" applyFill="1" applyAlignment="1" applyProtection="1">
      <alignment horizontal="center" vertical="center"/>
    </xf>
    <xf numFmtId="166" fontId="16" fillId="0" borderId="0" xfId="92" applyFont="1" applyFill="1" applyAlignment="1" applyProtection="1">
      <alignment vertical="center"/>
    </xf>
    <xf numFmtId="0" fontId="84" fillId="0" borderId="0" xfId="0" applyFont="1"/>
    <xf numFmtId="166" fontId="14" fillId="0" borderId="0" xfId="0" applyNumberFormat="1" applyFont="1" applyAlignment="1" applyProtection="1">
      <alignment horizontal="center"/>
    </xf>
    <xf numFmtId="166"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166" fontId="90" fillId="0" borderId="0" xfId="0" applyNumberFormat="1" applyFont="1"/>
    <xf numFmtId="0" fontId="90" fillId="0" borderId="0" xfId="0" applyFont="1"/>
    <xf numFmtId="166" fontId="0" fillId="0" borderId="0" xfId="0" quotePrefix="1" applyNumberFormat="1"/>
    <xf numFmtId="166" fontId="0" fillId="0" borderId="0" xfId="0" applyNumberFormat="1"/>
    <xf numFmtId="0" fontId="34" fillId="0" borderId="47" xfId="0" applyNumberFormat="1" applyFont="1" applyFill="1" applyBorder="1" applyAlignment="1" applyProtection="1">
      <alignment vertical="center"/>
    </xf>
    <xf numFmtId="166"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166" fontId="92" fillId="0" borderId="30" xfId="120" applyFont="1" applyFill="1" applyBorder="1" applyAlignment="1" applyProtection="1"/>
    <xf numFmtId="166"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67" fillId="0" borderId="12"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166"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8"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166"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166"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166"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3" fillId="0" borderId="0" xfId="0" applyNumberFormat="1" applyFont="1" applyFill="1" applyBorder="1" applyAlignment="1" applyProtection="1">
      <alignment horizontal="center"/>
    </xf>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166" fontId="116" fillId="0" borderId="22" xfId="120" applyFont="1" applyFill="1" applyBorder="1" applyAlignment="1" applyProtection="1">
      <alignment vertical="center"/>
    </xf>
    <xf numFmtId="0" fontId="24" fillId="0" borderId="0" xfId="0" applyFont="1" applyProtection="1"/>
    <xf numFmtId="166"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166"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166" fontId="28" fillId="0" borderId="0" xfId="0" applyNumberFormat="1" applyFont="1" applyAlignment="1" applyProtection="1"/>
    <xf numFmtId="15" fontId="28" fillId="0" borderId="0" xfId="0" applyNumberFormat="1" applyFont="1"/>
    <xf numFmtId="0" fontId="0" fillId="0" borderId="30" xfId="0" applyFill="1" applyBorder="1" applyProtection="1"/>
    <xf numFmtId="166"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166"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4"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166"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166"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33" borderId="12" xfId="0" applyNumberFormat="1" applyFill="1" applyBorder="1" applyProtection="1">
      <protection locked="0"/>
    </xf>
    <xf numFmtId="3" fontId="0" fillId="0" borderId="12" xfId="0" applyNumberFormat="1" applyFill="1" applyBorder="1" applyProtection="1"/>
    <xf numFmtId="3" fontId="0" fillId="33" borderId="71" xfId="0" applyNumberFormat="1" applyFill="1" applyBorder="1" applyProtection="1">
      <protection locked="0"/>
    </xf>
    <xf numFmtId="173" fontId="21" fillId="29" borderId="0" xfId="0" applyNumberFormat="1" applyFont="1" applyFill="1"/>
    <xf numFmtId="173"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67" fontId="32" fillId="28" borderId="72" xfId="0" applyNumberFormat="1" applyFont="1" applyFill="1" applyBorder="1" applyAlignment="1" applyProtection="1">
      <alignment horizontal="center"/>
      <protection locked="0"/>
    </xf>
    <xf numFmtId="167" fontId="32" fillId="28" borderId="73" xfId="0" applyNumberFormat="1" applyFont="1" applyFill="1" applyBorder="1" applyAlignment="1" applyProtection="1">
      <alignment horizontal="center"/>
      <protection locked="0"/>
    </xf>
    <xf numFmtId="167" fontId="32" fillId="28" borderId="74" xfId="0" applyNumberFormat="1" applyFont="1" applyFill="1" applyBorder="1" applyAlignment="1" applyProtection="1">
      <alignment horizontal="center"/>
      <protection locked="0"/>
    </xf>
    <xf numFmtId="167" fontId="32" fillId="28" borderId="75" xfId="0" applyNumberFormat="1" applyFont="1" applyFill="1" applyBorder="1" applyAlignment="1" applyProtection="1">
      <alignment horizontal="center"/>
      <protection locked="0"/>
    </xf>
    <xf numFmtId="167"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166" fontId="35" fillId="0" borderId="0" xfId="0" applyNumberFormat="1" applyFont="1"/>
    <xf numFmtId="0" fontId="0" fillId="0" borderId="0" xfId="0" applyBorder="1" applyAlignment="1">
      <alignment horizontal="left"/>
    </xf>
    <xf numFmtId="166" fontId="1" fillId="0" borderId="45" xfId="117" applyFont="1" applyBorder="1" applyAlignment="1" applyProtection="1">
      <alignment horizontal="right"/>
    </xf>
    <xf numFmtId="166"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7" fontId="14" fillId="28" borderId="82" xfId="0" applyNumberFormat="1" applyFont="1" applyFill="1" applyBorder="1" applyAlignment="1" applyProtection="1">
      <alignment horizontal="center"/>
      <protection locked="0"/>
    </xf>
    <xf numFmtId="167"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Alignment="1" applyProtection="1">
      <protection locked="0"/>
    </xf>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26" fillId="0" borderId="88" xfId="0" applyFont="1" applyFill="1" applyBorder="1" applyAlignment="1" applyProtection="1">
      <alignment wrapText="1"/>
      <protection locked="0"/>
    </xf>
    <xf numFmtId="0" fontId="0" fillId="0" borderId="90" xfId="0" applyBorder="1" applyAlignment="1" applyProtection="1"/>
    <xf numFmtId="3" fontId="0" fillId="0" borderId="91" xfId="0" applyNumberFormat="1" applyBorder="1" applyProtection="1"/>
    <xf numFmtId="3" fontId="0" fillId="0" borderId="92"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166" fontId="156" fillId="34" borderId="93" xfId="120" applyFill="1" applyBorder="1" applyAlignment="1" applyProtection="1">
      <alignment vertical="center"/>
    </xf>
    <xf numFmtId="0" fontId="0" fillId="31" borderId="94" xfId="0" applyFill="1" applyBorder="1"/>
    <xf numFmtId="0" fontId="0" fillId="0" borderId="22" xfId="0" applyBorder="1" applyProtection="1"/>
    <xf numFmtId="166" fontId="39" fillId="33" borderId="95" xfId="120" applyFont="1" applyFill="1" applyBorder="1" applyAlignment="1" applyProtection="1">
      <alignment horizontal="center" vertical="center"/>
    </xf>
    <xf numFmtId="166" fontId="39" fillId="0" borderId="96" xfId="120" applyFont="1" applyFill="1" applyBorder="1" applyAlignment="1" applyProtection="1">
      <alignment vertical="center"/>
    </xf>
    <xf numFmtId="0" fontId="0" fillId="0" borderId="97" xfId="0" applyNumberFormat="1" applyFill="1" applyBorder="1"/>
    <xf numFmtId="15" fontId="27" fillId="0" borderId="98"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0" fillId="0" borderId="0" xfId="0" applyNumberFormat="1" applyFill="1" applyBorder="1" applyProtection="1">
      <protection locked="0"/>
    </xf>
    <xf numFmtId="3" fontId="67" fillId="0" borderId="12" xfId="0" applyNumberFormat="1" applyFont="1" applyFill="1" applyBorder="1" applyAlignment="1" applyProtection="1">
      <alignment vertical="center"/>
    </xf>
    <xf numFmtId="3" fontId="67" fillId="0" borderId="99" xfId="0" applyNumberFormat="1" applyFont="1" applyFill="1" applyBorder="1" applyAlignment="1" applyProtection="1">
      <alignment vertical="center"/>
    </xf>
    <xf numFmtId="170" fontId="0" fillId="0" borderId="12" xfId="0" applyNumberFormat="1" applyFill="1" applyBorder="1" applyAlignment="1" applyProtection="1">
      <alignment horizontal="center"/>
    </xf>
    <xf numFmtId="170" fontId="15" fillId="36" borderId="100" xfId="0" applyNumberFormat="1" applyFont="1" applyFill="1" applyBorder="1" applyAlignment="1" applyProtection="1">
      <alignment horizontal="center"/>
    </xf>
    <xf numFmtId="170" fontId="21" fillId="36" borderId="100"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166"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1" xfId="0" applyFont="1" applyFill="1" applyBorder="1" applyAlignment="1" applyProtection="1">
      <alignment horizontal="center" vertical="center" wrapText="1"/>
    </xf>
    <xf numFmtId="0" fontId="77" fillId="0" borderId="102" xfId="0" applyFont="1" applyFill="1" applyBorder="1" applyAlignment="1" applyProtection="1">
      <alignment horizontal="center"/>
    </xf>
    <xf numFmtId="0" fontId="77" fillId="0" borderId="103" xfId="0"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5" xfId="0" applyNumberFormat="1" applyFont="1" applyFill="1" applyBorder="1" applyAlignment="1" applyProtection="1">
      <alignment horizontal="center"/>
    </xf>
    <xf numFmtId="0" fontId="77" fillId="0" borderId="105" xfId="0" applyNumberFormat="1" applyFont="1" applyFill="1" applyBorder="1" applyAlignment="1" applyProtection="1">
      <alignment horizontal="center" vertical="center"/>
    </xf>
    <xf numFmtId="0" fontId="77"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81" fillId="0" borderId="109" xfId="0" applyNumberFormat="1"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77" fillId="0" borderId="113" xfId="0" applyFont="1" applyFill="1" applyBorder="1" applyAlignment="1" applyProtection="1">
      <alignment horizontal="center" vertical="center"/>
    </xf>
    <xf numFmtId="0" fontId="2" fillId="0" borderId="114" xfId="0" applyFont="1" applyFill="1" applyBorder="1" applyAlignment="1" applyProtection="1">
      <alignment horizontal="center"/>
    </xf>
    <xf numFmtId="167" fontId="14" fillId="28" borderId="111" xfId="0" applyNumberFormat="1" applyFont="1" applyFill="1" applyBorder="1" applyAlignment="1" applyProtection="1">
      <alignment horizontal="center"/>
      <protection locked="0"/>
    </xf>
    <xf numFmtId="167" fontId="14" fillId="28" borderId="115" xfId="0" applyNumberFormat="1" applyFont="1" applyFill="1" applyBorder="1" applyAlignment="1" applyProtection="1">
      <alignment horizontal="center"/>
      <protection locked="0"/>
    </xf>
    <xf numFmtId="170" fontId="0" fillId="29" borderId="12" xfId="0" applyNumberFormat="1" applyFill="1" applyBorder="1" applyAlignment="1" applyProtection="1">
      <alignment horizontal="center"/>
    </xf>
    <xf numFmtId="170" fontId="0" fillId="0" borderId="12" xfId="0" applyNumberFormat="1" applyBorder="1" applyAlignment="1" applyProtection="1">
      <alignment horizontal="center"/>
    </xf>
    <xf numFmtId="170" fontId="0" fillId="29" borderId="71" xfId="0" applyNumberFormat="1" applyFill="1" applyBorder="1" applyAlignment="1" applyProtection="1">
      <alignment horizontal="center"/>
    </xf>
    <xf numFmtId="170"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9" xfId="0" applyFont="1" applyFill="1" applyBorder="1" applyAlignment="1" applyProtection="1">
      <alignment horizontal="center"/>
    </xf>
    <xf numFmtId="3" fontId="67" fillId="32" borderId="99" xfId="0" applyNumberFormat="1" applyFont="1" applyFill="1" applyBorder="1" applyAlignment="1" applyProtection="1">
      <alignment horizontal="right" vertical="center"/>
      <protection locked="0"/>
    </xf>
    <xf numFmtId="3" fontId="67" fillId="32" borderId="116"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40" xfId="0" applyBorder="1"/>
    <xf numFmtId="0" fontId="0" fillId="0" borderId="71" xfId="0" applyNumberFormat="1" applyFill="1" applyBorder="1" applyProtection="1"/>
    <xf numFmtId="3" fontId="0" fillId="0" borderId="71" xfId="0" applyNumberFormat="1" applyFill="1" applyBorder="1" applyProtection="1"/>
    <xf numFmtId="170"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6"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70" fontId="0" fillId="0" borderId="61" xfId="0" applyNumberFormat="1" applyFill="1" applyBorder="1" applyProtection="1"/>
    <xf numFmtId="170"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1"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2" fontId="67" fillId="31" borderId="12" xfId="112"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177" fontId="107" fillId="0" borderId="0" xfId="51" applyNumberFormat="1" applyFont="1" applyFill="1" applyBorder="1" applyAlignment="1" applyProtection="1">
      <alignment horizontal="center" vertical="center"/>
    </xf>
    <xf numFmtId="178" fontId="6" fillId="0" borderId="0" xfId="51" applyNumberFormat="1" applyFont="1" applyFill="1" applyBorder="1" applyAlignment="1" applyProtection="1">
      <protection locked="0"/>
    </xf>
    <xf numFmtId="166" fontId="17" fillId="40" borderId="0" xfId="81" applyFont="1" applyFill="1" applyBorder="1" applyAlignment="1">
      <alignment horizontal="center" vertical="center"/>
    </xf>
    <xf numFmtId="166"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0" fillId="0" borderId="118" xfId="0" applyBorder="1" applyAlignment="1">
      <alignment horizontal="center" wrapText="1"/>
    </xf>
    <xf numFmtId="166" fontId="17" fillId="41" borderId="0" xfId="92" applyFont="1" applyFill="1" applyAlignment="1" applyProtection="1">
      <alignment horizontal="center" vertical="center"/>
    </xf>
    <xf numFmtId="0" fontId="86" fillId="0" borderId="0" xfId="0" applyFont="1" applyAlignment="1">
      <alignment horizont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166"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166"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0" fillId="0" borderId="118"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119"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63" fillId="0" borderId="119" xfId="0" applyFont="1" applyBorder="1" applyAlignment="1">
      <alignment horizontal="justify" wrapText="1"/>
    </xf>
    <xf numFmtId="0" fontId="89" fillId="0" borderId="70" xfId="0" applyFont="1" applyBorder="1" applyAlignment="1">
      <alignment horizontal="justify" vertical="center" wrapText="1"/>
    </xf>
    <xf numFmtId="0" fontId="89" fillId="0" borderId="111" xfId="0" applyFont="1" applyBorder="1" applyAlignment="1">
      <alignment horizontal="justify" vertical="center" wrapText="1"/>
    </xf>
    <xf numFmtId="0" fontId="89" fillId="0" borderId="113"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1" xfId="0" applyFont="1" applyBorder="1" applyAlignment="1">
      <alignment horizontal="justify" vertical="center" wrapText="1"/>
    </xf>
    <xf numFmtId="0" fontId="123" fillId="0" borderId="113"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166" fontId="88" fillId="0" borderId="117" xfId="0" applyNumberFormat="1" applyFont="1" applyBorder="1" applyAlignment="1">
      <alignment horizontal="left" vertical="center" wrapText="1"/>
    </xf>
    <xf numFmtId="0" fontId="88" fillId="0" borderId="118" xfId="0" applyFont="1" applyBorder="1" applyAlignment="1">
      <alignment horizontal="left" vertical="center" wrapText="1"/>
    </xf>
    <xf numFmtId="0" fontId="88" fillId="0" borderId="119"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9" fontId="33" fillId="0" borderId="149" xfId="112" applyFont="1" applyFill="1" applyBorder="1" applyAlignment="1" applyProtection="1">
      <alignment horizontal="center" vertical="center"/>
    </xf>
    <xf numFmtId="0" fontId="67" fillId="31" borderId="130"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49" fontId="2" fillId="32" borderId="129" xfId="0" applyNumberFormat="1" applyFont="1" applyFill="1" applyBorder="1" applyAlignment="1" applyProtection="1">
      <alignment horizontal="center" vertical="center" wrapText="1"/>
      <protection locked="0"/>
    </xf>
    <xf numFmtId="49" fontId="67" fillId="32" borderId="124" xfId="0" applyNumberFormat="1" applyFont="1" applyFill="1" applyBorder="1" applyAlignment="1" applyProtection="1">
      <alignment horizontal="center" vertical="center" wrapText="1"/>
      <protection locked="0"/>
    </xf>
    <xf numFmtId="0" fontId="67" fillId="32" borderId="130" xfId="0" applyNumberFormat="1" applyFont="1" applyFill="1" applyBorder="1" applyAlignment="1" applyProtection="1">
      <alignment horizontal="center" vertical="center" wrapText="1"/>
      <protection locked="0"/>
    </xf>
    <xf numFmtId="0" fontId="0" fillId="44" borderId="150" xfId="0" applyFill="1" applyBorder="1" applyAlignment="1" applyProtection="1">
      <alignment horizontal="center"/>
    </xf>
    <xf numFmtId="0" fontId="0" fillId="44" borderId="151" xfId="0" applyFill="1" applyBorder="1" applyAlignment="1" applyProtection="1">
      <alignment horizontal="center"/>
    </xf>
    <xf numFmtId="0" fontId="0" fillId="44" borderId="152" xfId="0" applyFill="1" applyBorder="1" applyAlignment="1" applyProtection="1">
      <alignment horizontal="center"/>
    </xf>
    <xf numFmtId="0" fontId="67" fillId="0" borderId="110" xfId="0" applyFont="1" applyFill="1" applyBorder="1" applyAlignment="1" applyProtection="1">
      <alignment horizontal="left" vertical="center" wrapText="1"/>
    </xf>
    <xf numFmtId="0" fontId="67" fillId="0" borderId="111" xfId="0" applyFont="1" applyFill="1" applyBorder="1" applyAlignment="1" applyProtection="1">
      <alignment horizontal="left" vertical="center" wrapText="1"/>
    </xf>
    <xf numFmtId="0" fontId="67" fillId="0" borderId="115"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0" fontId="67" fillId="0" borderId="144" xfId="0" applyFont="1" applyFill="1" applyBorder="1" applyAlignment="1" applyProtection="1">
      <alignment horizontal="left" vertical="center" wrapText="1"/>
    </xf>
    <xf numFmtId="49" fontId="2" fillId="32" borderId="125" xfId="0" applyNumberFormat="1" applyFont="1" applyFill="1" applyBorder="1" applyAlignment="1" applyProtection="1">
      <alignment horizontal="left" vertical="center" wrapText="1"/>
      <protection locked="0"/>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45" xfId="0" applyNumberFormat="1" applyFont="1" applyFill="1" applyBorder="1" applyAlignment="1" applyProtection="1">
      <alignment horizontal="left" vertical="center" wrapText="1"/>
      <protection locked="0"/>
    </xf>
    <xf numFmtId="49" fontId="67" fillId="32" borderId="99"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30"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30" xfId="0" applyFont="1" applyFill="1" applyBorder="1" applyAlignment="1" applyProtection="1">
      <alignment horizontal="center" vertical="center" wrapText="1"/>
    </xf>
    <xf numFmtId="0" fontId="67" fillId="0" borderId="146"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3"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6" xfId="0" applyNumberFormat="1" applyFont="1" applyFill="1" applyBorder="1" applyAlignment="1" applyProtection="1">
      <alignment horizontal="center" vertical="center" wrapText="1"/>
      <protection locked="0"/>
    </xf>
    <xf numFmtId="49" fontId="67" fillId="32" borderId="49" xfId="0" applyNumberFormat="1" applyFont="1" applyFill="1" applyBorder="1" applyAlignment="1" applyProtection="1">
      <alignment horizontal="center" vertical="center" wrapText="1"/>
      <protection locked="0"/>
    </xf>
    <xf numFmtId="49" fontId="67" fillId="32" borderId="153" xfId="0" applyNumberFormat="1" applyFont="1" applyFill="1" applyBorder="1" applyAlignment="1" applyProtection="1">
      <alignment horizontal="center" vertical="center" wrapText="1"/>
      <protection locked="0"/>
    </xf>
    <xf numFmtId="49" fontId="2" fillId="42" borderId="125"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5" xfId="0" applyNumberFormat="1" applyFont="1" applyFill="1" applyBorder="1" applyAlignment="1" applyProtection="1">
      <alignment horizontal="left" vertical="center" wrapText="1"/>
      <protection locked="0"/>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3"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6" xfId="0" applyFont="1" applyFill="1" applyBorder="1" applyAlignment="1" applyProtection="1">
      <alignment horizontal="left" vertical="center" wrapText="1"/>
    </xf>
    <xf numFmtId="49" fontId="67" fillId="32" borderId="125" xfId="0" applyNumberFormat="1" applyFont="1" applyFill="1" applyBorder="1" applyAlignment="1" applyProtection="1">
      <alignment horizontal="left" vertical="center" wrapText="1"/>
      <protection locked="0"/>
    </xf>
    <xf numFmtId="166" fontId="15" fillId="43"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1" borderId="129" xfId="0" applyNumberFormat="1" applyFont="1" applyFill="1" applyBorder="1" applyAlignment="1" applyProtection="1">
      <alignment horizontal="center" vertical="center" wrapText="1"/>
      <protection locked="0"/>
    </xf>
    <xf numFmtId="49" fontId="67" fillId="31" borderId="124" xfId="0" applyNumberFormat="1" applyFont="1" applyFill="1" applyBorder="1" applyAlignment="1" applyProtection="1">
      <alignment horizontal="center" vertical="center" wrapText="1"/>
      <protection locked="0"/>
    </xf>
    <xf numFmtId="0" fontId="0" fillId="0" borderId="137" xfId="0" applyBorder="1" applyAlignment="1" applyProtection="1">
      <alignment horizontal="center"/>
    </xf>
    <xf numFmtId="0" fontId="0" fillId="0" borderId="23" xfId="0" applyBorder="1" applyAlignment="1" applyProtection="1">
      <alignment horizontal="center"/>
    </xf>
    <xf numFmtId="0" fontId="84" fillId="0" borderId="138" xfId="0" applyFont="1" applyBorder="1" applyAlignment="1" applyProtection="1">
      <alignment horizontal="right"/>
    </xf>
    <xf numFmtId="0" fontId="124" fillId="0" borderId="138" xfId="0" applyFont="1" applyBorder="1" applyAlignment="1"/>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0" fontId="0" fillId="0" borderId="141" xfId="0" applyFill="1" applyBorder="1" applyAlignment="1" applyProtection="1">
      <alignment horizontal="center" vertical="center"/>
      <protection locked="0"/>
    </xf>
    <xf numFmtId="49" fontId="67" fillId="32" borderId="129" xfId="0" applyNumberFormat="1" applyFont="1" applyFill="1" applyBorder="1" applyAlignment="1" applyProtection="1">
      <alignment horizontal="center" vertical="center" wrapText="1"/>
      <protection locked="0"/>
    </xf>
    <xf numFmtId="166" fontId="61" fillId="41" borderId="0" xfId="81"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37" borderId="135"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6" xfId="0" applyFont="1" applyFill="1" applyBorder="1" applyAlignment="1" applyProtection="1">
      <alignment horizontal="left" vertical="center" wrapText="1"/>
    </xf>
    <xf numFmtId="0" fontId="115" fillId="0" borderId="0" xfId="0" applyFont="1" applyBorder="1" applyAlignment="1" applyProtection="1">
      <alignment horizontal="right"/>
    </xf>
    <xf numFmtId="0" fontId="115" fillId="0" borderId="134" xfId="0" applyFont="1" applyBorder="1" applyAlignment="1" applyProtection="1">
      <alignment horizontal="right"/>
    </xf>
    <xf numFmtId="0" fontId="115" fillId="0" borderId="54" xfId="0" applyFont="1" applyBorder="1" applyAlignment="1" applyProtection="1">
      <alignment horizontal="right"/>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115" fillId="0" borderId="0" xfId="0" applyFont="1" applyAlignment="1" applyProtection="1">
      <alignment horizontal="right"/>
    </xf>
    <xf numFmtId="49" fontId="0" fillId="0" borderId="48" xfId="0" applyNumberFormat="1" applyBorder="1" applyAlignment="1" applyProtection="1">
      <alignment horizontal="center"/>
      <protection locked="0"/>
    </xf>
    <xf numFmtId="3" fontId="0" fillId="0" borderId="31" xfId="0" applyNumberFormat="1" applyBorder="1" applyAlignment="1" applyProtection="1">
      <alignment horizontal="center"/>
      <protection locked="0"/>
    </xf>
    <xf numFmtId="3" fontId="0" fillId="0" borderId="49" xfId="0" applyNumberForma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20" xfId="0" applyFill="1" applyBorder="1" applyAlignment="1" applyProtection="1">
      <alignment horizontal="center" vertical="center" textRotation="90"/>
    </xf>
    <xf numFmtId="166" fontId="14" fillId="0" borderId="121" xfId="0" applyNumberFormat="1" applyFont="1" applyBorder="1" applyAlignment="1" applyProtection="1">
      <alignment horizontal="center"/>
    </xf>
    <xf numFmtId="0" fontId="14" fillId="0" borderId="122" xfId="0" applyFont="1" applyBorder="1" applyAlignment="1" applyProtection="1">
      <alignment horizontal="center"/>
    </xf>
    <xf numFmtId="0" fontId="14" fillId="0" borderId="123" xfId="0" applyFont="1" applyBorder="1" applyAlignment="1" applyProtection="1">
      <alignment horizontal="center"/>
    </xf>
    <xf numFmtId="49" fontId="2" fillId="31" borderId="124" xfId="0" applyNumberFormat="1" applyFont="1" applyFill="1" applyBorder="1" applyAlignment="1" applyProtection="1">
      <alignment horizontal="left" vertical="center" wrapText="1"/>
      <protection locked="0"/>
    </xf>
    <xf numFmtId="49" fontId="67" fillId="31" borderId="114" xfId="0" applyNumberFormat="1" applyFont="1" applyFill="1" applyBorder="1" applyAlignment="1" applyProtection="1">
      <alignment horizontal="left" vertical="center" wrapText="1"/>
      <protection locked="0"/>
    </xf>
    <xf numFmtId="49" fontId="67" fillId="31" borderId="70" xfId="0" applyNumberFormat="1" applyFont="1" applyFill="1" applyBorder="1" applyAlignment="1" applyProtection="1">
      <alignment horizontal="left" vertical="center" wrapText="1"/>
      <protection locked="0"/>
    </xf>
    <xf numFmtId="49" fontId="67" fillId="31" borderId="125" xfId="0" applyNumberFormat="1" applyFont="1" applyFill="1" applyBorder="1" applyAlignment="1" applyProtection="1">
      <alignment horizontal="left" vertical="center" wrapText="1"/>
      <protection locked="0"/>
    </xf>
    <xf numFmtId="49" fontId="67" fillId="31" borderId="12" xfId="0" applyNumberFormat="1" applyFont="1" applyFill="1" applyBorder="1" applyAlignment="1" applyProtection="1">
      <alignment horizontal="left" vertical="center" wrapText="1"/>
      <protection locked="0"/>
    </xf>
    <xf numFmtId="49" fontId="67" fillId="31" borderId="31" xfId="0" applyNumberFormat="1" applyFont="1" applyFill="1" applyBorder="1" applyAlignment="1" applyProtection="1">
      <alignment horizontal="left" vertical="center" wrapText="1"/>
      <protection locked="0"/>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0" fontId="26" fillId="0" borderId="128" xfId="0" applyFont="1" applyBorder="1" applyAlignment="1" applyProtection="1">
      <alignment horizontal="center" wrapText="1"/>
    </xf>
    <xf numFmtId="49" fontId="2" fillId="31" borderId="125"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0" fontId="77" fillId="0" borderId="133" xfId="0" applyFont="1" applyFill="1" applyBorder="1" applyAlignment="1" applyProtection="1">
      <alignment horizontal="center" vertical="center"/>
    </xf>
    <xf numFmtId="166" fontId="24" fillId="33" borderId="45" xfId="117" applyFont="1" applyFill="1" applyBorder="1" applyAlignment="1" applyProtection="1">
      <alignment horizontal="center"/>
    </xf>
    <xf numFmtId="166" fontId="1" fillId="0" borderId="45" xfId="117" applyFont="1" applyFill="1" applyBorder="1" applyAlignment="1" applyProtection="1">
      <alignment horizontal="right"/>
    </xf>
    <xf numFmtId="166"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166" fontId="106" fillId="41" borderId="0" xfId="81" applyFont="1" applyFill="1" applyAlignment="1" applyProtection="1">
      <alignment horizontal="center" vertical="center"/>
    </xf>
    <xf numFmtId="166" fontId="33" fillId="33" borderId="0" xfId="97" applyFont="1" applyFill="1" applyAlignment="1" applyProtection="1">
      <alignment horizontal="center" vertical="center" wrapText="1"/>
    </xf>
    <xf numFmtId="175" fontId="24" fillId="33" borderId="45" xfId="117" applyNumberFormat="1" applyFont="1" applyFill="1" applyBorder="1" applyAlignment="1" applyProtection="1">
      <alignment horizontal="center" vertical="center"/>
    </xf>
    <xf numFmtId="166" fontId="1" fillId="0" borderId="45" xfId="117" applyFont="1" applyBorder="1" applyAlignment="1" applyProtection="1">
      <alignment horizontal="right"/>
    </xf>
    <xf numFmtId="166" fontId="20" fillId="0" borderId="0" xfId="97" applyFont="1" applyFill="1" applyAlignment="1" applyProtection="1">
      <alignment horizontal="right" vertical="center"/>
    </xf>
    <xf numFmtId="166" fontId="24" fillId="33" borderId="0" xfId="97" applyFont="1" applyFill="1" applyAlignment="1" applyProtection="1">
      <alignment horizontal="center" vertical="center" wrapText="1"/>
    </xf>
    <xf numFmtId="0" fontId="34"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119" fillId="0" borderId="155" xfId="0" applyFont="1" applyFill="1" applyBorder="1" applyAlignment="1" applyProtection="1">
      <alignment horizontal="left" wrapText="1"/>
    </xf>
    <xf numFmtId="0" fontId="119" fillId="0" borderId="100" xfId="0" applyFont="1" applyFill="1" applyBorder="1" applyAlignment="1" applyProtection="1">
      <alignment horizontal="left" wrapText="1"/>
    </xf>
    <xf numFmtId="0" fontId="119" fillId="0" borderId="156" xfId="0" applyFont="1" applyFill="1" applyBorder="1" applyAlignment="1" applyProtection="1">
      <alignment horizontal="left" wrapText="1"/>
    </xf>
    <xf numFmtId="0" fontId="119" fillId="0" borderId="157" xfId="0" applyFont="1" applyFill="1" applyBorder="1" applyAlignment="1" applyProtection="1">
      <alignment horizontal="left" wrapText="1"/>
    </xf>
    <xf numFmtId="166" fontId="14" fillId="0" borderId="0" xfId="0" applyNumberFormat="1" applyFont="1" applyAlignment="1" applyProtection="1">
      <alignment horizontal="center" wrapText="1"/>
    </xf>
    <xf numFmtId="166" fontId="28" fillId="0" borderId="0" xfId="0" applyNumberFormat="1" applyFont="1" applyAlignment="1" applyProtection="1">
      <alignment horizontal="right"/>
    </xf>
    <xf numFmtId="15" fontId="28" fillId="0" borderId="0" xfId="0" applyNumberFormat="1" applyFont="1" applyAlignment="1" applyProtection="1">
      <alignment horizontal="right"/>
    </xf>
    <xf numFmtId="166" fontId="14" fillId="0" borderId="0" xfId="0" applyNumberFormat="1" applyFont="1" applyAlignment="1" applyProtection="1">
      <alignment horizontal="center"/>
    </xf>
    <xf numFmtId="166" fontId="28" fillId="0" borderId="0" xfId="0" applyNumberFormat="1" applyFont="1" applyAlignment="1" applyProtection="1">
      <alignment horizontal="left"/>
    </xf>
    <xf numFmtId="166" fontId="15" fillId="40" borderId="0" xfId="117" applyFont="1" applyFill="1" applyBorder="1" applyAlignment="1" applyProtection="1">
      <alignment horizontal="center"/>
    </xf>
    <xf numFmtId="0" fontId="112" fillId="0" borderId="0" xfId="0" applyFont="1" applyAlignment="1" applyProtection="1">
      <alignment horizontal="center"/>
    </xf>
    <xf numFmtId="166" fontId="111" fillId="0" borderId="150" xfId="0" applyNumberFormat="1" applyFont="1" applyBorder="1" applyAlignment="1" applyProtection="1">
      <alignment horizontal="center" vertical="center" wrapText="1"/>
    </xf>
    <xf numFmtId="166" fontId="111" fillId="0" borderId="151" xfId="0" applyNumberFormat="1" applyFont="1" applyBorder="1" applyAlignment="1" applyProtection="1">
      <alignment horizontal="center" vertical="center" wrapText="1"/>
    </xf>
    <xf numFmtId="166" fontId="111" fillId="0" borderId="152" xfId="0" applyNumberFormat="1" applyFont="1" applyBorder="1" applyAlignment="1" applyProtection="1">
      <alignment horizontal="center" vertical="center" wrapText="1"/>
    </xf>
    <xf numFmtId="0" fontId="0" fillId="0" borderId="154" xfId="0" applyBorder="1" applyAlignment="1" applyProtection="1">
      <alignment horizontal="center"/>
    </xf>
    <xf numFmtId="0" fontId="0" fillId="0" borderId="68" xfId="0" applyBorder="1" applyAlignment="1" applyProtection="1">
      <alignment horizontal="center"/>
    </xf>
    <xf numFmtId="0" fontId="30"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0" fontId="0" fillId="0" borderId="141" xfId="0" applyFill="1" applyBorder="1" applyAlignment="1" applyProtection="1">
      <alignment horizontal="center" vertical="center"/>
    </xf>
    <xf numFmtId="166" fontId="28" fillId="0" borderId="0" xfId="0" applyNumberFormat="1" applyFont="1" applyAlignment="1">
      <alignment horizontal="right"/>
    </xf>
    <xf numFmtId="15" fontId="28" fillId="0" borderId="0" xfId="0" applyNumberFormat="1" applyFont="1" applyAlignment="1">
      <alignment horizontal="right"/>
    </xf>
    <xf numFmtId="0" fontId="0" fillId="0" borderId="48" xfId="0" applyBorder="1" applyAlignment="1">
      <alignment horizontal="left" wrapText="1"/>
    </xf>
    <xf numFmtId="0" fontId="0" fillId="0" borderId="49" xfId="0" applyBorder="1" applyAlignment="1">
      <alignment horizontal="left" wrapText="1"/>
    </xf>
    <xf numFmtId="166" fontId="14" fillId="0" borderId="0" xfId="0" applyNumberFormat="1" applyFont="1" applyAlignment="1">
      <alignment horizontal="center"/>
    </xf>
    <xf numFmtId="0" fontId="14" fillId="0" borderId="0" xfId="0" applyFont="1" applyBorder="1" applyAlignment="1">
      <alignment horizontal="center"/>
    </xf>
    <xf numFmtId="166" fontId="28" fillId="0" borderId="0" xfId="0" applyNumberFormat="1" applyFont="1" applyAlignment="1">
      <alignment horizontal="left"/>
    </xf>
    <xf numFmtId="166" fontId="61" fillId="41" borderId="0" xfId="93" applyFont="1" applyFill="1" applyAlignment="1">
      <alignment horizontal="center" vertical="center"/>
    </xf>
    <xf numFmtId="0" fontId="112" fillId="0" borderId="0" xfId="0" applyFont="1" applyAlignment="1">
      <alignment horizontal="center"/>
    </xf>
    <xf numFmtId="0" fontId="85" fillId="0" borderId="0" xfId="0" applyFont="1" applyAlignment="1">
      <alignment horizontal="left" wrapText="1"/>
    </xf>
    <xf numFmtId="166" fontId="61" fillId="41" borderId="0" xfId="93" applyFont="1" applyFill="1" applyAlignment="1" applyProtection="1">
      <alignment horizontal="center" vertical="center"/>
    </xf>
    <xf numFmtId="0" fontId="34" fillId="0" borderId="118" xfId="0" applyFont="1" applyBorder="1" applyAlignment="1" applyProtection="1">
      <alignment horizontal="left" vertical="center"/>
    </xf>
    <xf numFmtId="166" fontId="112" fillId="0" borderId="0" xfId="0" applyNumberFormat="1" applyFont="1" applyAlignment="1" applyProtection="1">
      <alignment horizontal="center"/>
    </xf>
    <xf numFmtId="166" fontId="33" fillId="0" borderId="0" xfId="0" applyNumberFormat="1" applyFont="1" applyAlignment="1" applyProtection="1">
      <alignment horizontal="center"/>
    </xf>
    <xf numFmtId="166" fontId="15" fillId="40" borderId="0" xfId="118" applyFont="1" applyFill="1" applyBorder="1" applyAlignment="1" applyProtection="1">
      <alignment horizontal="center"/>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4" fillId="31" borderId="12" xfId="112" applyFont="1" applyFill="1" applyBorder="1" applyAlignment="1" applyProtection="1">
      <alignment horizontal="left" vertical="center" wrapText="1"/>
      <protection locked="0"/>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9" fontId="37" fillId="45" borderId="31" xfId="112" applyFont="1" applyFill="1" applyBorder="1" applyAlignment="1" applyProtection="1">
      <alignment horizontal="center" vertical="center" wrapText="1"/>
    </xf>
    <xf numFmtId="9" fontId="37" fillId="45" borderId="49" xfId="112" applyFont="1" applyFill="1" applyBorder="1" applyAlignment="1" applyProtection="1">
      <alignment horizontal="center" vertical="center" wrapText="1"/>
    </xf>
    <xf numFmtId="0" fontId="33" fillId="0" borderId="111" xfId="0" applyFont="1" applyBorder="1" applyAlignment="1" applyProtection="1">
      <alignment horizontal="center"/>
    </xf>
    <xf numFmtId="0" fontId="34" fillId="0" borderId="12" xfId="0" applyFont="1" applyBorder="1" applyAlignment="1" applyProtection="1">
      <alignment horizontal="center" vertical="center" wrapText="1"/>
    </xf>
    <xf numFmtId="0" fontId="34" fillId="47" borderId="12" xfId="0" applyFont="1" applyFill="1" applyBorder="1" applyAlignment="1" applyProtection="1">
      <alignment vertical="center" wrapText="1"/>
    </xf>
    <xf numFmtId="0" fontId="34" fillId="29" borderId="0" xfId="0" applyFont="1" applyFill="1" applyAlignment="1" applyProtection="1">
      <alignment horizontal="center"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0" fontId="34" fillId="0" borderId="12" xfId="0" applyFont="1" applyBorder="1" applyAlignment="1" applyProtection="1">
      <alignment vertical="center" wrapText="1"/>
    </xf>
    <xf numFmtId="0" fontId="34" fillId="29" borderId="0" xfId="0" applyFont="1" applyFill="1" applyAlignment="1" applyProtection="1">
      <alignment horizontal="left"/>
      <protection locked="0"/>
    </xf>
    <xf numFmtId="0" fontId="34" fillId="29" borderId="46" xfId="0" applyFont="1" applyFill="1" applyBorder="1" applyAlignment="1" applyProtection="1">
      <alignment horizontal="left"/>
      <protection locked="0"/>
    </xf>
    <xf numFmtId="0" fontId="34" fillId="29" borderId="158"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0" xfId="0" applyFont="1" applyFill="1" applyBorder="1" applyAlignment="1" applyProtection="1">
      <alignment horizontal="left"/>
    </xf>
    <xf numFmtId="0" fontId="34" fillId="29" borderId="118" xfId="0" applyFont="1" applyFill="1" applyBorder="1" applyAlignment="1" applyProtection="1">
      <alignment horizontal="left"/>
    </xf>
    <xf numFmtId="0" fontId="34" fillId="29" borderId="118" xfId="0" applyFont="1" applyFill="1" applyBorder="1" applyAlignment="1" applyProtection="1">
      <alignment horizontal="left" vertical="center" wrapText="1"/>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170"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2" fillId="31" borderId="211" xfId="0" applyFont="1" applyFill="1" applyBorder="1" applyAlignment="1" applyProtection="1">
      <alignment horizontal="center" vertical="top" wrapText="1"/>
      <protection locked="0"/>
    </xf>
    <xf numFmtId="0" fontId="79" fillId="28" borderId="14"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60" fillId="34" borderId="199" xfId="0" applyFont="1" applyFill="1" applyBorder="1" applyAlignment="1" applyProtection="1">
      <alignment horizontal="center" vertical="center"/>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2" fillId="33" borderId="205"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2" fillId="33" borderId="185" xfId="0" applyFont="1" applyFill="1" applyBorder="1" applyAlignment="1" applyProtection="1">
      <alignment horizontal="center" vertical="top" wrapText="1"/>
      <protection locked="0"/>
    </xf>
    <xf numFmtId="0" fontId="78" fillId="0" borderId="206" xfId="0" applyFont="1" applyFill="1" applyBorder="1" applyAlignment="1" applyProtection="1">
      <alignment horizontal="center"/>
    </xf>
    <xf numFmtId="0" fontId="78" fillId="0" borderId="177" xfId="0" applyFont="1" applyFill="1" applyBorder="1" applyAlignment="1" applyProtection="1">
      <alignment horizontal="center"/>
    </xf>
    <xf numFmtId="49" fontId="2" fillId="34" borderId="192" xfId="0" applyNumberFormat="1" applyFont="1" applyFill="1" applyBorder="1" applyAlignment="1" applyProtection="1">
      <alignment horizontal="center" vertical="center"/>
      <protection locked="0"/>
    </xf>
    <xf numFmtId="49" fontId="2" fillId="34" borderId="160" xfId="0" applyNumberFormat="1" applyFont="1" applyFill="1" applyBorder="1" applyAlignment="1" applyProtection="1">
      <alignment horizontal="center" vertical="center"/>
      <protection locked="0"/>
    </xf>
    <xf numFmtId="49" fontId="2" fillId="34" borderId="193"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8"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71"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73" xfId="0" applyNumberFormat="1" applyFont="1" applyFill="1" applyBorder="1" applyAlignment="1" applyProtection="1">
      <alignment horizontal="left" vertical="top" wrapText="1"/>
    </xf>
    <xf numFmtId="0" fontId="80" fillId="0" borderId="174" xfId="0" applyNumberFormat="1" applyFont="1" applyFill="1" applyBorder="1" applyAlignment="1" applyProtection="1">
      <alignment horizontal="left" vertical="top" wrapText="1"/>
    </xf>
    <xf numFmtId="0" fontId="112" fillId="0" borderId="0" xfId="0" applyFont="1" applyBorder="1" applyAlignment="1" applyProtection="1">
      <alignment horizontal="center"/>
    </xf>
    <xf numFmtId="0" fontId="80" fillId="0" borderId="189"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0" fontId="80" fillId="0" borderId="191" xfId="0" applyNumberFormat="1" applyFont="1" applyFill="1" applyBorder="1" applyAlignment="1" applyProtection="1">
      <alignment horizontal="left" vertical="top" wrapText="1"/>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49" fontId="2" fillId="34" borderId="196" xfId="0" applyNumberFormat="1" applyFont="1" applyFill="1" applyBorder="1" applyAlignment="1" applyProtection="1">
      <alignment horizontal="center" vertical="center"/>
      <protection locked="0"/>
    </xf>
    <xf numFmtId="0" fontId="126" fillId="33" borderId="178" xfId="0" applyFont="1" applyFill="1" applyBorder="1" applyAlignment="1" applyProtection="1">
      <alignment horizontal="center" vertical="center"/>
    </xf>
    <xf numFmtId="0" fontId="126" fillId="33" borderId="179" xfId="0" applyFont="1" applyFill="1" applyBorder="1" applyAlignment="1" applyProtection="1">
      <alignment horizontal="center" vertical="center"/>
    </xf>
    <xf numFmtId="0" fontId="0" fillId="0" borderId="179" xfId="0" applyBorder="1" applyAlignment="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0" fontId="126" fillId="33" borderId="182" xfId="0" applyFont="1" applyFill="1" applyBorder="1" applyAlignment="1" applyProtection="1">
      <alignment horizontal="center" vertical="center"/>
    </xf>
    <xf numFmtId="9"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2" fillId="0" borderId="161"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80" fillId="0" borderId="175" xfId="0" applyNumberFormat="1" applyFont="1" applyFill="1" applyBorder="1" applyAlignment="1" applyProtection="1">
      <alignment horizontal="left" vertical="top" wrapText="1"/>
    </xf>
    <xf numFmtId="0" fontId="80" fillId="0" borderId="176" xfId="0" applyNumberFormat="1" applyFont="1" applyFill="1" applyBorder="1" applyAlignment="1" applyProtection="1">
      <alignment horizontal="left" vertical="top" wrapText="1"/>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60" fillId="31" borderId="164" xfId="0" applyFont="1" applyFill="1" applyBorder="1" applyAlignment="1" applyProtection="1">
      <alignment horizontal="center" vertical="center"/>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80" fillId="0" borderId="167" xfId="0" applyNumberFormat="1" applyFont="1" applyFill="1" applyBorder="1" applyAlignment="1" applyProtection="1">
      <alignment horizontal="left" vertical="center" wrapText="1"/>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2" fillId="31" borderId="188" xfId="0" applyFont="1" applyFill="1" applyBorder="1" applyAlignment="1" applyProtection="1">
      <alignment horizontal="center" vertical="top" wrapText="1"/>
      <protection locked="0"/>
    </xf>
    <xf numFmtId="0" fontId="99" fillId="30" borderId="222" xfId="0" applyFont="1" applyFill="1" applyBorder="1" applyAlignment="1">
      <alignment horizontal="center" vertical="center" textRotation="90"/>
    </xf>
    <xf numFmtId="0" fontId="0" fillId="30" borderId="97" xfId="0" applyFill="1" applyBorder="1" applyAlignment="1">
      <alignment horizontal="center" vertical="center" textRotation="90"/>
    </xf>
    <xf numFmtId="0" fontId="0" fillId="30" borderId="114" xfId="0" applyFill="1" applyBorder="1" applyAlignment="1">
      <alignment horizontal="center" vertical="center" textRotation="90"/>
    </xf>
    <xf numFmtId="0" fontId="77" fillId="30" borderId="227"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0" fontId="21" fillId="0" borderId="220"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33" fillId="0" borderId="0" xfId="0" applyFont="1" applyAlignment="1">
      <alignment horizontal="center"/>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77" fillId="30" borderId="226" xfId="109" applyNumberFormat="1" applyFont="1" applyFill="1" applyBorder="1" applyAlignment="1">
      <alignment horizontal="center" vertical="center" wrapText="1"/>
    </xf>
    <xf numFmtId="0" fontId="21" fillId="0" borderId="221" xfId="0"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21" fillId="0" borderId="220" xfId="0" applyFont="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195"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18" xfId="0" applyFont="1" applyFill="1" applyBorder="1" applyAlignment="1" applyProtection="1">
      <alignment horizontal="left"/>
      <protection locked="0"/>
    </xf>
    <xf numFmtId="0" fontId="21" fillId="0" borderId="160"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160" xfId="0" applyFont="1" applyFill="1" applyBorder="1" applyAlignment="1" applyProtection="1">
      <alignment horizontal="left" vertical="center" wrapText="1"/>
      <protection locked="0"/>
    </xf>
    <xf numFmtId="0" fontId="21" fillId="0" borderId="219"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35" xfId="0" applyFont="1" applyFill="1" applyBorder="1" applyAlignment="1" applyProtection="1">
      <alignment horizontal="left" vertical="center" wrapText="1"/>
      <protection locked="0"/>
    </xf>
    <xf numFmtId="0" fontId="21" fillId="0" borderId="223" xfId="0" applyFont="1" applyBorder="1" applyAlignment="1" applyProtection="1">
      <alignment horizontal="left"/>
      <protection locked="0"/>
    </xf>
    <xf numFmtId="0" fontId="21" fillId="0" borderId="41" xfId="0" applyFont="1" applyBorder="1" applyAlignment="1" applyProtection="1">
      <alignment horizontal="left"/>
      <protection locked="0"/>
    </xf>
    <xf numFmtId="0" fontId="21" fillId="0" borderId="41" xfId="0" applyFont="1" applyFill="1" applyBorder="1" applyAlignment="1" applyProtection="1">
      <alignment horizontal="left"/>
      <protection locked="0"/>
    </xf>
    <xf numFmtId="0" fontId="21" fillId="0" borderId="223" xfId="0" applyFont="1" applyFill="1" applyBorder="1" applyAlignment="1" applyProtection="1">
      <alignment horizontal="left"/>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21" fillId="0" borderId="239" xfId="0" applyFont="1" applyFill="1" applyBorder="1" applyAlignment="1" applyProtection="1">
      <alignment horizontal="left" vertical="top" wrapText="1"/>
      <protection locked="0"/>
    </xf>
    <xf numFmtId="0" fontId="21" fillId="0" borderId="221" xfId="0" applyFont="1" applyBorder="1" applyAlignment="1" applyProtection="1">
      <alignment horizontal="left"/>
      <protection locked="0"/>
    </xf>
    <xf numFmtId="0" fontId="21" fillId="0" borderId="215" xfId="0" applyFont="1" applyBorder="1" applyAlignment="1" applyProtection="1">
      <alignment horizontal="left"/>
      <protection locked="0"/>
    </xf>
    <xf numFmtId="0" fontId="21" fillId="0" borderId="214" xfId="0" applyFont="1" applyFill="1" applyBorder="1" applyAlignment="1" applyProtection="1">
      <alignment horizontal="left"/>
      <protection locked="0"/>
    </xf>
    <xf numFmtId="0" fontId="77" fillId="30" borderId="212" xfId="109" applyNumberFormat="1" applyFont="1" applyFill="1" applyBorder="1" applyAlignment="1">
      <alignment horizontal="center" vertical="center" wrapText="1"/>
    </xf>
    <xf numFmtId="0" fontId="21" fillId="0" borderId="216" xfId="0" applyFont="1" applyFill="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7" xfId="0" applyFont="1" applyBorder="1" applyAlignment="1" applyProtection="1">
      <alignment horizontal="left"/>
      <protection locked="0"/>
    </xf>
    <xf numFmtId="166" fontId="15" fillId="40" borderId="0" xfId="119" applyFont="1" applyFill="1" applyBorder="1" applyAlignment="1" applyProtection="1">
      <alignment horizontal="center"/>
      <protection locked="0"/>
    </xf>
    <xf numFmtId="0" fontId="21" fillId="0" borderId="217" xfId="0" applyFont="1" applyFill="1" applyBorder="1" applyAlignment="1" applyProtection="1">
      <alignment horizontal="left"/>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119"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1" xfId="0" applyFill="1" applyBorder="1" applyAlignment="1" applyProtection="1">
      <alignment horizontal="center"/>
      <protection locked="0"/>
    </xf>
    <xf numFmtId="0" fontId="0" fillId="31" borderId="113" xfId="0" applyFill="1" applyBorder="1" applyAlignment="1" applyProtection="1">
      <alignment horizontal="center"/>
      <protection locked="0"/>
    </xf>
    <xf numFmtId="0" fontId="21" fillId="0" borderId="216" xfId="0" applyFont="1" applyBorder="1" applyAlignment="1" applyProtection="1">
      <alignment horizontal="left"/>
      <protection locked="0"/>
    </xf>
    <xf numFmtId="166"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2">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921623.07000000007</c:v>
                </c:pt>
                <c:pt idx="1">
                  <c:v>1347642.61</c:v>
                </c:pt>
                <c:pt idx="2">
                  <c:v>4270045.2</c:v>
                </c:pt>
                <c:pt idx="3">
                  <c:v>4789702.1500000004</c:v>
                </c:pt>
                <c:pt idx="4">
                  <c:v>8274041.8300000001</c:v>
                </c:pt>
                <c:pt idx="5">
                  <c:v>8548696.8300000001</c:v>
                </c:pt>
                <c:pt idx="6">
                  <c:v>8858606.8300000001</c:v>
                </c:pt>
                <c:pt idx="7">
                  <c:v>9290105.8300000001</c:v>
                </c:pt>
                <c:pt idx="8">
                  <c:v>11182991.83</c:v>
                </c:pt>
                <c:pt idx="9">
                  <c:v>0</c:v>
                </c:pt>
                <c:pt idx="10">
                  <c:v>0</c:v>
                </c:pt>
                <c:pt idx="11">
                  <c:v>0</c:v>
                </c:pt>
              </c:numCache>
            </c:numRef>
          </c:val>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691821</c:v>
                </c:pt>
                <c:pt idx="1">
                  <c:v>1393192</c:v>
                </c:pt>
                <c:pt idx="2">
                  <c:v>3784655</c:v>
                </c:pt>
                <c:pt idx="3">
                  <c:v>3784655</c:v>
                </c:pt>
                <c:pt idx="4">
                  <c:v>3828649.7</c:v>
                </c:pt>
                <c:pt idx="5">
                  <c:v>3828649.7</c:v>
                </c:pt>
                <c:pt idx="6">
                  <c:v>3828649.7</c:v>
                </c:pt>
                <c:pt idx="7">
                  <c:v>3828649.7</c:v>
                </c:pt>
                <c:pt idx="8">
                  <c:v>3828649.7</c:v>
                </c:pt>
                <c:pt idx="9">
                  <c:v>0</c:v>
                </c:pt>
                <c:pt idx="10">
                  <c:v>0</c:v>
                </c:pt>
                <c:pt idx="11">
                  <c:v>0</c:v>
                </c:pt>
              </c:numCache>
            </c:numRef>
          </c:val>
        </c:ser>
        <c:dLbls>
          <c:showLegendKey val="0"/>
          <c:showVal val="0"/>
          <c:showCatName val="0"/>
          <c:showSerName val="0"/>
          <c:showPercent val="0"/>
          <c:showBubbleSize val="0"/>
        </c:dLbls>
        <c:gapWidth val="70"/>
        <c:axId val="104157184"/>
        <c:axId val="104159104"/>
      </c:barChart>
      <c:catAx>
        <c:axId val="104157184"/>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04159104"/>
        <c:crosses val="autoZero"/>
        <c:auto val="1"/>
        <c:lblAlgn val="ctr"/>
        <c:lblOffset val="100"/>
        <c:tickLblSkip val="1"/>
        <c:tickMarkSkip val="1"/>
        <c:noMultiLvlLbl val="0"/>
      </c:catAx>
      <c:valAx>
        <c:axId val="10415910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04157184"/>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#,##0</c:formatCode>
                <c:ptCount val="12"/>
                <c:pt idx="0">
                  <c:v>1018</c:v>
                </c:pt>
                <c:pt idx="1">
                  <c:v>1018</c:v>
                </c:pt>
                <c:pt idx="2">
                  <c:v>1017</c:v>
                </c:pt>
                <c:pt idx="3">
                  <c:v>1016</c:v>
                </c:pt>
                <c:pt idx="4">
                  <c:v>2032</c:v>
                </c:pt>
                <c:pt idx="5">
                  <c:v>1016</c:v>
                </c:pt>
                <c:pt idx="6">
                  <c:v>1015</c:v>
                </c:pt>
                <c:pt idx="7">
                  <c:v>1014</c:v>
                </c:pt>
                <c:pt idx="8">
                  <c:v>1014</c:v>
                </c:pt>
              </c:numCache>
            </c:numRef>
          </c:val>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#,##0</c:formatCode>
                <c:ptCount val="12"/>
                <c:pt idx="0">
                  <c:v>702</c:v>
                </c:pt>
                <c:pt idx="1">
                  <c:v>646</c:v>
                </c:pt>
                <c:pt idx="2">
                  <c:v>784</c:v>
                </c:pt>
                <c:pt idx="3">
                  <c:v>757</c:v>
                </c:pt>
                <c:pt idx="4">
                  <c:v>1676</c:v>
                </c:pt>
                <c:pt idx="5">
                  <c:v>701</c:v>
                </c:pt>
              </c:numCache>
            </c:numRef>
          </c:val>
        </c:ser>
        <c:dLbls>
          <c:showLegendKey val="0"/>
          <c:showVal val="0"/>
          <c:showCatName val="0"/>
          <c:showSerName val="0"/>
          <c:showPercent val="0"/>
          <c:showBubbleSize val="0"/>
        </c:dLbls>
        <c:gapWidth val="150"/>
        <c:axId val="108632320"/>
        <c:axId val="108634112"/>
      </c:barChart>
      <c:catAx>
        <c:axId val="108632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08634112"/>
        <c:crosses val="autoZero"/>
        <c:auto val="1"/>
        <c:lblAlgn val="ctr"/>
        <c:lblOffset val="100"/>
        <c:tickLblSkip val="1"/>
        <c:tickMarkSkip val="1"/>
        <c:noMultiLvlLbl val="0"/>
      </c:catAx>
      <c:valAx>
        <c:axId val="10863411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08632320"/>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c:formatCode>
                <c:ptCount val="12"/>
                <c:pt idx="0" formatCode="0.00">
                  <c:v>63</c:v>
                </c:pt>
                <c:pt idx="1">
                  <c:v>65</c:v>
                </c:pt>
                <c:pt idx="2">
                  <c:v>65</c:v>
                </c:pt>
                <c:pt idx="3">
                  <c:v>75</c:v>
                </c:pt>
                <c:pt idx="4">
                  <c:v>75</c:v>
                </c:pt>
                <c:pt idx="5">
                  <c:v>75</c:v>
                </c:pt>
                <c:pt idx="6">
                  <c:v>75</c:v>
                </c:pt>
                <c:pt idx="7">
                  <c:v>75</c:v>
                </c:pt>
                <c:pt idx="8">
                  <c:v>75</c:v>
                </c:pt>
              </c:numCache>
            </c:numRef>
          </c:val>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113</c:v>
                </c:pt>
                <c:pt idx="1">
                  <c:v>108</c:v>
                </c:pt>
                <c:pt idx="2">
                  <c:v>63</c:v>
                </c:pt>
                <c:pt idx="3">
                  <c:v>66</c:v>
                </c:pt>
                <c:pt idx="4">
                  <c:v>82</c:v>
                </c:pt>
                <c:pt idx="5">
                  <c:v>82</c:v>
                </c:pt>
              </c:numCache>
            </c:numRef>
          </c:val>
        </c:ser>
        <c:dLbls>
          <c:showLegendKey val="0"/>
          <c:showVal val="0"/>
          <c:showCatName val="0"/>
          <c:showSerName val="0"/>
          <c:showPercent val="0"/>
          <c:showBubbleSize val="0"/>
        </c:dLbls>
        <c:gapWidth val="150"/>
        <c:axId val="108663168"/>
        <c:axId val="108664704"/>
      </c:barChart>
      <c:catAx>
        <c:axId val="108663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08664704"/>
        <c:crosses val="autoZero"/>
        <c:auto val="1"/>
        <c:lblAlgn val="ctr"/>
        <c:lblOffset val="100"/>
        <c:tickLblSkip val="1"/>
        <c:tickMarkSkip val="1"/>
        <c:noMultiLvlLbl val="0"/>
      </c:catAx>
      <c:valAx>
        <c:axId val="10866470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08663168"/>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921623.07000000007</c:v>
                </c:pt>
                <c:pt idx="1">
                  <c:v>1347642.61</c:v>
                </c:pt>
                <c:pt idx="2">
                  <c:v>4270045.2</c:v>
                </c:pt>
                <c:pt idx="3">
                  <c:v>4789702.1500000004</c:v>
                </c:pt>
                <c:pt idx="4">
                  <c:v>8274041.8300000001</c:v>
                </c:pt>
                <c:pt idx="5">
                  <c:v>8548696.8300000001</c:v>
                </c:pt>
                <c:pt idx="6">
                  <c:v>8858606.8300000001</c:v>
                </c:pt>
                <c:pt idx="7">
                  <c:v>9290105.8300000001</c:v>
                </c:pt>
                <c:pt idx="8">
                  <c:v>11182991.83</c:v>
                </c:pt>
                <c:pt idx="9">
                  <c:v>0</c:v>
                </c:pt>
                <c:pt idx="10">
                  <c:v>0</c:v>
                </c:pt>
              </c:numCache>
            </c:numRef>
          </c:val>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691821</c:v>
                </c:pt>
                <c:pt idx="1">
                  <c:v>1393192</c:v>
                </c:pt>
                <c:pt idx="2">
                  <c:v>3784655</c:v>
                </c:pt>
                <c:pt idx="3">
                  <c:v>3784655</c:v>
                </c:pt>
                <c:pt idx="4">
                  <c:v>3828649.7</c:v>
                </c:pt>
                <c:pt idx="5">
                  <c:v>3828649.7</c:v>
                </c:pt>
                <c:pt idx="6">
                  <c:v>3828649.7</c:v>
                </c:pt>
                <c:pt idx="7">
                  <c:v>3828649.7</c:v>
                </c:pt>
                <c:pt idx="8">
                  <c:v>3828649.7</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109269760"/>
        <c:axId val="109271296"/>
      </c:areaChart>
      <c:catAx>
        <c:axId val="109269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09271296"/>
        <c:crosses val="autoZero"/>
        <c:auto val="1"/>
        <c:lblAlgn val="ctr"/>
        <c:lblOffset val="100"/>
        <c:tickLblSkip val="8"/>
        <c:tickMarkSkip val="1"/>
        <c:noMultiLvlLbl val="0"/>
      </c:catAx>
      <c:valAx>
        <c:axId val="10927129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0926976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3828650</c:v>
                </c:pt>
                <c:pt idx="1">
                  <c:v>3774542.0395542369</c:v>
                </c:pt>
                <c:pt idx="2">
                  <c:v>412429.42611181398</c:v>
                </c:pt>
                <c:pt idx="3">
                  <c:v>416235.77653551311</c:v>
                </c:pt>
              </c:numCache>
            </c:numRef>
          </c:val>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0</c:v>
                </c:pt>
                <c:pt idx="1">
                  <c:v>540176</c:v>
                </c:pt>
                <c:pt idx="2">
                  <c:v>79264</c:v>
                </c:pt>
                <c:pt idx="3">
                  <c:v>77995.33</c:v>
                </c:pt>
              </c:numCache>
            </c:numRef>
          </c:val>
        </c:ser>
        <c:dLbls>
          <c:showLegendKey val="0"/>
          <c:showVal val="0"/>
          <c:showCatName val="0"/>
          <c:showSerName val="0"/>
          <c:showPercent val="0"/>
          <c:showBubbleSize val="0"/>
        </c:dLbls>
        <c:gapWidth val="150"/>
        <c:overlap val="100"/>
        <c:axId val="104176640"/>
        <c:axId val="106631936"/>
      </c:barChart>
      <c:catAx>
        <c:axId val="104176640"/>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06631936"/>
        <c:crossesAt val="0"/>
        <c:auto val="1"/>
        <c:lblAlgn val="ctr"/>
        <c:lblOffset val="100"/>
        <c:noMultiLvlLbl val="0"/>
      </c:catAx>
      <c:valAx>
        <c:axId val="106631936"/>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4176640"/>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1- To strengthen the national TB Control Program management, coordination, monitoring and evaluation</c:v>
                </c:pt>
                <c:pt idx="1">
                  <c:v>2-Improve diagnosis of TB including M/XDR TB</c:v>
                </c:pt>
                <c:pt idx="2">
                  <c:v>3-To insure quality treatment of all forms of TB</c:v>
                </c:pt>
                <c:pt idx="3">
                  <c:v>4-To insure adherence to TB treatment by intensive patient support and follow up</c:v>
                </c:pt>
                <c:pt idx="4">
                  <c:v>5-Project nanagement of the PR</c:v>
                </c:pt>
              </c:strCache>
            </c:strRef>
          </c:cat>
          <c:val>
            <c:numRef>
              <c:f>'Data Entry'!$C$39:$C$43</c:f>
              <c:numCache>
                <c:formatCode>#,##0</c:formatCode>
                <c:ptCount val="5"/>
                <c:pt idx="0">
                  <c:v>361925.95</c:v>
                </c:pt>
                <c:pt idx="1">
                  <c:v>1225290.07</c:v>
                </c:pt>
                <c:pt idx="2">
                  <c:v>5123348.79</c:v>
                </c:pt>
                <c:pt idx="3">
                  <c:v>1392730.2</c:v>
                </c:pt>
                <c:pt idx="4">
                  <c:v>445401.60000000003</c:v>
                </c:pt>
              </c:numCache>
            </c:numRef>
          </c:val>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1- To strengthen the national TB Control Program management, coordination, monitoring and evaluation</c:v>
                </c:pt>
                <c:pt idx="1">
                  <c:v>2-Improve diagnosis of TB including M/XDR TB</c:v>
                </c:pt>
                <c:pt idx="2">
                  <c:v>3-To insure quality treatment of all forms of TB</c:v>
                </c:pt>
                <c:pt idx="3">
                  <c:v>4-To insure adherence to TB treatment by intensive patient support and follow up</c:v>
                </c:pt>
                <c:pt idx="4">
                  <c:v>5-Project nanagement of the PR</c:v>
                </c:pt>
              </c:strCache>
            </c:strRef>
          </c:cat>
          <c:val>
            <c:numRef>
              <c:f>'Data Entry'!$D$39:$D$43</c:f>
              <c:numCache>
                <c:formatCode>#,##0</c:formatCode>
                <c:ptCount val="5"/>
                <c:pt idx="0">
                  <c:v>285075</c:v>
                </c:pt>
                <c:pt idx="1">
                  <c:v>664818</c:v>
                </c:pt>
                <c:pt idx="2">
                  <c:v>2561249</c:v>
                </c:pt>
                <c:pt idx="3">
                  <c:v>535009</c:v>
                </c:pt>
                <c:pt idx="4">
                  <c:v>268567</c:v>
                </c:pt>
              </c:numCache>
            </c:numRef>
          </c:val>
        </c:ser>
        <c:dLbls>
          <c:showLegendKey val="0"/>
          <c:showVal val="0"/>
          <c:showCatName val="0"/>
          <c:showSerName val="0"/>
          <c:showPercent val="0"/>
          <c:showBubbleSize val="0"/>
        </c:dLbls>
        <c:gapWidth val="150"/>
        <c:axId val="106662144"/>
        <c:axId val="106668032"/>
      </c:barChart>
      <c:catAx>
        <c:axId val="106662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06668032"/>
        <c:crosses val="autoZero"/>
        <c:auto val="1"/>
        <c:lblAlgn val="ctr"/>
        <c:lblOffset val="100"/>
        <c:tickMarkSkip val="1"/>
        <c:noMultiLvlLbl val="0"/>
      </c:catAx>
      <c:valAx>
        <c:axId val="1066680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0666214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11</c:v>
                </c:pt>
              </c:numCache>
            </c:numRef>
          </c:val>
        </c:ser>
        <c:dLbls>
          <c:showLegendKey val="0"/>
          <c:showVal val="0"/>
          <c:showCatName val="0"/>
          <c:showSerName val="0"/>
          <c:showPercent val="0"/>
          <c:showBubbleSize val="0"/>
        </c:dLbls>
        <c:gapWidth val="79"/>
        <c:overlap val="100"/>
        <c:axId val="106134528"/>
        <c:axId val="106152704"/>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Entry'!$D$79</c:f>
              <c:numCache>
                <c:formatCode>General</c:formatCode>
                <c:ptCount val="1"/>
                <c:pt idx="0">
                  <c:v>11</c:v>
                </c:pt>
              </c:numCache>
            </c:numRef>
          </c:val>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Entry'!$E$79</c:f>
              <c:numCache>
                <c:formatCode>General</c:formatCode>
                <c:ptCount val="1"/>
                <c:pt idx="0">
                  <c:v>0</c:v>
                </c:pt>
              </c:numCache>
            </c:numRef>
          </c:val>
        </c:ser>
        <c:dLbls>
          <c:showLegendKey val="0"/>
          <c:showVal val="0"/>
          <c:showCatName val="0"/>
          <c:showSerName val="0"/>
          <c:showPercent val="0"/>
          <c:showBubbleSize val="0"/>
        </c:dLbls>
        <c:gapWidth val="191"/>
        <c:overlap val="100"/>
        <c:axId val="106154240"/>
        <c:axId val="106164224"/>
      </c:barChart>
      <c:catAx>
        <c:axId val="106134528"/>
        <c:scaling>
          <c:orientation val="minMax"/>
        </c:scaling>
        <c:delete val="1"/>
        <c:axPos val="l"/>
        <c:majorTickMark val="out"/>
        <c:minorTickMark val="none"/>
        <c:tickLblPos val="none"/>
        <c:crossAx val="106152704"/>
        <c:crosses val="autoZero"/>
        <c:auto val="1"/>
        <c:lblAlgn val="ctr"/>
        <c:lblOffset val="100"/>
        <c:noMultiLvlLbl val="0"/>
      </c:catAx>
      <c:valAx>
        <c:axId val="10615270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06134528"/>
        <c:crosses val="max"/>
        <c:crossBetween val="between"/>
      </c:valAx>
      <c:catAx>
        <c:axId val="106154240"/>
        <c:scaling>
          <c:orientation val="minMax"/>
        </c:scaling>
        <c:delete val="1"/>
        <c:axPos val="l"/>
        <c:majorTickMark val="out"/>
        <c:minorTickMark val="none"/>
        <c:tickLblPos val="none"/>
        <c:crossAx val="106164224"/>
        <c:crosses val="autoZero"/>
        <c:auto val="0"/>
        <c:lblAlgn val="ctr"/>
        <c:lblOffset val="100"/>
        <c:noMultiLvlLbl val="0"/>
      </c:catAx>
      <c:valAx>
        <c:axId val="106164224"/>
        <c:scaling>
          <c:orientation val="minMax"/>
        </c:scaling>
        <c:delete val="0"/>
        <c:axPos val="b"/>
        <c:numFmt formatCode="0%" sourceLinked="1"/>
        <c:majorTickMark val="none"/>
        <c:minorTickMark val="none"/>
        <c:tickLblPos val="none"/>
        <c:spPr>
          <a:ln w="3175">
            <a:solidFill>
              <a:srgbClr val="000000"/>
            </a:solidFill>
            <a:prstDash val="solid"/>
          </a:ln>
        </c:spPr>
        <c:crossAx val="106154240"/>
        <c:crosses val="autoZero"/>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Entry'!$C$84</c:f>
              <c:numCache>
                <c:formatCode>General</c:formatCode>
                <c:ptCount val="1"/>
                <c:pt idx="0">
                  <c:v>1</c:v>
                </c:pt>
              </c:numCache>
            </c:numRef>
          </c:val>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Entry'!$D$84</c:f>
              <c:numCache>
                <c:formatCode>General</c:formatCode>
                <c:ptCount val="1"/>
                <c:pt idx="0">
                  <c:v>1</c:v>
                </c:pt>
              </c:numCache>
            </c:numRef>
          </c:val>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Entry'!$E$84</c:f>
              <c:numCache>
                <c:formatCode>General</c:formatCode>
                <c:ptCount val="1"/>
                <c:pt idx="0">
                  <c:v>1</c:v>
                </c:pt>
              </c:numCache>
            </c:numRef>
          </c:val>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Entry'!$F$84</c:f>
              <c:numCache>
                <c:formatCode>General</c:formatCode>
                <c:ptCount val="1"/>
                <c:pt idx="0">
                  <c:v>1</c:v>
                </c:pt>
              </c:numCache>
            </c:numRef>
          </c:val>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Entry'!$G$84</c:f>
              <c:numCache>
                <c:formatCode>General</c:formatCode>
                <c:ptCount val="1"/>
                <c:pt idx="0">
                  <c:v>1</c:v>
                </c:pt>
              </c:numCache>
            </c:numRef>
          </c:val>
        </c:ser>
        <c:dLbls>
          <c:showLegendKey val="0"/>
          <c:showVal val="0"/>
          <c:showCatName val="0"/>
          <c:showSerName val="0"/>
          <c:showPercent val="0"/>
          <c:showBubbleSize val="0"/>
        </c:dLbls>
        <c:gapWidth val="150"/>
        <c:overlap val="-20"/>
        <c:axId val="106202240"/>
        <c:axId val="106203776"/>
      </c:barChart>
      <c:catAx>
        <c:axId val="106202240"/>
        <c:scaling>
          <c:orientation val="minMax"/>
        </c:scaling>
        <c:delete val="0"/>
        <c:axPos val="b"/>
        <c:majorTickMark val="none"/>
        <c:minorTickMark val="none"/>
        <c:tickLblPos val="none"/>
        <c:spPr>
          <a:ln w="3175">
            <a:solidFill>
              <a:srgbClr val="000000"/>
            </a:solidFill>
            <a:prstDash val="solid"/>
          </a:ln>
        </c:spPr>
        <c:crossAx val="106203776"/>
        <c:crosses val="autoZero"/>
        <c:auto val="0"/>
        <c:lblAlgn val="ctr"/>
        <c:lblOffset val="100"/>
        <c:tickMarkSkip val="1"/>
        <c:noMultiLvlLbl val="0"/>
      </c:catAx>
      <c:valAx>
        <c:axId val="10620377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6202240"/>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4</c:v>
                </c:pt>
                <c:pt idx="1">
                  <c:v>5</c:v>
                </c:pt>
              </c:numCache>
            </c:numRef>
          </c:val>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1</c:v>
                </c:pt>
                <c:pt idx="1">
                  <c:v>1</c:v>
                </c:pt>
              </c:numCache>
            </c:numRef>
          </c:val>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ser>
        <c:dLbls>
          <c:showLegendKey val="0"/>
          <c:showVal val="0"/>
          <c:showCatName val="0"/>
          <c:showSerName val="0"/>
          <c:showPercent val="0"/>
          <c:showBubbleSize val="0"/>
        </c:dLbls>
        <c:gapWidth val="70"/>
        <c:overlap val="100"/>
        <c:axId val="107441152"/>
        <c:axId val="107455232"/>
      </c:barChart>
      <c:catAx>
        <c:axId val="1074411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455232"/>
        <c:crosses val="autoZero"/>
        <c:auto val="1"/>
        <c:lblAlgn val="ctr"/>
        <c:lblOffset val="100"/>
        <c:tickLblSkip val="1"/>
        <c:tickMarkSkip val="1"/>
        <c:noMultiLvlLbl val="0"/>
      </c:catAx>
      <c:valAx>
        <c:axId val="10745523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441152"/>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107491712"/>
        <c:axId val="107493248"/>
      </c:barChart>
      <c:catAx>
        <c:axId val="1074917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07493248"/>
        <c:crosses val="autoZero"/>
        <c:auto val="1"/>
        <c:lblAlgn val="ctr"/>
        <c:lblOffset val="100"/>
        <c:noMultiLvlLbl val="0"/>
      </c:catAx>
      <c:valAx>
        <c:axId val="10749324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07491712"/>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412658</c:v>
                </c:pt>
                <c:pt idx="1">
                  <c:v>412658</c:v>
                </c:pt>
                <c:pt idx="2">
                  <c:v>2591762</c:v>
                </c:pt>
                <c:pt idx="3">
                  <c:v>2766035</c:v>
                </c:pt>
                <c:pt idx="4">
                  <c:v>5726750</c:v>
                </c:pt>
                <c:pt idx="5">
                  <c:v>5726750</c:v>
                </c:pt>
                <c:pt idx="6">
                  <c:v>5738450</c:v>
                </c:pt>
                <c:pt idx="7">
                  <c:v>5855249</c:v>
                </c:pt>
                <c:pt idx="8">
                  <c:v>7336969</c:v>
                </c:pt>
                <c:pt idx="9">
                  <c:v>7336969</c:v>
                </c:pt>
                <c:pt idx="10">
                  <c:v>7336969</c:v>
                </c:pt>
                <c:pt idx="11">
                  <c:v>7336969</c:v>
                </c:pt>
              </c:numCache>
            </c:numRef>
          </c:val>
          <c:smooth val="0"/>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0</c:v>
                </c:pt>
                <c:pt idx="1">
                  <c:v>0</c:v>
                </c:pt>
                <c:pt idx="2">
                  <c:v>0</c:v>
                </c:pt>
                <c:pt idx="3">
                  <c:v>9722.0265959650369</c:v>
                </c:pt>
                <c:pt idx="4">
                  <c:v>289507.02659596503</c:v>
                </c:pt>
                <c:pt idx="5">
                  <c:v>378003.36852896464</c:v>
                </c:pt>
                <c:pt idx="6">
                  <c:v>378003.36852896464</c:v>
                </c:pt>
                <c:pt idx="7">
                  <c:v>378003.36852896464</c:v>
                </c:pt>
                <c:pt idx="8">
                  <c:v>378003.36852896464</c:v>
                </c:pt>
                <c:pt idx="9">
                  <c:v>378003.36852896464</c:v>
                </c:pt>
                <c:pt idx="10">
                  <c:v>378003.36852896464</c:v>
                </c:pt>
                <c:pt idx="11">
                  <c:v>378003.36852896464</c:v>
                </c:pt>
              </c:numCache>
            </c:numRef>
          </c:val>
          <c:smooth val="0"/>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0</c:v>
                </c:pt>
                <c:pt idx="1">
                  <c:v>0</c:v>
                </c:pt>
                <c:pt idx="2">
                  <c:v>2411851</c:v>
                </c:pt>
                <c:pt idx="3">
                  <c:v>2423139</c:v>
                </c:pt>
                <c:pt idx="4">
                  <c:v>2463996</c:v>
                </c:pt>
                <c:pt idx="5">
                  <c:v>2850881</c:v>
                </c:pt>
                <c:pt idx="6">
                  <c:v>2850881</c:v>
                </c:pt>
                <c:pt idx="7">
                  <c:v>2850881</c:v>
                </c:pt>
                <c:pt idx="8">
                  <c:v>2850881</c:v>
                </c:pt>
                <c:pt idx="9">
                  <c:v>2850881</c:v>
                </c:pt>
                <c:pt idx="10">
                  <c:v>2850881</c:v>
                </c:pt>
                <c:pt idx="11">
                  <c:v>2850881</c:v>
                </c:pt>
              </c:numCache>
            </c:numRef>
          </c:val>
          <c:smooth val="0"/>
        </c:ser>
        <c:dLbls>
          <c:showLegendKey val="0"/>
          <c:showVal val="0"/>
          <c:showCatName val="0"/>
          <c:showSerName val="0"/>
          <c:showPercent val="0"/>
          <c:showBubbleSize val="0"/>
        </c:dLbls>
        <c:marker val="1"/>
        <c:smooth val="0"/>
        <c:axId val="107519360"/>
        <c:axId val="107542016"/>
      </c:lineChart>
      <c:catAx>
        <c:axId val="107519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07542016"/>
        <c:crosses val="autoZero"/>
        <c:auto val="1"/>
        <c:lblAlgn val="ctr"/>
        <c:lblOffset val="100"/>
        <c:tickLblSkip val="1"/>
        <c:tickMarkSkip val="1"/>
        <c:noMultiLvlLbl val="0"/>
      </c:catAx>
      <c:valAx>
        <c:axId val="10754201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07519360"/>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70</c:v>
                </c:pt>
                <c:pt idx="1">
                  <c:v>75</c:v>
                </c:pt>
                <c:pt idx="2">
                  <c:v>75</c:v>
                </c:pt>
                <c:pt idx="3">
                  <c:v>75</c:v>
                </c:pt>
                <c:pt idx="4">
                  <c:v>75</c:v>
                </c:pt>
                <c:pt idx="5">
                  <c:v>75</c:v>
                </c:pt>
                <c:pt idx="6">
                  <c:v>75</c:v>
                </c:pt>
                <c:pt idx="7">
                  <c:v>75</c:v>
                </c:pt>
                <c:pt idx="8">
                  <c:v>75</c:v>
                </c:pt>
              </c:numCache>
            </c:numRef>
          </c:val>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69</c:v>
                </c:pt>
                <c:pt idx="1">
                  <c:v>70</c:v>
                </c:pt>
                <c:pt idx="2">
                  <c:v>72</c:v>
                </c:pt>
                <c:pt idx="3">
                  <c:v>73</c:v>
                </c:pt>
                <c:pt idx="4">
                  <c:v>80</c:v>
                </c:pt>
                <c:pt idx="5">
                  <c:v>70</c:v>
                </c:pt>
              </c:numCache>
            </c:numRef>
          </c:val>
        </c:ser>
        <c:dLbls>
          <c:showLegendKey val="0"/>
          <c:showVal val="0"/>
          <c:showCatName val="0"/>
          <c:showSerName val="0"/>
          <c:showPercent val="0"/>
          <c:showBubbleSize val="0"/>
        </c:dLbls>
        <c:gapWidth val="150"/>
        <c:axId val="107331968"/>
        <c:axId val="107333504"/>
      </c:barChart>
      <c:catAx>
        <c:axId val="107331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07333504"/>
        <c:crosses val="autoZero"/>
        <c:auto val="1"/>
        <c:lblAlgn val="ctr"/>
        <c:lblOffset val="100"/>
        <c:tickLblSkip val="1"/>
        <c:tickMarkSkip val="1"/>
        <c:noMultiLvlLbl val="0"/>
      </c:catAx>
      <c:valAx>
        <c:axId val="10733350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07331968"/>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xdr:cNvPr>
        <xdr:cNvGrpSpPr>
          <a:grpSpLocks/>
        </xdr:cNvGrpSpPr>
      </xdr:nvGrpSpPr>
      <xdr:grpSpPr bwMode="auto">
        <a:xfrm>
          <a:off x="3413125" y="2446338"/>
          <a:ext cx="1009650" cy="361950"/>
          <a:chOff x="1200" y="1912"/>
          <a:chExt cx="3456" cy="774"/>
        </a:xfrm>
      </xdr:grpSpPr>
      <xdr:sp macro="" textlink="">
        <xdr:nvSpPr>
          <xdr:cNvPr id="317345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xdr:cNvPr>
        <xdr:cNvGrpSpPr>
          <a:grpSpLocks/>
        </xdr:cNvGrpSpPr>
      </xdr:nvGrpSpPr>
      <xdr:grpSpPr bwMode="auto">
        <a:xfrm>
          <a:off x="3451225" y="3522663"/>
          <a:ext cx="1066800" cy="361950"/>
          <a:chOff x="1200" y="1912"/>
          <a:chExt cx="3456" cy="774"/>
        </a:xfrm>
      </xdr:grpSpPr>
      <xdr:sp macro="" textlink="">
        <xdr:nvSpPr>
          <xdr:cNvPr id="317344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xdr:cNvPr>
        <xdr:cNvGrpSpPr>
          <a:grpSpLocks/>
        </xdr:cNvGrpSpPr>
      </xdr:nvGrpSpPr>
      <xdr:grpSpPr bwMode="auto">
        <a:xfrm>
          <a:off x="3413125" y="2970213"/>
          <a:ext cx="1076325" cy="371475"/>
          <a:chOff x="1200" y="1912"/>
          <a:chExt cx="3456" cy="774"/>
        </a:xfrm>
      </xdr:grpSpPr>
      <xdr:sp macro="" textlink="">
        <xdr:nvSpPr>
          <xdr:cNvPr id="317344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xdr:cNvPr>
        <xdr:cNvGrpSpPr>
          <a:grpSpLocks/>
        </xdr:cNvGrpSpPr>
      </xdr:nvGrpSpPr>
      <xdr:grpSpPr bwMode="auto">
        <a:xfrm>
          <a:off x="5708650" y="2579688"/>
          <a:ext cx="1511300" cy="409575"/>
          <a:chOff x="599" y="262"/>
          <a:chExt cx="158" cy="43"/>
        </a:xfrm>
      </xdr:grpSpPr>
      <xdr:sp macro="" textlink="">
        <xdr:nvSpPr>
          <xdr:cNvPr id="317344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xdr:cNvGrpSpPr>
          <a:grpSpLocks/>
        </xdr:cNvGrpSpPr>
      </xdr:nvGrpSpPr>
      <xdr:grpSpPr bwMode="auto">
        <a:xfrm>
          <a:off x="317500" y="1903413"/>
          <a:ext cx="2162175" cy="2114550"/>
          <a:chOff x="32" y="188"/>
          <a:chExt cx="225" cy="225"/>
        </a:xfrm>
      </xdr:grpSpPr>
      <xdr:sp macro="" textlink="">
        <xdr:nvSpPr>
          <xdr:cNvPr id="3681945"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xdr:cNvGrpSpPr>
          <a:grpSpLocks/>
        </xdr:cNvGrpSpPr>
      </xdr:nvGrpSpPr>
      <xdr:grpSpPr bwMode="auto">
        <a:xfrm>
          <a:off x="5699125" y="3208338"/>
          <a:ext cx="1501775" cy="409575"/>
          <a:chOff x="578" y="328"/>
          <a:chExt cx="158" cy="43"/>
        </a:xfrm>
      </xdr:grpSpPr>
      <xdr:sp macro="" textlink="">
        <xdr:nvSpPr>
          <xdr:cNvPr id="317343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xdr:cNvPr>
        <xdr:cNvGrpSpPr>
          <a:grpSpLocks/>
        </xdr:cNvGrpSpPr>
      </xdr:nvGrpSpPr>
      <xdr:grpSpPr bwMode="auto">
        <a:xfrm>
          <a:off x="603250" y="3475038"/>
          <a:ext cx="1495425" cy="342900"/>
          <a:chOff x="56" y="259"/>
          <a:chExt cx="158" cy="40"/>
        </a:xfrm>
      </xdr:grpSpPr>
      <xdr:sp macro="" textlink="">
        <xdr:nvSpPr>
          <xdr:cNvPr id="317343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xdr:cNvPr>
        <xdr:cNvGrpSpPr>
          <a:grpSpLocks/>
        </xdr:cNvGrpSpPr>
      </xdr:nvGrpSpPr>
      <xdr:grpSpPr bwMode="auto">
        <a:xfrm>
          <a:off x="603250" y="2417763"/>
          <a:ext cx="1495425" cy="361950"/>
          <a:chOff x="1343025" y="2428876"/>
          <a:chExt cx="3240982" cy="617274"/>
        </a:xfrm>
      </xdr:grpSpPr>
      <xdr:sp macro="" textlink="">
        <xdr:nvSpPr>
          <xdr:cNvPr id="317342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xdr:cNvPr>
        <xdr:cNvGrpSpPr>
          <a:grpSpLocks/>
        </xdr:cNvGrpSpPr>
      </xdr:nvGrpSpPr>
      <xdr:grpSpPr bwMode="auto">
        <a:xfrm>
          <a:off x="603250" y="2951163"/>
          <a:ext cx="1495425" cy="381000"/>
          <a:chOff x="1343025" y="2428876"/>
          <a:chExt cx="3240982" cy="617274"/>
        </a:xfrm>
      </xdr:grpSpPr>
      <xdr:sp macro="" textlink="">
        <xdr:nvSpPr>
          <xdr:cNvPr id="317342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7059" name="AutoShape 100"/>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1066800</xdr:colOff>
      <xdr:row>46</xdr:row>
      <xdr:rowOff>104775</xdr:rowOff>
    </xdr:to>
    <xdr:cxnSp macro="">
      <xdr:nvCxnSpPr>
        <xdr:cNvPr id="7060" name="AutoShape 101"/>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xdr:cNvGrpSpPr>
          <a:grpSpLocks/>
        </xdr:cNvGrpSpPr>
      </xdr:nvGrpSpPr>
      <xdr:grpSpPr bwMode="auto">
        <a:xfrm>
          <a:off x="3911600" y="2193925"/>
          <a:ext cx="3486150" cy="2228850"/>
          <a:chOff x="410" y="229"/>
          <a:chExt cx="366" cy="234"/>
        </a:xfrm>
      </xdr:grpSpPr>
      <xdr:graphicFrame macro="">
        <xdr:nvGraphicFramePr>
          <xdr:cNvPr id="2841225"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xdr:cNvGrpSpPr>
          <a:grpSpLocks/>
        </xdr:cNvGrpSpPr>
      </xdr:nvGrpSpPr>
      <xdr:grpSpPr bwMode="auto">
        <a:xfrm>
          <a:off x="0" y="4826000"/>
          <a:ext cx="3873500" cy="2355850"/>
          <a:chOff x="0" y="505"/>
          <a:chExt cx="407" cy="245"/>
        </a:xfrm>
      </xdr:grpSpPr>
      <xdr:graphicFrame macro="">
        <xdr:nvGraphicFramePr>
          <xdr:cNvPr id="2841223"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xdr:cNvGrpSpPr>
          <a:grpSpLocks/>
        </xdr:cNvGrpSpPr>
      </xdr:nvGrpSpPr>
      <xdr:grpSpPr bwMode="auto">
        <a:xfrm>
          <a:off x="5545667" y="5154083"/>
          <a:ext cx="85725" cy="0"/>
          <a:chOff x="595" y="540"/>
          <a:chExt cx="9" cy="9"/>
        </a:xfrm>
      </xdr:grpSpPr>
      <xdr:sp macro="" textlink="">
        <xdr:nvSpPr>
          <xdr:cNvPr id="3432890"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xdr:cNvGrpSpPr>
          <a:grpSpLocks/>
        </xdr:cNvGrpSpPr>
      </xdr:nvGrpSpPr>
      <xdr:grpSpPr bwMode="auto">
        <a:xfrm>
          <a:off x="6526742" y="5154083"/>
          <a:ext cx="86783" cy="0"/>
          <a:chOff x="698" y="540"/>
          <a:chExt cx="9" cy="9"/>
        </a:xfrm>
      </xdr:grpSpPr>
      <xdr:sp macro="" textlink="">
        <xdr:nvSpPr>
          <xdr:cNvPr id="3432888"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xdr:cNvGrpSpPr>
          <a:grpSpLocks/>
        </xdr:cNvGrpSpPr>
      </xdr:nvGrpSpPr>
      <xdr:grpSpPr bwMode="auto">
        <a:xfrm>
          <a:off x="5173133" y="5154083"/>
          <a:ext cx="86784" cy="0"/>
          <a:chOff x="698" y="540"/>
          <a:chExt cx="9" cy="9"/>
        </a:xfrm>
      </xdr:grpSpPr>
      <xdr:sp macro="" textlink="">
        <xdr:nvSpPr>
          <xdr:cNvPr id="3432886"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xdr:cNvGrpSpPr>
          <a:grpSpLocks/>
        </xdr:cNvGrpSpPr>
      </xdr:nvGrpSpPr>
      <xdr:grpSpPr bwMode="auto">
        <a:xfrm>
          <a:off x="1439333" y="5154083"/>
          <a:ext cx="85725" cy="0"/>
          <a:chOff x="595" y="540"/>
          <a:chExt cx="9" cy="9"/>
        </a:xfrm>
      </xdr:grpSpPr>
      <xdr:sp macro="" textlink="">
        <xdr:nvSpPr>
          <xdr:cNvPr id="3432884"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vmlDrawing" Target="../drawings/vmlDrawing1.vml"/><Relationship Id="rId1" Type="http://schemas.openxmlformats.org/officeDocument/2006/relationships/drawing" Target="../drawings/drawing3.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490" t="str">
        <f>+'Grant Detail'!B3:J3</f>
        <v>Dashboard:  Georgia - TB</v>
      </c>
      <c r="C2" s="490"/>
      <c r="D2" s="490"/>
      <c r="E2" s="490"/>
      <c r="F2" s="490"/>
      <c r="G2" s="490"/>
      <c r="H2" s="490"/>
      <c r="I2" s="490"/>
      <c r="J2" s="490"/>
      <c r="K2" s="490"/>
      <c r="L2" s="490"/>
      <c r="M2" s="1"/>
      <c r="N2" s="1"/>
      <c r="O2" s="1"/>
    </row>
    <row r="4" spans="2:15" ht="21">
      <c r="B4" s="491" t="str">
        <f>+IF('Data Entry'!G6="Please Select", "",'Data Entry'!G6) &amp;"  "&amp;+IF('Data Entry'!G8="Please Select", "", 'Data Entry'!G8&amp;",  ")&amp;+IF('Data Entry'!I8="Please Select","",'Data Entry'!I8)</f>
        <v>TB  Round 10,  Phase 2</v>
      </c>
      <c r="C4" s="491"/>
      <c r="D4" s="491"/>
      <c r="E4" s="492"/>
      <c r="F4" s="233"/>
      <c r="G4" s="233"/>
      <c r="H4" s="358" t="str">
        <f>+'Data Entry'!B6&amp;" "&amp;+'Data Entry'!C6</f>
        <v>Grant No.: GEO-T-NCDC</v>
      </c>
      <c r="I4" s="358"/>
      <c r="J4" s="232"/>
      <c r="K4" s="233"/>
      <c r="L4" s="233"/>
    </row>
    <row r="22" spans="2:12" ht="26.25">
      <c r="B22" s="493" t="s">
        <v>408</v>
      </c>
      <c r="C22" s="494"/>
      <c r="D22" s="494"/>
      <c r="E22" s="494"/>
      <c r="F22" s="494"/>
      <c r="G22" s="494"/>
      <c r="H22" s="494"/>
      <c r="I22" s="494"/>
      <c r="J22" s="494"/>
      <c r="K22" s="494"/>
      <c r="L22" s="494"/>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892" t="str">
        <f>'Grant Detail'!B3:J3</f>
        <v>Dashboard:  Georgia - TB</v>
      </c>
      <c r="C3" s="892"/>
      <c r="D3" s="892"/>
      <c r="E3" s="892"/>
      <c r="F3" s="892"/>
      <c r="G3" s="892"/>
      <c r="H3" s="892"/>
      <c r="I3" s="1"/>
    </row>
    <row r="6" spans="2:15" ht="18.75">
      <c r="B6" s="844" t="s">
        <v>320</v>
      </c>
      <c r="C6" s="844"/>
      <c r="D6" s="844"/>
      <c r="E6" s="844"/>
      <c r="F6" s="844"/>
      <c r="G6" s="844"/>
      <c r="H6" s="844"/>
    </row>
    <row r="8" spans="2:15" ht="18.7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26" t="s">
        <v>374</v>
      </c>
      <c r="J9" s="86" t="s">
        <v>374</v>
      </c>
      <c r="M9" s="19"/>
      <c r="N9" s="19"/>
      <c r="O9" s="19"/>
    </row>
    <row r="10" spans="2:15">
      <c r="B10" s="57" t="s">
        <v>28</v>
      </c>
      <c r="C10" s="57" t="s">
        <v>19</v>
      </c>
      <c r="D10" s="57" t="s">
        <v>17</v>
      </c>
      <c r="E10" s="57" t="s">
        <v>18</v>
      </c>
      <c r="F10" s="57" t="s">
        <v>106</v>
      </c>
      <c r="G10" s="435" t="s">
        <v>44</v>
      </c>
      <c r="H10" s="60" t="s">
        <v>49</v>
      </c>
      <c r="I10" s="27" t="s">
        <v>300</v>
      </c>
      <c r="J10" s="86" t="s">
        <v>131</v>
      </c>
      <c r="M10" s="19"/>
      <c r="N10" s="19"/>
      <c r="O10" s="19"/>
    </row>
    <row r="11" spans="2:15">
      <c r="B11" s="57" t="s">
        <v>34</v>
      </c>
      <c r="C11" s="57" t="s">
        <v>14</v>
      </c>
      <c r="D11" s="57" t="s">
        <v>20</v>
      </c>
      <c r="E11" s="57" t="s">
        <v>16</v>
      </c>
      <c r="F11" s="57" t="s">
        <v>107</v>
      </c>
      <c r="G11" s="435" t="s">
        <v>45</v>
      </c>
      <c r="H11" s="60" t="s">
        <v>50</v>
      </c>
      <c r="I11" s="27" t="s">
        <v>301</v>
      </c>
      <c r="J11" s="86" t="s">
        <v>132</v>
      </c>
      <c r="M11" s="19"/>
      <c r="N11" s="19"/>
      <c r="O11" s="19"/>
    </row>
    <row r="12" spans="2:15">
      <c r="B12" s="57" t="s">
        <v>35</v>
      </c>
      <c r="D12" s="57" t="s">
        <v>23</v>
      </c>
      <c r="E12" s="57" t="s">
        <v>24</v>
      </c>
      <c r="F12" s="57" t="s">
        <v>108</v>
      </c>
      <c r="G12" s="435" t="s">
        <v>46</v>
      </c>
      <c r="H12" s="60" t="s">
        <v>51</v>
      </c>
      <c r="I12" s="27" t="s">
        <v>302</v>
      </c>
      <c r="J12" s="86" t="s">
        <v>133</v>
      </c>
      <c r="M12" s="199"/>
      <c r="N12" s="19"/>
      <c r="O12" s="19"/>
    </row>
    <row r="13" spans="2:15">
      <c r="B13" s="57" t="s">
        <v>84</v>
      </c>
      <c r="D13" s="57" t="s">
        <v>25</v>
      </c>
      <c r="E13" s="58"/>
      <c r="F13" s="57" t="s">
        <v>109</v>
      </c>
      <c r="G13" s="435" t="s">
        <v>47</v>
      </c>
      <c r="H13" s="60" t="s">
        <v>52</v>
      </c>
      <c r="I13" s="27" t="s">
        <v>303</v>
      </c>
      <c r="J13" s="86" t="s">
        <v>134</v>
      </c>
      <c r="M13" s="199"/>
      <c r="N13" s="19"/>
      <c r="O13" s="19"/>
    </row>
    <row r="14" spans="2:15">
      <c r="B14" s="57" t="s">
        <v>85</v>
      </c>
      <c r="D14" s="57" t="s">
        <v>38</v>
      </c>
      <c r="F14" s="57" t="s">
        <v>121</v>
      </c>
      <c r="G14" s="435"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34"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2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21" activePane="bottomLeft" state="frozen"/>
      <selection activeCell="E22" sqref="E22"/>
      <selection pane="bottomLeft" activeCell="E23" sqref="E23:I23"/>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499" t="str">
        <f>+"Dashboard: "&amp;" "&amp;+IF('Data Entry'!C4="Please Select","",'Data Entry'!C4&amp;" - ")&amp;+IF('Data Entry'!G6="Please Select","",'Data Entry'!G6)</f>
        <v>Dashboard:  Georgia - TB</v>
      </c>
      <c r="C2" s="499"/>
      <c r="D2" s="499"/>
      <c r="E2" s="499"/>
      <c r="F2" s="499"/>
      <c r="G2" s="499"/>
      <c r="H2" s="499"/>
      <c r="I2" s="499"/>
      <c r="J2" s="499"/>
      <c r="K2" s="499"/>
      <c r="L2" s="499"/>
      <c r="M2" s="499"/>
    </row>
    <row r="3" spans="1:15" ht="15.75" customHeight="1">
      <c r="A3" s="3"/>
      <c r="B3" s="224"/>
      <c r="C3" s="224"/>
      <c r="D3" s="224"/>
      <c r="E3" s="224"/>
      <c r="F3" s="224"/>
      <c r="G3" s="224"/>
      <c r="H3" s="224"/>
      <c r="I3" s="224"/>
      <c r="J3" s="224"/>
      <c r="K3" s="225"/>
      <c r="L3" s="225"/>
      <c r="M3" s="3"/>
    </row>
    <row r="5" spans="1:15" ht="23.25">
      <c r="B5" s="500" t="s">
        <v>284</v>
      </c>
      <c r="C5" s="500"/>
      <c r="D5" s="500"/>
      <c r="E5" s="500"/>
      <c r="F5" s="500"/>
      <c r="G5" s="500"/>
      <c r="H5" s="500"/>
      <c r="I5" s="500"/>
      <c r="J5" s="500"/>
      <c r="K5" s="500"/>
      <c r="L5" s="500"/>
      <c r="M5" s="500"/>
      <c r="N5" s="500"/>
      <c r="O5" s="500"/>
    </row>
    <row r="7" spans="1:15" ht="21">
      <c r="B7" s="501" t="s">
        <v>273</v>
      </c>
      <c r="C7" s="502"/>
      <c r="D7" s="503"/>
      <c r="E7" s="501" t="s">
        <v>274</v>
      </c>
      <c r="F7" s="502"/>
      <c r="G7" s="502"/>
      <c r="H7" s="502"/>
      <c r="I7" s="503"/>
      <c r="J7" s="501" t="s">
        <v>275</v>
      </c>
      <c r="K7" s="502"/>
      <c r="L7" s="503"/>
      <c r="M7" s="501" t="s">
        <v>348</v>
      </c>
      <c r="N7" s="502"/>
      <c r="O7" s="503"/>
    </row>
    <row r="8" spans="1:15" ht="92.25" customHeight="1">
      <c r="B8" s="515" t="str">
        <f>+'Data Entry'!B27</f>
        <v>F1: Budget and disbursements by Global Fund</v>
      </c>
      <c r="C8" s="516"/>
      <c r="D8" s="517"/>
      <c r="E8" s="504" t="s">
        <v>395</v>
      </c>
      <c r="F8" s="505"/>
      <c r="G8" s="505"/>
      <c r="H8" s="505"/>
      <c r="I8" s="506"/>
      <c r="J8" s="495" t="s">
        <v>349</v>
      </c>
      <c r="K8" s="496"/>
      <c r="L8" s="497"/>
      <c r="M8" s="495" t="s">
        <v>396</v>
      </c>
      <c r="N8" s="496"/>
      <c r="O8" s="497"/>
    </row>
    <row r="9" spans="1:15" ht="117.75" customHeight="1">
      <c r="B9" s="515" t="str">
        <f>+'Data Entry'!B36</f>
        <v>F2: Budget and actual expenditures by Grant Objective</v>
      </c>
      <c r="C9" s="516"/>
      <c r="D9" s="517"/>
      <c r="E9" s="512" t="s">
        <v>357</v>
      </c>
      <c r="F9" s="513"/>
      <c r="G9" s="513"/>
      <c r="H9" s="513"/>
      <c r="I9" s="514"/>
      <c r="J9" s="495" t="s">
        <v>351</v>
      </c>
      <c r="K9" s="496"/>
      <c r="L9" s="497"/>
      <c r="M9" s="495" t="s">
        <v>396</v>
      </c>
      <c r="N9" s="496"/>
      <c r="O9" s="497"/>
    </row>
    <row r="10" spans="1:15" ht="152.25" customHeight="1">
      <c r="B10" s="507" t="str">
        <f>+'Data Entry'!B49</f>
        <v>F3: Disbursements and expenditures</v>
      </c>
      <c r="C10" s="510"/>
      <c r="D10" s="511"/>
      <c r="E10" s="512" t="s">
        <v>397</v>
      </c>
      <c r="F10" s="513"/>
      <c r="G10" s="513"/>
      <c r="H10" s="513"/>
      <c r="I10" s="514"/>
      <c r="J10" s="495" t="s">
        <v>358</v>
      </c>
      <c r="K10" s="496"/>
      <c r="L10" s="497"/>
      <c r="M10" s="495" t="s">
        <v>350</v>
      </c>
      <c r="N10" s="496"/>
      <c r="O10" s="497"/>
    </row>
    <row r="11" spans="1:15" ht="279.75" customHeight="1">
      <c r="B11" s="507" t="str">
        <f>+'Data Entry'!B58</f>
        <v>F4: Latest PR reporting and disbursement cycle</v>
      </c>
      <c r="C11" s="508"/>
      <c r="D11" s="509"/>
      <c r="E11" s="512" t="s">
        <v>409</v>
      </c>
      <c r="F11" s="513"/>
      <c r="G11" s="513"/>
      <c r="H11" s="513"/>
      <c r="I11" s="514"/>
      <c r="J11" s="495" t="s">
        <v>359</v>
      </c>
      <c r="K11" s="496"/>
      <c r="L11" s="497"/>
      <c r="M11" s="495" t="s">
        <v>278</v>
      </c>
      <c r="N11" s="496"/>
      <c r="O11" s="497"/>
    </row>
    <row r="12" spans="1:15" s="19" customFormat="1">
      <c r="B12" s="534"/>
      <c r="C12" s="534"/>
      <c r="D12" s="534"/>
      <c r="E12" s="498"/>
      <c r="F12" s="498"/>
      <c r="G12" s="498"/>
      <c r="H12" s="498"/>
      <c r="I12" s="498"/>
      <c r="J12" s="498"/>
      <c r="K12" s="498"/>
      <c r="L12" s="498"/>
      <c r="M12" s="498"/>
      <c r="N12" s="498"/>
      <c r="O12" s="498"/>
    </row>
    <row r="13" spans="1:15" s="19" customFormat="1">
      <c r="B13" s="530"/>
      <c r="C13" s="530"/>
      <c r="D13" s="530"/>
      <c r="E13" s="531"/>
      <c r="F13" s="531"/>
      <c r="G13" s="531"/>
      <c r="H13" s="531"/>
      <c r="I13" s="531"/>
      <c r="J13" s="531"/>
      <c r="K13" s="531"/>
      <c r="L13" s="531"/>
      <c r="M13" s="531"/>
      <c r="N13" s="531"/>
      <c r="O13" s="531"/>
    </row>
    <row r="14" spans="1:15" s="19" customFormat="1">
      <c r="B14" s="530"/>
      <c r="C14" s="530"/>
      <c r="D14" s="530"/>
      <c r="E14" s="531"/>
      <c r="F14" s="531"/>
      <c r="G14" s="531"/>
      <c r="H14" s="531"/>
      <c r="I14" s="531"/>
      <c r="J14" s="531"/>
      <c r="K14" s="531"/>
      <c r="L14" s="531"/>
      <c r="M14" s="531"/>
      <c r="N14" s="531"/>
      <c r="O14" s="531"/>
    </row>
    <row r="15" spans="1:15" s="19" customFormat="1">
      <c r="B15" s="530"/>
      <c r="C15" s="530"/>
      <c r="D15" s="530"/>
      <c r="E15" s="531"/>
      <c r="F15" s="531"/>
      <c r="G15" s="531"/>
      <c r="H15" s="531"/>
      <c r="I15" s="531"/>
      <c r="J15" s="531"/>
      <c r="K15" s="531"/>
      <c r="L15" s="531"/>
      <c r="M15" s="531"/>
      <c r="N15" s="531"/>
      <c r="O15" s="531"/>
    </row>
    <row r="16" spans="1:15" ht="23.25">
      <c r="B16" s="500" t="s">
        <v>285</v>
      </c>
      <c r="C16" s="500"/>
      <c r="D16" s="500"/>
      <c r="E16" s="500"/>
      <c r="F16" s="500"/>
      <c r="G16" s="500"/>
      <c r="H16" s="500"/>
      <c r="I16" s="500"/>
      <c r="J16" s="500"/>
      <c r="K16" s="500"/>
      <c r="L16" s="500"/>
      <c r="M16" s="500"/>
      <c r="N16" s="500"/>
      <c r="O16" s="500"/>
    </row>
    <row r="18" spans="1:15" ht="21">
      <c r="B18" s="527" t="s">
        <v>273</v>
      </c>
      <c r="C18" s="528"/>
      <c r="D18" s="529"/>
      <c r="E18" s="527" t="s">
        <v>274</v>
      </c>
      <c r="F18" s="528"/>
      <c r="G18" s="528"/>
      <c r="H18" s="528"/>
      <c r="I18" s="529"/>
      <c r="J18" s="527" t="s">
        <v>275</v>
      </c>
      <c r="K18" s="528"/>
      <c r="L18" s="529"/>
      <c r="M18" s="527" t="s">
        <v>276</v>
      </c>
      <c r="N18" s="528"/>
      <c r="O18" s="529"/>
    </row>
    <row r="19" spans="1:15" ht="114" customHeight="1">
      <c r="B19" s="515" t="str">
        <f>+'Data Entry'!B69</f>
        <v>M1: Status of Conditions Precedent (CPs) and Time Bound Actions (TBAs)</v>
      </c>
      <c r="C19" s="532"/>
      <c r="D19" s="533"/>
      <c r="E19" s="512" t="s">
        <v>283</v>
      </c>
      <c r="F19" s="513"/>
      <c r="G19" s="513"/>
      <c r="H19" s="513"/>
      <c r="I19" s="514"/>
      <c r="J19" s="495" t="s">
        <v>352</v>
      </c>
      <c r="K19" s="496"/>
      <c r="L19" s="497"/>
      <c r="M19" s="495" t="s">
        <v>353</v>
      </c>
      <c r="N19" s="496"/>
      <c r="O19" s="497"/>
    </row>
    <row r="20" spans="1:15" ht="102.75" customHeight="1">
      <c r="B20" s="515" t="str">
        <f>+'Data Entry'!B76</f>
        <v>M2: Status of key PR management positions</v>
      </c>
      <c r="C20" s="532"/>
      <c r="D20" s="533"/>
      <c r="E20" s="512" t="s">
        <v>398</v>
      </c>
      <c r="F20" s="513"/>
      <c r="G20" s="513"/>
      <c r="H20" s="513"/>
      <c r="I20" s="514"/>
      <c r="J20" s="495" t="s">
        <v>280</v>
      </c>
      <c r="K20" s="496"/>
      <c r="L20" s="497"/>
      <c r="M20" s="495" t="s">
        <v>279</v>
      </c>
      <c r="N20" s="496"/>
      <c r="O20" s="497"/>
    </row>
    <row r="21" spans="1:15" ht="111.75" customHeight="1">
      <c r="B21" s="515" t="str">
        <f>+'Data Entry'!B81</f>
        <v xml:space="preserve">M3: Contractual arrangements (SRs) </v>
      </c>
      <c r="C21" s="532"/>
      <c r="D21" s="533"/>
      <c r="E21" s="559" t="s">
        <v>0</v>
      </c>
      <c r="F21" s="513"/>
      <c r="G21" s="513"/>
      <c r="H21" s="513"/>
      <c r="I21" s="514"/>
      <c r="J21" s="495" t="s">
        <v>354</v>
      </c>
      <c r="K21" s="496"/>
      <c r="L21" s="497"/>
      <c r="M21" s="495" t="s">
        <v>355</v>
      </c>
      <c r="N21" s="496"/>
      <c r="O21" s="497"/>
    </row>
    <row r="22" spans="1:15" ht="74.25" customHeight="1">
      <c r="B22" s="515" t="str">
        <f>+'Data Entry'!B86</f>
        <v>M4: Number of complete reports received on time</v>
      </c>
      <c r="C22" s="532"/>
      <c r="D22" s="533"/>
      <c r="E22" s="559" t="s">
        <v>410</v>
      </c>
      <c r="F22" s="560"/>
      <c r="G22" s="560"/>
      <c r="H22" s="560"/>
      <c r="I22" s="561"/>
      <c r="J22" s="495" t="s">
        <v>360</v>
      </c>
      <c r="K22" s="496"/>
      <c r="L22" s="497"/>
      <c r="M22" s="495" t="s">
        <v>281</v>
      </c>
      <c r="N22" s="496"/>
      <c r="O22" s="497"/>
    </row>
    <row r="23" spans="1:15" ht="207.75" customHeight="1">
      <c r="B23" s="594" t="str">
        <f>+'Data Entry'!B92</f>
        <v>M5: Budget and Procurement of health products, health equipment, medicines and pharmaceuticals</v>
      </c>
      <c r="C23" s="595"/>
      <c r="D23" s="596"/>
      <c r="E23" s="571" t="s">
        <v>361</v>
      </c>
      <c r="F23" s="572"/>
      <c r="G23" s="572"/>
      <c r="H23" s="572"/>
      <c r="I23" s="573"/>
      <c r="J23" s="565" t="s">
        <v>277</v>
      </c>
      <c r="K23" s="566"/>
      <c r="L23" s="567"/>
      <c r="M23" s="565" t="s">
        <v>282</v>
      </c>
      <c r="N23" s="566"/>
      <c r="O23" s="567"/>
    </row>
    <row r="24" spans="1:15" ht="114.75" customHeight="1">
      <c r="B24" s="597"/>
      <c r="C24" s="598"/>
      <c r="D24" s="599"/>
      <c r="E24" s="574" t="s">
        <v>356</v>
      </c>
      <c r="F24" s="575"/>
      <c r="G24" s="575"/>
      <c r="H24" s="575"/>
      <c r="I24" s="576"/>
      <c r="J24" s="568"/>
      <c r="K24" s="569"/>
      <c r="L24" s="570"/>
      <c r="M24" s="568"/>
      <c r="N24" s="569"/>
      <c r="O24" s="570"/>
    </row>
    <row r="25" spans="1:15" ht="409.5" customHeight="1">
      <c r="B25" s="515" t="str">
        <f>+'Data Entry'!B105</f>
        <v>M6: Difference between current and safety stock</v>
      </c>
      <c r="C25" s="532"/>
      <c r="D25" s="533"/>
      <c r="E25" s="577" t="s">
        <v>411</v>
      </c>
      <c r="F25" s="578"/>
      <c r="G25" s="578"/>
      <c r="H25" s="578"/>
      <c r="I25" s="579"/>
      <c r="J25" s="583" t="s">
        <v>362</v>
      </c>
      <c r="K25" s="584"/>
      <c r="L25" s="585"/>
      <c r="M25" s="580" t="s">
        <v>367</v>
      </c>
      <c r="N25" s="581"/>
      <c r="O25" s="582"/>
    </row>
    <row r="29" spans="1:15" ht="18.75">
      <c r="B29" s="259"/>
    </row>
    <row r="30" spans="1:15" ht="23.25">
      <c r="B30" s="500" t="s">
        <v>298</v>
      </c>
      <c r="C30" s="500"/>
      <c r="D30" s="500"/>
      <c r="E30" s="500"/>
      <c r="F30" s="500"/>
      <c r="G30" s="500"/>
      <c r="H30" s="500"/>
      <c r="I30" s="500"/>
      <c r="J30" s="500"/>
      <c r="K30" s="500"/>
      <c r="L30" s="500"/>
      <c r="M30" s="500"/>
      <c r="N30" s="500"/>
      <c r="O30" s="500"/>
    </row>
    <row r="32" spans="1:15" ht="28.5" customHeight="1">
      <c r="A32" s="250"/>
      <c r="B32" s="538" t="s">
        <v>346</v>
      </c>
      <c r="C32" s="539"/>
      <c r="D32" s="540"/>
      <c r="E32" s="541" t="s">
        <v>304</v>
      </c>
      <c r="F32" s="542"/>
      <c r="G32" s="542"/>
      <c r="H32" s="542"/>
      <c r="I32" s="543"/>
      <c r="J32" s="541" t="s">
        <v>275</v>
      </c>
      <c r="K32" s="542"/>
      <c r="L32" s="543"/>
      <c r="M32" s="541" t="s">
        <v>276</v>
      </c>
      <c r="N32" s="542"/>
      <c r="O32" s="543"/>
    </row>
    <row r="33" spans="1:15" ht="47.25" customHeight="1">
      <c r="A33" s="251"/>
      <c r="B33" s="586"/>
      <c r="C33" s="587"/>
      <c r="D33" s="588"/>
      <c r="E33" s="521"/>
      <c r="F33" s="522"/>
      <c r="G33" s="522"/>
      <c r="H33" s="522"/>
      <c r="I33" s="523"/>
      <c r="J33" s="524"/>
      <c r="K33" s="525"/>
      <c r="L33" s="526"/>
      <c r="M33" s="524"/>
      <c r="N33" s="525"/>
      <c r="O33" s="526"/>
    </row>
    <row r="34" spans="1:15" ht="59.25" customHeight="1">
      <c r="A34" s="251"/>
      <c r="B34" s="586"/>
      <c r="C34" s="587"/>
      <c r="D34" s="588"/>
      <c r="E34" s="521"/>
      <c r="F34" s="522"/>
      <c r="G34" s="522"/>
      <c r="H34" s="522"/>
      <c r="I34" s="523"/>
      <c r="J34" s="524"/>
      <c r="K34" s="525"/>
      <c r="L34" s="526"/>
      <c r="M34" s="524"/>
      <c r="N34" s="525"/>
      <c r="O34" s="526"/>
    </row>
    <row r="35" spans="1:15" ht="57.75" customHeight="1">
      <c r="A35" s="251"/>
      <c r="B35" s="586"/>
      <c r="C35" s="587"/>
      <c r="D35" s="588"/>
      <c r="E35" s="524"/>
      <c r="F35" s="525"/>
      <c r="G35" s="525"/>
      <c r="H35" s="525"/>
      <c r="I35" s="526"/>
      <c r="J35" s="524"/>
      <c r="K35" s="525"/>
      <c r="L35" s="526"/>
      <c r="M35" s="524"/>
      <c r="N35" s="525"/>
      <c r="O35" s="526"/>
    </row>
    <row r="36" spans="1:15" ht="9.75" customHeight="1">
      <c r="A36" s="251"/>
      <c r="B36" s="589"/>
      <c r="C36" s="590"/>
      <c r="D36" s="591"/>
      <c r="E36" s="252"/>
      <c r="F36" s="253"/>
      <c r="G36" s="253"/>
      <c r="H36" s="253"/>
      <c r="I36" s="254"/>
      <c r="J36" s="272"/>
      <c r="K36" s="273"/>
      <c r="L36" s="274"/>
      <c r="M36" s="272"/>
      <c r="N36" s="273"/>
      <c r="O36" s="274"/>
    </row>
    <row r="37" spans="1:15" ht="46.5" customHeight="1">
      <c r="A37" s="251"/>
      <c r="B37" s="586"/>
      <c r="C37" s="587"/>
      <c r="D37" s="588"/>
      <c r="E37" s="524"/>
      <c r="F37" s="592"/>
      <c r="G37" s="592"/>
      <c r="H37" s="592"/>
      <c r="I37" s="593"/>
      <c r="J37" s="267"/>
      <c r="K37" s="268"/>
      <c r="L37" s="269"/>
      <c r="M37" s="267"/>
      <c r="N37" s="268"/>
      <c r="O37" s="269"/>
    </row>
    <row r="38" spans="1:15" ht="69" customHeight="1">
      <c r="A38" s="251"/>
      <c r="B38" s="586"/>
      <c r="C38" s="587"/>
      <c r="D38" s="588"/>
      <c r="E38" s="521"/>
      <c r="F38" s="522"/>
      <c r="G38" s="522"/>
      <c r="H38" s="522"/>
      <c r="I38" s="523"/>
      <c r="J38" s="524"/>
      <c r="K38" s="525"/>
      <c r="L38" s="526"/>
      <c r="M38" s="524"/>
      <c r="N38" s="525"/>
      <c r="O38" s="526"/>
    </row>
    <row r="39" spans="1:15" ht="64.5" customHeight="1">
      <c r="A39" s="251"/>
      <c r="B39" s="586"/>
      <c r="C39" s="587"/>
      <c r="D39" s="588"/>
      <c r="E39" s="524"/>
      <c r="F39" s="525"/>
      <c r="G39" s="525"/>
      <c r="H39" s="525"/>
      <c r="I39" s="526"/>
      <c r="J39" s="267"/>
      <c r="K39" s="268"/>
      <c r="L39" s="269"/>
      <c r="M39" s="267"/>
      <c r="N39" s="268"/>
      <c r="O39" s="269"/>
    </row>
    <row r="40" spans="1:15" ht="45" customHeight="1">
      <c r="A40" s="251"/>
      <c r="B40" s="518"/>
      <c r="C40" s="519"/>
      <c r="D40" s="520"/>
      <c r="E40" s="556"/>
      <c r="F40" s="557"/>
      <c r="G40" s="557"/>
      <c r="H40" s="557"/>
      <c r="I40" s="558"/>
      <c r="J40" s="524"/>
      <c r="K40" s="525"/>
      <c r="L40" s="526"/>
      <c r="M40" s="524"/>
      <c r="N40" s="525"/>
      <c r="O40" s="526"/>
    </row>
    <row r="41" spans="1:15" ht="62.25" customHeight="1">
      <c r="A41" s="251"/>
      <c r="B41" s="553"/>
      <c r="C41" s="554"/>
      <c r="D41" s="555"/>
      <c r="E41" s="521"/>
      <c r="F41" s="522"/>
      <c r="G41" s="522"/>
      <c r="H41" s="522"/>
      <c r="I41" s="523"/>
      <c r="J41" s="524"/>
      <c r="K41" s="525"/>
      <c r="L41" s="526"/>
      <c r="M41" s="524"/>
      <c r="N41" s="525"/>
      <c r="O41" s="526"/>
    </row>
    <row r="42" spans="1:15" ht="84" customHeight="1">
      <c r="A42" s="251"/>
      <c r="B42" s="553"/>
      <c r="C42" s="554"/>
      <c r="D42" s="555"/>
      <c r="E42" s="524"/>
      <c r="F42" s="525"/>
      <c r="G42" s="525"/>
      <c r="H42" s="525"/>
      <c r="I42" s="526"/>
      <c r="J42" s="267"/>
      <c r="K42" s="268"/>
      <c r="L42" s="269"/>
      <c r="M42" s="267"/>
      <c r="N42" s="268"/>
      <c r="O42" s="269"/>
    </row>
    <row r="43" spans="1:15" ht="45" customHeight="1">
      <c r="A43" s="251"/>
      <c r="B43" s="553"/>
      <c r="C43" s="554"/>
      <c r="D43" s="555"/>
      <c r="E43" s="521"/>
      <c r="F43" s="522"/>
      <c r="G43" s="522"/>
      <c r="H43" s="522"/>
      <c r="I43" s="523"/>
      <c r="J43" s="524"/>
      <c r="K43" s="525"/>
      <c r="L43" s="526"/>
      <c r="M43" s="267"/>
      <c r="N43" s="268"/>
      <c r="O43" s="269"/>
    </row>
    <row r="44" spans="1:15" ht="64.5" customHeight="1">
      <c r="A44" s="251"/>
      <c r="B44" s="518"/>
      <c r="C44" s="519"/>
      <c r="D44" s="520"/>
      <c r="E44" s="521"/>
      <c r="F44" s="522"/>
      <c r="G44" s="522"/>
      <c r="H44" s="522"/>
      <c r="I44" s="523"/>
      <c r="J44" s="524"/>
      <c r="K44" s="525"/>
      <c r="L44" s="526"/>
      <c r="M44" s="267"/>
      <c r="N44" s="268"/>
      <c r="O44" s="269"/>
    </row>
    <row r="45" spans="1:15" ht="49.5" customHeight="1">
      <c r="B45" s="518"/>
      <c r="C45" s="519"/>
      <c r="D45" s="520"/>
      <c r="E45" s="521"/>
      <c r="F45" s="522"/>
      <c r="G45" s="522"/>
      <c r="H45" s="522"/>
      <c r="I45" s="523"/>
      <c r="J45" s="524"/>
      <c r="K45" s="525"/>
      <c r="L45" s="526"/>
      <c r="M45" s="267"/>
      <c r="N45" s="268"/>
      <c r="O45" s="269"/>
    </row>
    <row r="46" spans="1:15" ht="30" customHeight="1">
      <c r="B46" s="562"/>
      <c r="C46" s="563"/>
      <c r="D46" s="564"/>
      <c r="E46" s="255"/>
      <c r="F46" s="256"/>
      <c r="G46" s="256"/>
      <c r="H46" s="256"/>
      <c r="I46" s="257"/>
      <c r="J46" s="267"/>
      <c r="K46" s="268"/>
      <c r="L46" s="269"/>
      <c r="M46" s="267"/>
      <c r="N46" s="268"/>
      <c r="O46" s="269"/>
    </row>
    <row r="47" spans="1:15" ht="44.25" customHeight="1">
      <c r="B47" s="547" t="s">
        <v>299</v>
      </c>
      <c r="C47" s="548"/>
      <c r="D47" s="549"/>
      <c r="E47" s="550" t="s">
        <v>274</v>
      </c>
      <c r="F47" s="551"/>
      <c r="G47" s="551"/>
      <c r="H47" s="551"/>
      <c r="I47" s="552"/>
      <c r="J47" s="550" t="s">
        <v>275</v>
      </c>
      <c r="K47" s="551"/>
      <c r="L47" s="552"/>
      <c r="M47" s="550" t="s">
        <v>276</v>
      </c>
      <c r="N47" s="551"/>
      <c r="O47" s="552"/>
    </row>
    <row r="48" spans="1:15" ht="33.75" customHeight="1">
      <c r="B48" s="246"/>
      <c r="C48" s="247"/>
      <c r="D48" s="247"/>
      <c r="E48" s="240"/>
      <c r="F48" s="242"/>
      <c r="G48" s="242"/>
      <c r="H48" s="242"/>
      <c r="I48" s="242"/>
      <c r="J48" s="240"/>
      <c r="K48" s="240"/>
      <c r="L48" s="241"/>
      <c r="M48" s="239"/>
      <c r="N48" s="240"/>
      <c r="O48" s="241"/>
    </row>
    <row r="49" spans="2:15" ht="15.75" customHeight="1">
      <c r="B49" s="544" t="s">
        <v>296</v>
      </c>
      <c r="C49" s="545"/>
      <c r="D49" s="545"/>
      <c r="E49" s="545"/>
      <c r="F49" s="545"/>
      <c r="G49" s="545"/>
      <c r="H49" s="545"/>
      <c r="I49" s="545"/>
      <c r="J49" s="545"/>
      <c r="K49" s="545"/>
      <c r="L49" s="546"/>
      <c r="M49" s="535" t="s">
        <v>286</v>
      </c>
      <c r="N49" s="536"/>
      <c r="O49" s="537"/>
    </row>
    <row r="50" spans="2:15">
      <c r="D50" s="226"/>
    </row>
    <row r="52" spans="2:15">
      <c r="D52" s="226"/>
    </row>
    <row r="53" spans="2:15">
      <c r="D53" s="226"/>
    </row>
  </sheetData>
  <mergeCells count="120">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opLeftCell="A46" workbookViewId="0">
      <selection activeCell="E75" sqref="E75"/>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56" t="s">
        <v>375</v>
      </c>
      <c r="C2" s="656"/>
      <c r="D2" s="656"/>
      <c r="E2" s="656"/>
      <c r="F2" s="656"/>
      <c r="G2" s="656"/>
      <c r="H2" s="656"/>
      <c r="I2" s="656"/>
      <c r="J2" s="656"/>
      <c r="K2" s="291"/>
      <c r="L2" s="291"/>
      <c r="M2" s="291"/>
    </row>
    <row r="3" spans="1:13" ht="4.5" customHeight="1">
      <c r="A3" s="3"/>
      <c r="B3" s="3"/>
      <c r="C3" s="3"/>
      <c r="D3" s="3"/>
      <c r="E3" s="3"/>
      <c r="F3" s="3"/>
      <c r="G3" s="3"/>
      <c r="H3" s="3"/>
      <c r="I3" s="3"/>
      <c r="J3" s="3"/>
      <c r="K3" s="3"/>
      <c r="L3" s="3"/>
      <c r="M3" s="3"/>
    </row>
    <row r="4" spans="1:13">
      <c r="A4" s="3"/>
      <c r="B4" s="289" t="s">
        <v>26</v>
      </c>
      <c r="C4" s="665" t="s">
        <v>177</v>
      </c>
      <c r="D4" s="666"/>
      <c r="E4" s="669" t="s">
        <v>12</v>
      </c>
      <c r="F4" s="669"/>
      <c r="G4" s="665"/>
      <c r="H4" s="670"/>
      <c r="I4" s="670"/>
      <c r="J4" s="666"/>
      <c r="K4" s="3"/>
      <c r="L4" s="3"/>
      <c r="M4" s="3"/>
    </row>
    <row r="5" spans="1:13" ht="3" customHeight="1">
      <c r="A5" s="3"/>
      <c r="B5" s="289"/>
      <c r="C5" s="3"/>
      <c r="D5" s="3"/>
      <c r="E5" s="292"/>
      <c r="F5" s="292"/>
      <c r="G5" s="3"/>
      <c r="H5" s="3"/>
      <c r="I5" s="3"/>
      <c r="J5" s="3"/>
      <c r="K5" s="3"/>
      <c r="L5" s="3"/>
      <c r="M5" s="3"/>
    </row>
    <row r="6" spans="1:13">
      <c r="A6" s="3"/>
      <c r="B6" s="289" t="s">
        <v>117</v>
      </c>
      <c r="C6" s="665" t="s">
        <v>440</v>
      </c>
      <c r="D6" s="666"/>
      <c r="E6" s="669" t="s">
        <v>27</v>
      </c>
      <c r="F6" s="669"/>
      <c r="G6" s="322" t="s">
        <v>35</v>
      </c>
      <c r="H6" s="289" t="s">
        <v>322</v>
      </c>
      <c r="I6" s="671">
        <v>11182992</v>
      </c>
      <c r="J6" s="672"/>
      <c r="K6" s="3"/>
      <c r="L6" s="3"/>
      <c r="M6" s="3"/>
    </row>
    <row r="7" spans="1:13" ht="3" customHeight="1">
      <c r="A7" s="3"/>
      <c r="B7" s="289"/>
      <c r="C7" s="3"/>
      <c r="D7" s="3"/>
      <c r="E7" s="292"/>
      <c r="F7" s="292"/>
      <c r="G7" s="3"/>
      <c r="H7" s="289"/>
      <c r="I7" s="3"/>
      <c r="J7" s="3"/>
      <c r="K7" s="3"/>
      <c r="L7" s="3"/>
      <c r="M7" s="3"/>
    </row>
    <row r="8" spans="1:13">
      <c r="A8" s="3"/>
      <c r="B8" s="289" t="s">
        <v>269</v>
      </c>
      <c r="C8" s="665" t="s">
        <v>439</v>
      </c>
      <c r="D8" s="666"/>
      <c r="E8" s="293"/>
      <c r="F8" s="288" t="s">
        <v>324</v>
      </c>
      <c r="G8" s="411" t="s">
        <v>370</v>
      </c>
      <c r="H8" s="288" t="s">
        <v>323</v>
      </c>
      <c r="I8" s="665" t="s">
        <v>16</v>
      </c>
      <c r="J8" s="666"/>
      <c r="K8" s="3"/>
      <c r="L8" s="3"/>
      <c r="M8" s="3"/>
    </row>
    <row r="9" spans="1:13" ht="3" customHeight="1">
      <c r="A9" s="3"/>
      <c r="B9" s="292"/>
      <c r="C9" s="3"/>
      <c r="D9" s="3"/>
      <c r="E9" s="292"/>
      <c r="F9" s="292"/>
      <c r="G9" s="3"/>
      <c r="H9" s="3"/>
      <c r="I9" s="3"/>
      <c r="J9" s="3"/>
      <c r="K9" s="3"/>
      <c r="L9" s="3"/>
      <c r="M9" s="3"/>
    </row>
    <row r="10" spans="1:13">
      <c r="A10" s="3"/>
      <c r="B10" s="289" t="s">
        <v>405</v>
      </c>
      <c r="C10" s="667">
        <v>41730</v>
      </c>
      <c r="D10" s="668"/>
      <c r="E10" s="664" t="s">
        <v>31</v>
      </c>
      <c r="F10" s="663"/>
      <c r="G10" s="665" t="s">
        <v>263</v>
      </c>
      <c r="H10" s="670"/>
      <c r="I10" s="670"/>
      <c r="J10" s="666"/>
      <c r="K10" s="3"/>
      <c r="L10" s="3"/>
      <c r="M10" s="3"/>
    </row>
    <row r="11" spans="1:13" ht="5.25" customHeight="1">
      <c r="A11" s="3"/>
      <c r="B11" s="3"/>
      <c r="C11" s="3"/>
      <c r="D11" s="3"/>
      <c r="E11" s="3"/>
      <c r="F11" s="3"/>
      <c r="G11" s="3"/>
      <c r="H11" s="3"/>
      <c r="I11" s="3"/>
      <c r="J11" s="3"/>
      <c r="K11" s="3"/>
      <c r="L11" s="3"/>
      <c r="M11" s="3"/>
    </row>
    <row r="12" spans="1:13" ht="15" customHeight="1">
      <c r="A12" s="3"/>
      <c r="B12" s="289" t="s">
        <v>29</v>
      </c>
      <c r="C12" s="644" t="s">
        <v>45</v>
      </c>
      <c r="D12" s="644"/>
      <c r="E12" s="664" t="s">
        <v>290</v>
      </c>
      <c r="F12" s="669"/>
      <c r="G12" s="673" t="s">
        <v>438</v>
      </c>
      <c r="H12" s="673"/>
      <c r="I12" s="673"/>
      <c r="J12" s="673"/>
      <c r="K12" s="3"/>
      <c r="L12" s="3"/>
      <c r="M12" s="3"/>
    </row>
    <row r="13" spans="1:13" ht="5.25" customHeight="1">
      <c r="A13" s="3"/>
      <c r="B13" s="3"/>
      <c r="C13" s="3"/>
      <c r="D13" s="3"/>
      <c r="E13" s="3"/>
      <c r="F13" s="3"/>
      <c r="G13" s="3"/>
      <c r="H13" s="3"/>
      <c r="I13" s="3"/>
      <c r="J13" s="3"/>
      <c r="K13" s="3"/>
      <c r="L13" s="3"/>
      <c r="M13" s="3"/>
    </row>
    <row r="14" spans="1:13" ht="15.75" customHeight="1">
      <c r="A14" s="3"/>
      <c r="B14" s="656" t="s">
        <v>2</v>
      </c>
      <c r="C14" s="656"/>
      <c r="D14" s="656"/>
      <c r="E14" s="656"/>
      <c r="F14" s="656"/>
      <c r="G14" s="656"/>
      <c r="H14" s="656"/>
      <c r="I14" s="656"/>
      <c r="J14" s="656"/>
      <c r="K14" s="3"/>
      <c r="L14" s="3"/>
      <c r="M14" s="3"/>
    </row>
    <row r="15" spans="1:13" ht="3" customHeight="1">
      <c r="A15" s="3"/>
      <c r="B15" s="3"/>
      <c r="C15" s="3"/>
      <c r="D15" s="3"/>
      <c r="E15" s="3"/>
      <c r="F15" s="3"/>
      <c r="G15" s="3"/>
      <c r="H15" s="3"/>
      <c r="I15" s="3"/>
      <c r="J15" s="3"/>
      <c r="K15" s="3"/>
      <c r="L15" s="3"/>
      <c r="M15" s="3"/>
    </row>
    <row r="16" spans="1:13">
      <c r="A16" s="3"/>
      <c r="B16" s="289" t="s">
        <v>21</v>
      </c>
      <c r="C16" s="411" t="s">
        <v>122</v>
      </c>
      <c r="D16" s="288" t="s">
        <v>325</v>
      </c>
      <c r="E16" s="294">
        <v>42186</v>
      </c>
      <c r="F16" s="290" t="s">
        <v>8</v>
      </c>
      <c r="G16" s="294">
        <v>42277</v>
      </c>
      <c r="H16" s="664" t="s">
        <v>326</v>
      </c>
      <c r="I16" s="663"/>
      <c r="J16" s="294">
        <v>42291</v>
      </c>
      <c r="K16" s="3"/>
      <c r="L16" s="3"/>
      <c r="M16" s="3"/>
    </row>
    <row r="17" spans="1:35" ht="3" customHeight="1">
      <c r="A17" s="3"/>
      <c r="B17" s="3"/>
      <c r="C17" s="3"/>
      <c r="D17" s="3"/>
      <c r="E17" s="3"/>
      <c r="F17" s="3"/>
      <c r="G17" s="3"/>
      <c r="H17" s="3"/>
      <c r="I17" s="3"/>
      <c r="J17" s="3"/>
      <c r="K17" s="3"/>
      <c r="L17" s="3"/>
      <c r="M17" s="3"/>
    </row>
    <row r="18" spans="1:35">
      <c r="A18" s="3"/>
      <c r="B18" s="662" t="s">
        <v>32</v>
      </c>
      <c r="C18" s="663"/>
      <c r="D18" s="645" t="s">
        <v>441</v>
      </c>
      <c r="E18" s="645"/>
      <c r="F18" s="645"/>
      <c r="G18" s="295"/>
      <c r="H18" s="295"/>
      <c r="I18" s="295"/>
      <c r="J18" s="295"/>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56" t="s">
        <v>363</v>
      </c>
      <c r="C21" s="656"/>
      <c r="D21" s="656"/>
      <c r="E21" s="656"/>
      <c r="F21" s="656"/>
      <c r="G21" s="656"/>
      <c r="H21" s="656"/>
      <c r="I21" s="656"/>
      <c r="J21" s="656"/>
      <c r="K21" s="3"/>
      <c r="L21" s="3"/>
      <c r="M21" s="3"/>
    </row>
    <row r="22" spans="1:35">
      <c r="A22" s="3"/>
      <c r="B22" s="292" t="s">
        <v>3</v>
      </c>
      <c r="C22" s="3"/>
      <c r="D22" s="3"/>
      <c r="E22" s="296"/>
      <c r="F22" s="296"/>
      <c r="G22" s="3"/>
      <c r="H22" s="3"/>
      <c r="I22" s="296"/>
      <c r="J22" s="296"/>
      <c r="K22" s="3"/>
      <c r="L22" s="3"/>
      <c r="M22" s="3"/>
    </row>
    <row r="23" spans="1:35" ht="3" customHeight="1">
      <c r="A23" s="3"/>
      <c r="B23" s="3"/>
      <c r="C23" s="3"/>
      <c r="D23" s="3"/>
      <c r="E23" s="3"/>
      <c r="F23" s="3"/>
      <c r="G23" s="3"/>
      <c r="H23" s="3"/>
      <c r="I23" s="3"/>
      <c r="J23" s="3"/>
      <c r="K23" s="3"/>
      <c r="L23" s="3"/>
      <c r="M23" s="3"/>
    </row>
    <row r="24" spans="1:35" ht="15.75" thickBot="1">
      <c r="A24" s="3"/>
      <c r="B24" s="289" t="s">
        <v>400</v>
      </c>
      <c r="C24" s="397"/>
      <c r="D24" s="669" t="s">
        <v>401</v>
      </c>
      <c r="E24" s="669"/>
      <c r="F24" s="398"/>
      <c r="G24" s="669" t="s">
        <v>402</v>
      </c>
      <c r="H24" s="669"/>
      <c r="I24" s="674"/>
      <c r="J24" s="675"/>
      <c r="K24" s="3"/>
      <c r="L24" s="3"/>
      <c r="M24" s="3"/>
      <c r="N24" s="20"/>
    </row>
    <row r="25" spans="1:35" ht="19.5" thickBot="1">
      <c r="A25" s="3"/>
      <c r="B25" s="87" t="s">
        <v>400</v>
      </c>
      <c r="C25" s="88"/>
      <c r="D25" s="88"/>
      <c r="E25" s="88"/>
      <c r="F25" s="88"/>
      <c r="G25" s="88"/>
      <c r="H25" s="275"/>
      <c r="I25" s="89"/>
      <c r="J25" s="89"/>
      <c r="K25" s="275" t="s">
        <v>327</v>
      </c>
      <c r="L25" s="88"/>
      <c r="M25" s="88"/>
      <c r="N25" s="419"/>
      <c r="O25" s="40"/>
      <c r="AI25" s="44"/>
    </row>
    <row r="26" spans="1:35">
      <c r="A26" s="3"/>
      <c r="B26" s="650" t="s">
        <v>371</v>
      </c>
      <c r="C26" s="651"/>
      <c r="D26" s="433" t="s">
        <v>14</v>
      </c>
      <c r="E26" s="91"/>
      <c r="F26" s="91"/>
      <c r="G26" s="91"/>
      <c r="H26" s="91"/>
      <c r="I26" s="91"/>
      <c r="J26" s="92"/>
      <c r="K26" s="91"/>
      <c r="L26" s="91"/>
      <c r="M26" s="91"/>
      <c r="N26" s="40"/>
      <c r="O26" s="40"/>
      <c r="AI26" s="44"/>
    </row>
    <row r="27" spans="1:35" ht="18.75">
      <c r="A27" s="3"/>
      <c r="B27" s="90" t="s">
        <v>381</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77" t="s">
        <v>60</v>
      </c>
      <c r="C29" s="678"/>
      <c r="D29" s="678"/>
      <c r="E29" s="678"/>
      <c r="F29" s="678"/>
      <c r="G29" s="678"/>
      <c r="H29" s="678"/>
      <c r="I29" s="678"/>
      <c r="J29" s="678"/>
      <c r="K29" s="678"/>
      <c r="L29" s="678"/>
      <c r="M29" s="678"/>
      <c r="N29" s="679"/>
      <c r="P29" s="211"/>
      <c r="Q29" s="212"/>
      <c r="R29" s="213">
        <f>+C33</f>
        <v>921623.07000000007</v>
      </c>
      <c r="S29" s="211"/>
    </row>
    <row r="30" spans="1:35">
      <c r="A30" s="3"/>
      <c r="B30" s="93" t="s">
        <v>268</v>
      </c>
      <c r="C30" s="378" t="s">
        <v>106</v>
      </c>
      <c r="D30" s="378" t="s">
        <v>107</v>
      </c>
      <c r="E30" s="378" t="s">
        <v>108</v>
      </c>
      <c r="F30" s="378" t="s">
        <v>109</v>
      </c>
      <c r="G30" s="378" t="s">
        <v>121</v>
      </c>
      <c r="H30" s="378" t="s">
        <v>122</v>
      </c>
      <c r="I30" s="378" t="s">
        <v>123</v>
      </c>
      <c r="J30" s="378" t="s">
        <v>124</v>
      </c>
      <c r="K30" s="378" t="s">
        <v>125</v>
      </c>
      <c r="L30" s="378" t="s">
        <v>126</v>
      </c>
      <c r="M30" s="378" t="s">
        <v>127</v>
      </c>
      <c r="N30" s="379" t="s">
        <v>288</v>
      </c>
      <c r="O30" s="380" t="s">
        <v>4</v>
      </c>
      <c r="P30" s="211"/>
      <c r="Q30" s="212"/>
      <c r="R30" s="213">
        <f>+D33</f>
        <v>1347642.61</v>
      </c>
      <c r="S30" s="211"/>
    </row>
    <row r="31" spans="1:35">
      <c r="A31" s="3"/>
      <c r="B31" s="285" t="str">
        <f>CONCATENATE("Budget (in ",'Data Entry'!$D$26,")")</f>
        <v>Budget (in €)</v>
      </c>
      <c r="C31" s="390">
        <f>ROUNDUP(921623.064533753,2)</f>
        <v>921623.07000000007</v>
      </c>
      <c r="D31" s="389">
        <f>ROUNDUP(426019.539042753,2)</f>
        <v>426019.54000000004</v>
      </c>
      <c r="E31" s="389">
        <f>ROUNDUP(2922402.58530628,2)</f>
        <v>2922402.59</v>
      </c>
      <c r="F31" s="389">
        <f>ROUNDUP(519656.946297292,2)</f>
        <v>519656.95</v>
      </c>
      <c r="G31" s="389">
        <f>ROUNDUP(3484339.67872618,2)</f>
        <v>3484339.6799999997</v>
      </c>
      <c r="H31" s="389">
        <v>274655</v>
      </c>
      <c r="I31" s="389">
        <v>309910</v>
      </c>
      <c r="J31" s="389">
        <v>431499</v>
      </c>
      <c r="K31" s="389">
        <v>1892886</v>
      </c>
      <c r="L31" s="389"/>
      <c r="M31" s="389"/>
      <c r="N31" s="389"/>
      <c r="O31" s="600">
        <f>+SUM(C35:N35)</f>
        <v>0.44786354881180179</v>
      </c>
      <c r="P31" s="211"/>
      <c r="Q31" s="212"/>
      <c r="R31" s="213">
        <f>+E33</f>
        <v>4270045.2</v>
      </c>
      <c r="S31" s="211"/>
    </row>
    <row r="32" spans="1:35">
      <c r="A32" s="3"/>
      <c r="B32" s="93" t="str">
        <f>CONCATENATE("Disbursements by GF (in ", $D$26,")")</f>
        <v>Disbursements by GF (in €)</v>
      </c>
      <c r="C32" s="390">
        <v>691821</v>
      </c>
      <c r="D32" s="390">
        <f>664842+36529</f>
        <v>701371</v>
      </c>
      <c r="E32" s="390">
        <f>2391463</f>
        <v>2391463</v>
      </c>
      <c r="F32" s="390">
        <v>0</v>
      </c>
      <c r="G32" s="390">
        <v>43994.7</v>
      </c>
      <c r="H32" s="390">
        <v>0</v>
      </c>
      <c r="I32" s="389"/>
      <c r="J32" s="389"/>
      <c r="K32" s="389"/>
      <c r="L32" s="389"/>
      <c r="M32" s="389"/>
      <c r="N32" s="389"/>
      <c r="O32" s="601"/>
      <c r="P32" s="211"/>
      <c r="Q32" s="212"/>
      <c r="R32" s="213">
        <f>+F33</f>
        <v>4789702.1500000004</v>
      </c>
      <c r="S32" s="211"/>
    </row>
    <row r="33" spans="1:35">
      <c r="A33" s="3"/>
      <c r="B33" s="94" t="s">
        <v>387</v>
      </c>
      <c r="C33" s="391">
        <f>+C31</f>
        <v>921623.07000000007</v>
      </c>
      <c r="D33" s="391">
        <f>IF(AND(D31=0,D32=0),0,+C33+D31)</f>
        <v>1347642.61</v>
      </c>
      <c r="E33" s="391">
        <f t="shared" ref="E33:N33" si="0">IF(AND(E31=0,E32=0),0,+D33+E31)</f>
        <v>4270045.2</v>
      </c>
      <c r="F33" s="391">
        <f t="shared" si="0"/>
        <v>4789702.1500000004</v>
      </c>
      <c r="G33" s="391">
        <f>IF(AND(G31=0,G32=0),0,+F33+G31)</f>
        <v>8274041.8300000001</v>
      </c>
      <c r="H33" s="391">
        <f t="shared" si="0"/>
        <v>8548696.8300000001</v>
      </c>
      <c r="I33" s="391">
        <f t="shared" si="0"/>
        <v>8858606.8300000001</v>
      </c>
      <c r="J33" s="391">
        <f t="shared" si="0"/>
        <v>9290105.8300000001</v>
      </c>
      <c r="K33" s="391">
        <f t="shared" si="0"/>
        <v>11182991.83</v>
      </c>
      <c r="L33" s="391">
        <f t="shared" si="0"/>
        <v>0</v>
      </c>
      <c r="M33" s="391">
        <f t="shared" si="0"/>
        <v>0</v>
      </c>
      <c r="N33" s="391">
        <f t="shared" si="0"/>
        <v>0</v>
      </c>
      <c r="O33" s="601"/>
      <c r="P33" s="373"/>
      <c r="Q33" s="212"/>
      <c r="R33" s="213">
        <f>+G33</f>
        <v>8274041.8300000001</v>
      </c>
      <c r="S33" s="211"/>
    </row>
    <row r="34" spans="1:35" ht="15.75" thickBot="1">
      <c r="A34" s="3"/>
      <c r="B34" s="95" t="s">
        <v>388</v>
      </c>
      <c r="C34" s="392">
        <f>+C32</f>
        <v>691821</v>
      </c>
      <c r="D34" s="392">
        <f>IF(AND(D31=0,D32=0),0,+C34+D32)</f>
        <v>1393192</v>
      </c>
      <c r="E34" s="392">
        <f t="shared" ref="E34:N34" si="1">IF(AND(E31=0,E32=0),0,+D34+E32)</f>
        <v>3784655</v>
      </c>
      <c r="F34" s="392">
        <f t="shared" si="1"/>
        <v>3784655</v>
      </c>
      <c r="G34" s="392">
        <f>IF(AND(G31=0,G32=0),0,+F34+G32)</f>
        <v>3828649.7</v>
      </c>
      <c r="H34" s="392">
        <f t="shared" si="1"/>
        <v>3828649.7</v>
      </c>
      <c r="I34" s="392">
        <f t="shared" si="1"/>
        <v>3828649.7</v>
      </c>
      <c r="J34" s="392">
        <f t="shared" si="1"/>
        <v>3828649.7</v>
      </c>
      <c r="K34" s="392">
        <f t="shared" si="1"/>
        <v>3828649.7</v>
      </c>
      <c r="L34" s="392">
        <f t="shared" si="1"/>
        <v>0</v>
      </c>
      <c r="M34" s="392">
        <f t="shared" si="1"/>
        <v>0</v>
      </c>
      <c r="N34" s="392">
        <f t="shared" si="1"/>
        <v>0</v>
      </c>
      <c r="O34" s="602"/>
      <c r="P34" s="373"/>
      <c r="Q34" s="212"/>
      <c r="R34" s="213">
        <f>+H33</f>
        <v>8548696.8300000001</v>
      </c>
      <c r="S34" s="211"/>
    </row>
    <row r="35" spans="1:35">
      <c r="A35" s="3"/>
      <c r="B35" s="3"/>
      <c r="C35" s="350">
        <f>+IF(AND(C30=$C$16,C33&lt;&gt;0),C34/C33,0)</f>
        <v>0</v>
      </c>
      <c r="D35" s="350">
        <f t="shared" ref="D35:N35" si="2">+IF(AND(D30=$C$16,D33&lt;&gt;0),D34/D33,0)</f>
        <v>0</v>
      </c>
      <c r="E35" s="350">
        <f t="shared" si="2"/>
        <v>0</v>
      </c>
      <c r="F35" s="350">
        <f t="shared" si="2"/>
        <v>0</v>
      </c>
      <c r="G35" s="350">
        <f t="shared" si="2"/>
        <v>0</v>
      </c>
      <c r="H35" s="350">
        <f t="shared" si="2"/>
        <v>0.44786354881180179</v>
      </c>
      <c r="I35" s="350">
        <f t="shared" si="2"/>
        <v>0</v>
      </c>
      <c r="J35" s="350">
        <f t="shared" si="2"/>
        <v>0</v>
      </c>
      <c r="K35" s="350">
        <f t="shared" si="2"/>
        <v>0</v>
      </c>
      <c r="L35" s="350">
        <f t="shared" si="2"/>
        <v>0</v>
      </c>
      <c r="M35" s="350">
        <f t="shared" si="2"/>
        <v>0</v>
      </c>
      <c r="N35" s="350">
        <f t="shared" si="2"/>
        <v>0</v>
      </c>
      <c r="O35" s="297"/>
      <c r="P35" s="214"/>
      <c r="Q35" s="215"/>
      <c r="R35" s="213">
        <f>+I33</f>
        <v>8858606.8300000001</v>
      </c>
      <c r="S35" s="211"/>
    </row>
    <row r="36" spans="1:35" ht="18.75">
      <c r="A36" s="3"/>
      <c r="B36" s="90" t="s">
        <v>380</v>
      </c>
      <c r="C36" s="3"/>
      <c r="D36" s="3"/>
      <c r="E36" s="364"/>
      <c r="F36" s="3"/>
      <c r="G36" s="266"/>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401" t="s">
        <v>404</v>
      </c>
      <c r="C38" s="402" t="str">
        <f>CONCATENATE("Cumulative Budget (in ",'Data Entry'!$D$26,")")</f>
        <v>Cumulative Budget (in €)</v>
      </c>
      <c r="D38" s="403" t="str">
        <f>CONCATENATE("Cumulative Expenditures (in ",'Data Entry'!$D$26,")")</f>
        <v>Cumulative Expenditures (in €)</v>
      </c>
      <c r="E38" s="281"/>
      <c r="F38" s="487" t="s">
        <v>442</v>
      </c>
      <c r="G38" s="3"/>
      <c r="H38" s="3"/>
      <c r="I38" s="3"/>
      <c r="J38" s="101"/>
      <c r="K38" s="42"/>
      <c r="N38"/>
      <c r="O38"/>
      <c r="AE38" s="20"/>
      <c r="AF38" s="36"/>
    </row>
    <row r="39" spans="1:35" ht="27.75" customHeight="1">
      <c r="A39" s="3"/>
      <c r="B39" s="404" t="s">
        <v>433</v>
      </c>
      <c r="C39" s="400">
        <f>ROUNDUP(310314.009110482+51611.9347970178,2)</f>
        <v>361925.95</v>
      </c>
      <c r="D39" s="405">
        <f>135006+53205+49335+47529</f>
        <v>285075</v>
      </c>
      <c r="E39" s="298"/>
      <c r="F39" s="375"/>
      <c r="G39" s="376"/>
      <c r="H39" s="3"/>
      <c r="I39" s="3"/>
      <c r="J39" s="102"/>
      <c r="K39" s="43"/>
      <c r="N39"/>
      <c r="O39"/>
      <c r="AE39" s="20"/>
      <c r="AF39" s="36"/>
    </row>
    <row r="40" spans="1:35" ht="14.25" customHeight="1">
      <c r="A40" s="3"/>
      <c r="B40" s="404" t="s">
        <v>434</v>
      </c>
      <c r="C40" s="400">
        <f>ROUNDUP(1220001.07148111+5288.99442454069,2)</f>
        <v>1225290.07</v>
      </c>
      <c r="D40" s="405">
        <f>217047+19738+26561+401472</f>
        <v>664818</v>
      </c>
      <c r="E40" s="15"/>
      <c r="F40" s="375"/>
      <c r="G40" s="376"/>
      <c r="H40" s="3"/>
      <c r="I40" s="3"/>
      <c r="J40" s="3"/>
      <c r="K40" s="43"/>
      <c r="N40"/>
      <c r="O40"/>
      <c r="AE40" s="20"/>
      <c r="AF40" s="36"/>
    </row>
    <row r="41" spans="1:35" ht="18" customHeight="1">
      <c r="A41" s="3"/>
      <c r="B41" s="406" t="s">
        <v>435</v>
      </c>
      <c r="C41" s="400">
        <f>ROUNDUP(5123348.78576098+0,2)</f>
        <v>5123348.79</v>
      </c>
      <c r="D41" s="405">
        <f>2484956+6507+66545+3241</f>
        <v>2561249</v>
      </c>
      <c r="E41" s="15"/>
      <c r="F41" s="377"/>
      <c r="G41" s="3"/>
      <c r="H41" s="3"/>
      <c r="I41" s="3"/>
      <c r="J41" s="3"/>
      <c r="K41" s="43"/>
      <c r="N41"/>
      <c r="O41"/>
      <c r="AE41" s="20"/>
      <c r="AF41" s="36"/>
    </row>
    <row r="42" spans="1:35" ht="27" customHeight="1">
      <c r="A42" s="3"/>
      <c r="B42" s="404" t="s">
        <v>436</v>
      </c>
      <c r="C42" s="400">
        <f>ROUNDUP(1209054.32968344+183675.867686688,2)</f>
        <v>1392730.2</v>
      </c>
      <c r="D42" s="405">
        <f>223219+127917+109088+74785</f>
        <v>535009</v>
      </c>
      <c r="E42" s="15"/>
      <c r="F42" s="374"/>
      <c r="G42" s="3"/>
      <c r="H42" s="3"/>
      <c r="I42" s="3"/>
      <c r="J42" s="3"/>
      <c r="K42" s="20"/>
      <c r="N42"/>
      <c r="O42"/>
      <c r="AE42" s="20"/>
      <c r="AF42" s="36"/>
    </row>
    <row r="43" spans="1:35">
      <c r="A43" s="3"/>
      <c r="B43" s="406" t="s">
        <v>437</v>
      </c>
      <c r="C43" s="400">
        <f>ROUNDUP(411323.617870244+34077.9743927428,2)</f>
        <v>445401.60000000003</v>
      </c>
      <c r="D43" s="405">
        <f>192223+22958+40237+13149</f>
        <v>268567</v>
      </c>
      <c r="E43" s="15"/>
      <c r="F43" s="299"/>
      <c r="G43" s="3"/>
      <c r="H43" s="3"/>
      <c r="I43" s="3"/>
      <c r="J43" s="3"/>
      <c r="K43" s="20"/>
      <c r="N43"/>
      <c r="O43"/>
      <c r="AE43" s="20"/>
      <c r="AF43" s="36"/>
    </row>
    <row r="44" spans="1:35">
      <c r="A44" s="3"/>
      <c r="B44" s="406"/>
      <c r="C44" s="400"/>
      <c r="D44" s="405"/>
      <c r="E44" s="15"/>
      <c r="F44" s="427"/>
      <c r="G44" s="3"/>
      <c r="H44" s="3"/>
      <c r="I44" s="3"/>
      <c r="J44" s="3"/>
      <c r="K44" s="20"/>
      <c r="N44"/>
      <c r="O44"/>
      <c r="AE44" s="20"/>
      <c r="AF44" s="36"/>
    </row>
    <row r="45" spans="1:35">
      <c r="A45" s="3"/>
      <c r="B45" s="406"/>
      <c r="C45" s="400"/>
      <c r="D45" s="405"/>
      <c r="E45" s="15"/>
      <c r="F45" s="299"/>
      <c r="G45" s="15"/>
      <c r="H45" s="15"/>
      <c r="I45" s="15"/>
      <c r="J45" s="15"/>
      <c r="K45" s="20"/>
      <c r="N45"/>
      <c r="O45"/>
      <c r="AE45" s="36"/>
      <c r="AF45" s="36"/>
    </row>
    <row r="46" spans="1:35" ht="15.75" thickBot="1">
      <c r="A46" s="3"/>
      <c r="B46" s="407"/>
      <c r="C46" s="399"/>
      <c r="D46" s="405"/>
      <c r="E46" s="15"/>
      <c r="F46" s="15"/>
      <c r="G46" s="15"/>
      <c r="H46" s="15"/>
      <c r="I46" s="15"/>
      <c r="J46" s="15"/>
      <c r="K46" s="20"/>
      <c r="N46"/>
      <c r="O46"/>
      <c r="AE46" s="36"/>
      <c r="AF46" s="36"/>
    </row>
    <row r="47" spans="1:35" ht="15.75" thickBot="1">
      <c r="A47" s="3"/>
      <c r="B47" s="408" t="s">
        <v>59</v>
      </c>
      <c r="C47" s="409">
        <f>ROUNDUP(SUM(C39:C43),2)</f>
        <v>8548696.6099999994</v>
      </c>
      <c r="D47" s="410">
        <f>SUM(D39:D43)</f>
        <v>4314718</v>
      </c>
      <c r="E47" s="297"/>
      <c r="F47" s="608" t="str">
        <f ca="1">+IF((ROUND(C47,0)=ROUND(OFFSET(B33,0,RIGHT('Data Entry'!$C$16,LEN('Data Entry'!$C$16)-1),1,1),0)),"OK: Data match","Warning: Data does not match")</f>
        <v>OK: Data match</v>
      </c>
      <c r="G47" s="609"/>
      <c r="H47" s="609"/>
      <c r="I47" s="610"/>
      <c r="J47" s="205"/>
      <c r="K47" s="205"/>
      <c r="L47" s="205"/>
      <c r="M47" s="214"/>
      <c r="N47" s="215"/>
      <c r="O47" s="213"/>
      <c r="P47" s="211"/>
      <c r="AE47" s="36"/>
      <c r="AF47" s="36"/>
    </row>
    <row r="48" spans="1:35">
      <c r="A48" s="3"/>
      <c r="B48" s="3"/>
      <c r="C48" s="205"/>
      <c r="D48" s="205"/>
      <c r="E48" s="278"/>
      <c r="F48" s="205"/>
      <c r="G48" s="205"/>
      <c r="H48" s="205"/>
      <c r="I48" s="205"/>
      <c r="J48" s="205"/>
      <c r="K48" s="205"/>
      <c r="L48" s="205"/>
      <c r="M48" s="205"/>
      <c r="N48" s="205"/>
      <c r="O48" s="205"/>
      <c r="P48" s="214"/>
      <c r="Q48" s="215"/>
      <c r="R48" s="213"/>
      <c r="S48" s="211"/>
    </row>
    <row r="49" spans="1:35" ht="18.75">
      <c r="A49" s="3"/>
      <c r="B49" s="90" t="s">
        <v>379</v>
      </c>
      <c r="C49" s="3"/>
      <c r="D49" s="3"/>
      <c r="E49" s="3"/>
      <c r="F49" s="3"/>
      <c r="G49" s="3"/>
      <c r="H49" s="3"/>
      <c r="I49" s="3"/>
      <c r="J49" s="3"/>
      <c r="K49" s="3"/>
      <c r="L49" s="3"/>
      <c r="M49" s="3"/>
      <c r="P49" s="211"/>
      <c r="Q49" s="212"/>
      <c r="R49" s="213">
        <f>+J33</f>
        <v>9290105.8300000001</v>
      </c>
      <c r="S49" s="211"/>
    </row>
    <row r="50" spans="1:35" ht="15.75" thickBot="1">
      <c r="A50" s="3"/>
      <c r="B50" s="3"/>
      <c r="C50" s="3"/>
      <c r="D50" s="3"/>
      <c r="E50" s="3"/>
      <c r="F50" s="3"/>
      <c r="G50" s="3"/>
      <c r="H50" s="3"/>
      <c r="I50" s="3"/>
      <c r="J50" s="3"/>
      <c r="K50" s="3"/>
      <c r="L50" s="3"/>
      <c r="M50" s="3"/>
      <c r="P50" s="211"/>
      <c r="Q50" s="212"/>
      <c r="R50" s="213">
        <f>+K33</f>
        <v>11182991.83</v>
      </c>
      <c r="S50" s="211"/>
    </row>
    <row r="51" spans="1:35" ht="35.25" customHeight="1">
      <c r="A51" s="3"/>
      <c r="B51" s="303"/>
      <c r="C51" s="304" t="s">
        <v>377</v>
      </c>
      <c r="D51" s="304" t="s">
        <v>378</v>
      </c>
      <c r="E51" s="425" t="str">
        <f>CONCATENATE("Total Spent and Disbursement (in ",D26,")")</f>
        <v>Total Spent and Disbursement (in €)</v>
      </c>
      <c r="F51" s="3"/>
      <c r="G51" s="488"/>
      <c r="H51" s="300"/>
      <c r="I51" s="286"/>
      <c r="J51" s="286"/>
      <c r="K51" s="286"/>
      <c r="L51" s="286"/>
      <c r="M51" s="22"/>
      <c r="N51" s="22"/>
      <c r="O51" s="211"/>
      <c r="P51" s="212"/>
      <c r="Q51" s="213">
        <f>+M33</f>
        <v>0</v>
      </c>
      <c r="R51" s="211"/>
      <c r="AH51" s="20"/>
    </row>
    <row r="52" spans="1:35">
      <c r="A52" s="3"/>
      <c r="B52" s="301" t="s">
        <v>312</v>
      </c>
      <c r="C52" s="400">
        <f>3784655+43995</f>
        <v>3828650</v>
      </c>
      <c r="D52" s="405">
        <v>0</v>
      </c>
      <c r="E52" s="393">
        <f>+D52+C52</f>
        <v>3828650</v>
      </c>
      <c r="F52" s="3"/>
      <c r="G52" s="97"/>
      <c r="H52" s="489"/>
      <c r="I52" s="96"/>
      <c r="J52" s="208"/>
      <c r="K52" s="209"/>
      <c r="L52" s="98"/>
      <c r="M52" s="37"/>
      <c r="N52" s="37"/>
      <c r="O52" s="211"/>
      <c r="P52" s="211"/>
      <c r="Q52" s="211"/>
      <c r="R52" s="211"/>
      <c r="AH52" s="20"/>
    </row>
    <row r="53" spans="1:35">
      <c r="A53" s="3"/>
      <c r="B53" s="301" t="s">
        <v>291</v>
      </c>
      <c r="C53" s="400">
        <f>3252451+230325.039554237+291766</f>
        <v>3774542.0395542369</v>
      </c>
      <c r="D53" s="405">
        <v>540176</v>
      </c>
      <c r="E53" s="393">
        <f>+D53+C53</f>
        <v>4314718.0395542365</v>
      </c>
      <c r="F53" s="3"/>
      <c r="G53" s="260"/>
      <c r="H53" s="305"/>
      <c r="I53" s="96"/>
      <c r="J53" s="208"/>
      <c r="K53" s="208"/>
      <c r="L53" s="98"/>
      <c r="M53" s="38"/>
      <c r="N53" s="38"/>
      <c r="O53" s="211"/>
      <c r="P53" s="211"/>
      <c r="Q53" s="211"/>
      <c r="R53" s="211"/>
      <c r="AH53" s="20"/>
    </row>
    <row r="54" spans="1:35">
      <c r="A54" s="3"/>
      <c r="B54" s="301" t="s">
        <v>270</v>
      </c>
      <c r="C54" s="400">
        <f>231697+105209.426111814+75523</f>
        <v>412429.42611181398</v>
      </c>
      <c r="D54" s="405">
        <v>79264</v>
      </c>
      <c r="E54" s="393">
        <f>+D54+C54</f>
        <v>491693.42611181398</v>
      </c>
      <c r="F54" s="3"/>
      <c r="G54" s="97"/>
      <c r="H54" s="305"/>
      <c r="I54" s="96"/>
      <c r="J54" s="208"/>
      <c r="K54" s="209"/>
      <c r="L54" s="98"/>
      <c r="M54" s="37"/>
      <c r="N54" s="37"/>
      <c r="O54"/>
      <c r="AH54" s="20"/>
    </row>
    <row r="55" spans="1:35" ht="15.75" thickBot="1">
      <c r="A55" s="3"/>
      <c r="B55" s="302" t="s">
        <v>271</v>
      </c>
      <c r="C55" s="400">
        <f>259978+76134.7765355131+80123</f>
        <v>416235.77653551311</v>
      </c>
      <c r="D55" s="405">
        <v>77995.33</v>
      </c>
      <c r="E55" s="394">
        <f>+D55+C55</f>
        <v>494231.10653551313</v>
      </c>
      <c r="F55" s="3"/>
      <c r="G55" s="261"/>
      <c r="H55" s="306"/>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4"/>
      <c r="E57" s="3"/>
      <c r="F57" s="3"/>
      <c r="G57" s="3"/>
      <c r="H57" s="3"/>
      <c r="I57" s="3"/>
      <c r="J57" s="3"/>
      <c r="K57" s="3"/>
      <c r="L57" s="3"/>
      <c r="M57" s="3"/>
    </row>
    <row r="58" spans="1:35" ht="18.75">
      <c r="A58" s="3"/>
      <c r="B58" s="90" t="s">
        <v>382</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86" t="s">
        <v>347</v>
      </c>
      <c r="C60" s="687"/>
      <c r="D60" s="688"/>
      <c r="E60" s="3"/>
      <c r="F60" s="3"/>
      <c r="G60" s="3"/>
      <c r="H60" s="3"/>
      <c r="I60" s="3"/>
      <c r="J60" s="3"/>
      <c r="K60" s="3"/>
      <c r="L60" s="3"/>
      <c r="M60" s="36"/>
      <c r="O60"/>
    </row>
    <row r="61" spans="1:35">
      <c r="A61" s="3"/>
      <c r="B61" s="103"/>
      <c r="C61" s="308" t="s">
        <v>61</v>
      </c>
      <c r="D61" s="309" t="s">
        <v>62</v>
      </c>
      <c r="E61" s="3"/>
      <c r="F61" s="3"/>
      <c r="G61" s="3"/>
      <c r="H61" s="3"/>
      <c r="I61" s="3"/>
      <c r="J61" s="3"/>
      <c r="K61" s="3"/>
      <c r="L61" s="3"/>
      <c r="M61" s="36"/>
      <c r="O61"/>
    </row>
    <row r="62" spans="1:35">
      <c r="A62" s="3"/>
      <c r="B62" s="104" t="s">
        <v>1</v>
      </c>
      <c r="C62" s="400">
        <v>45</v>
      </c>
      <c r="D62" s="405">
        <v>45</v>
      </c>
      <c r="E62" s="3"/>
      <c r="F62" s="3"/>
      <c r="G62" s="3"/>
      <c r="H62" s="3"/>
      <c r="I62" s="3"/>
      <c r="J62" s="3"/>
      <c r="K62" s="3"/>
      <c r="L62" s="3"/>
      <c r="M62" s="36"/>
      <c r="O62"/>
    </row>
    <row r="63" spans="1:35">
      <c r="A63" s="3"/>
      <c r="B63" s="307" t="s">
        <v>364</v>
      </c>
      <c r="C63" s="400">
        <v>45</v>
      </c>
      <c r="D63" s="405">
        <v>0</v>
      </c>
      <c r="E63" s="3"/>
      <c r="F63" s="3"/>
      <c r="G63" s="3"/>
      <c r="H63" s="305"/>
      <c r="I63" s="305"/>
      <c r="J63" s="3"/>
      <c r="K63" s="3"/>
      <c r="L63" s="3"/>
      <c r="M63" s="36"/>
      <c r="O63"/>
    </row>
    <row r="64" spans="1:35" ht="15.75" thickBot="1">
      <c r="A64" s="3"/>
      <c r="B64" s="105" t="s">
        <v>365</v>
      </c>
      <c r="C64" s="400">
        <v>5</v>
      </c>
      <c r="D64" s="405">
        <v>2</v>
      </c>
      <c r="E64" s="3"/>
      <c r="F64" s="3"/>
      <c r="G64" s="3"/>
      <c r="H64" s="305"/>
      <c r="I64" s="305"/>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21"/>
      <c r="M66" s="3"/>
      <c r="AC66" s="19"/>
      <c r="AD66" s="19"/>
    </row>
    <row r="67" spans="1:30" ht="19.5" thickBot="1">
      <c r="A67" s="3"/>
      <c r="B67" s="106" t="s">
        <v>264</v>
      </c>
      <c r="C67" s="107"/>
      <c r="D67" s="107"/>
      <c r="E67" s="107"/>
      <c r="F67" s="107"/>
      <c r="G67" s="107"/>
      <c r="H67" s="333" t="s">
        <v>305</v>
      </c>
      <c r="I67" s="107"/>
      <c r="J67" s="108"/>
      <c r="K67" s="108"/>
      <c r="L67" s="422"/>
      <c r="M67" s="423"/>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648"/>
      <c r="C71" s="649"/>
      <c r="D71" s="114" t="s">
        <v>118</v>
      </c>
      <c r="E71" s="115" t="s">
        <v>297</v>
      </c>
      <c r="F71" s="115" t="s">
        <v>119</v>
      </c>
      <c r="G71" s="116" t="s">
        <v>59</v>
      </c>
      <c r="H71" s="317"/>
      <c r="I71" s="318"/>
      <c r="J71" s="15"/>
      <c r="K71" s="2"/>
      <c r="L71" s="2"/>
      <c r="M71" s="2"/>
      <c r="N71" s="20"/>
      <c r="O71" s="19"/>
      <c r="P71" s="19"/>
      <c r="Q71" s="19"/>
      <c r="R71" s="19"/>
      <c r="S71" s="19"/>
    </row>
    <row r="72" spans="1:30">
      <c r="A72" s="3"/>
      <c r="B72" s="657" t="s">
        <v>403</v>
      </c>
      <c r="C72" s="658"/>
      <c r="D72" s="263">
        <v>4</v>
      </c>
      <c r="E72" s="263">
        <v>1</v>
      </c>
      <c r="F72" s="263">
        <v>0</v>
      </c>
      <c r="G72" s="118">
        <f>SUM(D72:F72)</f>
        <v>5</v>
      </c>
      <c r="H72" s="299"/>
      <c r="I72" s="316"/>
      <c r="J72" s="316"/>
      <c r="K72" s="2"/>
      <c r="L72" s="2"/>
      <c r="M72" s="2"/>
      <c r="N72" s="20"/>
      <c r="O72" s="19"/>
      <c r="P72" s="19"/>
      <c r="Q72" s="19"/>
      <c r="R72" s="19"/>
      <c r="S72" s="19"/>
    </row>
    <row r="73" spans="1:30" ht="15.75" thickBot="1">
      <c r="A73" s="3"/>
      <c r="B73" s="690" t="s">
        <v>11</v>
      </c>
      <c r="C73" s="691"/>
      <c r="D73" s="264">
        <v>5</v>
      </c>
      <c r="E73" s="264">
        <v>1</v>
      </c>
      <c r="F73" s="264">
        <v>0</v>
      </c>
      <c r="G73" s="120">
        <f>SUM(D73:F73)</f>
        <v>6</v>
      </c>
      <c r="H73" s="299"/>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384</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1"/>
      <c r="C78" s="113" t="s">
        <v>64</v>
      </c>
      <c r="D78" s="113" t="s">
        <v>82</v>
      </c>
      <c r="E78" s="122" t="s">
        <v>65</v>
      </c>
      <c r="F78" s="15"/>
      <c r="G78" s="15"/>
      <c r="H78" s="15"/>
      <c r="I78" s="318"/>
      <c r="J78" s="2"/>
      <c r="K78" s="2"/>
      <c r="L78" s="2"/>
      <c r="M78" s="2"/>
      <c r="N78" s="19"/>
      <c r="O78" s="19"/>
      <c r="P78" s="19"/>
      <c r="S78" s="19"/>
    </row>
    <row r="79" spans="1:30" ht="15.75" thickBot="1">
      <c r="A79" s="3"/>
      <c r="B79" s="123" t="s">
        <v>313</v>
      </c>
      <c r="C79" s="365">
        <v>11</v>
      </c>
      <c r="D79" s="365">
        <v>11</v>
      </c>
      <c r="E79" s="366">
        <f>+C79-D79</f>
        <v>0</v>
      </c>
      <c r="F79" s="271"/>
      <c r="G79" s="279"/>
      <c r="H79" s="15"/>
      <c r="I79" s="316"/>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389</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1"/>
      <c r="C83" s="113" t="s">
        <v>292</v>
      </c>
      <c r="D83" s="113" t="s">
        <v>68</v>
      </c>
      <c r="E83" s="113" t="s">
        <v>83</v>
      </c>
      <c r="F83" s="113" t="s">
        <v>69</v>
      </c>
      <c r="G83" s="153" t="s">
        <v>120</v>
      </c>
      <c r="H83" s="280"/>
      <c r="I83" s="318"/>
      <c r="J83" s="2"/>
      <c r="K83" s="2"/>
      <c r="L83" s="2"/>
      <c r="M83" s="2"/>
      <c r="N83" s="19"/>
      <c r="O83" s="19"/>
      <c r="P83" s="19"/>
      <c r="S83" s="19"/>
    </row>
    <row r="84" spans="1:36" ht="15.75" thickBot="1">
      <c r="A84" s="3"/>
      <c r="B84" s="123" t="s">
        <v>128</v>
      </c>
      <c r="C84" s="365">
        <v>1</v>
      </c>
      <c r="D84" s="365">
        <v>1</v>
      </c>
      <c r="E84" s="365">
        <v>1</v>
      </c>
      <c r="F84" s="365">
        <v>1</v>
      </c>
      <c r="G84" s="367">
        <v>1</v>
      </c>
      <c r="H84" s="319"/>
      <c r="I84" s="299"/>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385</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1"/>
      <c r="C88" s="124" t="s">
        <v>66</v>
      </c>
      <c r="D88" s="124" t="s">
        <v>67</v>
      </c>
      <c r="E88" s="125" t="s">
        <v>289</v>
      </c>
      <c r="F88" s="2"/>
      <c r="G88" s="2"/>
      <c r="H88" s="2"/>
      <c r="I88" s="2"/>
      <c r="J88" s="19"/>
      <c r="K88" s="19"/>
      <c r="L88" s="19"/>
      <c r="N88"/>
      <c r="O88" s="19"/>
      <c r="AG88" s="36"/>
      <c r="AJ88"/>
    </row>
    <row r="89" spans="1:36">
      <c r="A89" s="3"/>
      <c r="B89" s="117" t="s">
        <v>390</v>
      </c>
      <c r="C89" s="263"/>
      <c r="D89" s="265"/>
      <c r="E89" s="320">
        <f>C89-D89</f>
        <v>0</v>
      </c>
      <c r="F89" s="2"/>
      <c r="G89" s="2"/>
      <c r="H89" s="2"/>
      <c r="I89" s="2"/>
      <c r="J89" s="19"/>
      <c r="K89" s="19"/>
      <c r="L89" s="19"/>
      <c r="N89"/>
      <c r="O89" s="19"/>
      <c r="AG89" s="36"/>
      <c r="AJ89"/>
    </row>
    <row r="90" spans="1:36" ht="15.75" thickBot="1">
      <c r="A90" s="3"/>
      <c r="B90" s="119" t="s">
        <v>391</v>
      </c>
      <c r="C90" s="264">
        <v>3</v>
      </c>
      <c r="D90" s="321">
        <v>3</v>
      </c>
      <c r="E90" s="475">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3"/>
      <c r="C94" s="381" t="s">
        <v>106</v>
      </c>
      <c r="D94" s="381" t="s">
        <v>107</v>
      </c>
      <c r="E94" s="381" t="s">
        <v>108</v>
      </c>
      <c r="F94" s="381" t="s">
        <v>109</v>
      </c>
      <c r="G94" s="381" t="s">
        <v>121</v>
      </c>
      <c r="H94" s="381" t="s">
        <v>122</v>
      </c>
      <c r="I94" s="381" t="s">
        <v>123</v>
      </c>
      <c r="J94" s="381" t="s">
        <v>124</v>
      </c>
      <c r="K94" s="381" t="s">
        <v>125</v>
      </c>
      <c r="L94" s="381" t="s">
        <v>126</v>
      </c>
      <c r="M94" s="381" t="s">
        <v>127</v>
      </c>
      <c r="N94" s="382" t="s">
        <v>288</v>
      </c>
      <c r="O94" s="20"/>
      <c r="P94" s="20"/>
      <c r="S94" s="19"/>
    </row>
    <row r="95" spans="1:36" ht="15" customHeight="1">
      <c r="A95" s="3"/>
      <c r="B95" s="383" t="s">
        <v>369</v>
      </c>
      <c r="C95" s="368">
        <v>412658</v>
      </c>
      <c r="D95" s="368">
        <v>0</v>
      </c>
      <c r="E95" s="368">
        <v>2179104</v>
      </c>
      <c r="F95" s="368">
        <v>174273</v>
      </c>
      <c r="G95" s="368">
        <v>2960715</v>
      </c>
      <c r="H95" s="368">
        <v>0</v>
      </c>
      <c r="I95" s="368">
        <v>11700</v>
      </c>
      <c r="J95" s="368">
        <v>116799</v>
      </c>
      <c r="K95" s="368">
        <v>1481720</v>
      </c>
      <c r="L95" s="368"/>
      <c r="M95" s="368"/>
      <c r="N95" s="476"/>
      <c r="O95" s="20"/>
      <c r="P95" s="20"/>
      <c r="S95" s="19"/>
    </row>
    <row r="96" spans="1:36" ht="15" customHeight="1">
      <c r="A96" s="3"/>
      <c r="B96" s="383" t="s">
        <v>366</v>
      </c>
      <c r="C96" s="368">
        <v>0</v>
      </c>
      <c r="D96" s="368">
        <v>0</v>
      </c>
      <c r="E96" s="368">
        <v>0</v>
      </c>
      <c r="F96" s="368">
        <f>(9997+6190+3348+2173+1760)/2.4139</f>
        <v>9722.0265959650369</v>
      </c>
      <c r="G96" s="368">
        <v>279785</v>
      </c>
      <c r="H96" s="368">
        <f>229825/2.597</f>
        <v>88496.34193299961</v>
      </c>
      <c r="I96" s="368"/>
      <c r="J96" s="368"/>
      <c r="K96" s="368"/>
      <c r="L96" s="368"/>
      <c r="M96" s="368"/>
      <c r="N96" s="476"/>
      <c r="O96" s="20"/>
      <c r="P96" s="20"/>
      <c r="S96" s="19"/>
    </row>
    <row r="97" spans="1:19" ht="15" customHeight="1">
      <c r="A97" s="3"/>
      <c r="B97" s="383" t="s">
        <v>314</v>
      </c>
      <c r="C97" s="368">
        <v>0</v>
      </c>
      <c r="D97" s="368">
        <v>0</v>
      </c>
      <c r="E97" s="368">
        <f>252919+2158932</f>
        <v>2411851</v>
      </c>
      <c r="F97" s="368">
        <v>11288</v>
      </c>
      <c r="G97" s="368">
        <v>40857</v>
      </c>
      <c r="H97" s="368">
        <v>386885</v>
      </c>
      <c r="I97" s="368"/>
      <c r="J97" s="368"/>
      <c r="K97" s="368"/>
      <c r="L97" s="368"/>
      <c r="M97" s="368"/>
      <c r="N97" s="476"/>
      <c r="O97" s="20"/>
      <c r="P97" s="20"/>
      <c r="S97" s="19"/>
    </row>
    <row r="98" spans="1:19" ht="15" customHeight="1">
      <c r="A98" s="3"/>
      <c r="B98" s="323" t="s">
        <v>412</v>
      </c>
      <c r="C98" s="369">
        <f>+C95</f>
        <v>412658</v>
      </c>
      <c r="D98" s="369">
        <f t="shared" ref="D98:N98" si="3">+C98+D95</f>
        <v>412658</v>
      </c>
      <c r="E98" s="369">
        <f>+D98+E95</f>
        <v>2591762</v>
      </c>
      <c r="F98" s="369">
        <f t="shared" si="3"/>
        <v>2766035</v>
      </c>
      <c r="G98" s="369">
        <f t="shared" si="3"/>
        <v>5726750</v>
      </c>
      <c r="H98" s="369">
        <f t="shared" si="3"/>
        <v>5726750</v>
      </c>
      <c r="I98" s="369">
        <f t="shared" si="3"/>
        <v>5738450</v>
      </c>
      <c r="J98" s="369">
        <f t="shared" si="3"/>
        <v>5855249</v>
      </c>
      <c r="K98" s="369">
        <f t="shared" si="3"/>
        <v>7336969</v>
      </c>
      <c r="L98" s="369">
        <f t="shared" si="3"/>
        <v>7336969</v>
      </c>
      <c r="M98" s="369">
        <f t="shared" si="3"/>
        <v>7336969</v>
      </c>
      <c r="N98" s="477">
        <f t="shared" si="3"/>
        <v>7336969</v>
      </c>
      <c r="O98" s="20"/>
      <c r="P98" s="20"/>
      <c r="S98" s="19"/>
    </row>
    <row r="99" spans="1:19" ht="15" customHeight="1">
      <c r="A99" s="3"/>
      <c r="B99" s="323" t="s">
        <v>5</v>
      </c>
      <c r="C99" s="369">
        <f>+C96</f>
        <v>0</v>
      </c>
      <c r="D99" s="369">
        <f t="shared" ref="D99:N99" si="4">+C99+D96</f>
        <v>0</v>
      </c>
      <c r="E99" s="369">
        <f>+D99+E96</f>
        <v>0</v>
      </c>
      <c r="F99" s="369">
        <f t="shared" si="4"/>
        <v>9722.0265959650369</v>
      </c>
      <c r="G99" s="369">
        <f t="shared" si="4"/>
        <v>289507.02659596503</v>
      </c>
      <c r="H99" s="369">
        <f t="shared" si="4"/>
        <v>378003.36852896464</v>
      </c>
      <c r="I99" s="369">
        <f t="shared" si="4"/>
        <v>378003.36852896464</v>
      </c>
      <c r="J99" s="369">
        <f t="shared" si="4"/>
        <v>378003.36852896464</v>
      </c>
      <c r="K99" s="369">
        <f t="shared" si="4"/>
        <v>378003.36852896464</v>
      </c>
      <c r="L99" s="369">
        <f t="shared" si="4"/>
        <v>378003.36852896464</v>
      </c>
      <c r="M99" s="369">
        <f t="shared" si="4"/>
        <v>378003.36852896464</v>
      </c>
      <c r="N99" s="477">
        <f t="shared" si="4"/>
        <v>378003.36852896464</v>
      </c>
      <c r="O99" s="20"/>
      <c r="P99" s="20"/>
      <c r="S99" s="19"/>
    </row>
    <row r="100" spans="1:19" ht="15.75" thickBot="1">
      <c r="A100" s="3"/>
      <c r="B100" s="472" t="s">
        <v>6</v>
      </c>
      <c r="C100" s="473">
        <f>+C97</f>
        <v>0</v>
      </c>
      <c r="D100" s="474">
        <f t="shared" ref="D100:N100" si="5">+C100+D97</f>
        <v>0</v>
      </c>
      <c r="E100" s="474">
        <f>+D100+E97</f>
        <v>2411851</v>
      </c>
      <c r="F100" s="474">
        <f t="shared" si="5"/>
        <v>2423139</v>
      </c>
      <c r="G100" s="474">
        <f t="shared" si="5"/>
        <v>2463996</v>
      </c>
      <c r="H100" s="474">
        <f t="shared" si="5"/>
        <v>2850881</v>
      </c>
      <c r="I100" s="474">
        <f t="shared" si="5"/>
        <v>2850881</v>
      </c>
      <c r="J100" s="474">
        <f t="shared" si="5"/>
        <v>2850881</v>
      </c>
      <c r="K100" s="474">
        <f t="shared" si="5"/>
        <v>2850881</v>
      </c>
      <c r="L100" s="474">
        <f t="shared" si="5"/>
        <v>2850881</v>
      </c>
      <c r="M100" s="474">
        <f t="shared" si="5"/>
        <v>2850881</v>
      </c>
      <c r="N100" s="478">
        <f t="shared" si="5"/>
        <v>2850881</v>
      </c>
      <c r="O100" s="20"/>
      <c r="P100" s="20"/>
      <c r="S100" s="19"/>
    </row>
    <row r="101" spans="1:19">
      <c r="A101" s="3"/>
      <c r="B101" s="3"/>
      <c r="C101" s="2"/>
      <c r="D101" s="2"/>
      <c r="E101" s="2"/>
      <c r="F101" s="2"/>
      <c r="G101" s="2"/>
      <c r="H101" s="2"/>
      <c r="I101" s="15"/>
      <c r="J101" s="126"/>
      <c r="K101" s="127"/>
      <c r="L101" s="15"/>
      <c r="M101" s="128"/>
      <c r="N101" s="20"/>
      <c r="O101" s="20"/>
      <c r="P101" s="20"/>
      <c r="S101" s="19"/>
    </row>
    <row r="102" spans="1:19">
      <c r="A102" s="3"/>
      <c r="B102" s="2" t="s">
        <v>406</v>
      </c>
      <c r="C102" s="2"/>
      <c r="D102" s="2"/>
      <c r="E102" s="2"/>
      <c r="F102" s="2"/>
      <c r="G102" s="2"/>
      <c r="H102" s="2"/>
      <c r="I102" s="15"/>
      <c r="J102" s="126"/>
      <c r="K102" s="127"/>
      <c r="L102" s="15"/>
      <c r="M102" s="128"/>
      <c r="N102" s="20"/>
      <c r="O102" s="20"/>
      <c r="P102" s="20"/>
      <c r="S102" s="19"/>
    </row>
    <row r="103" spans="1:19">
      <c r="A103" s="3"/>
      <c r="C103" s="2"/>
      <c r="D103" s="2"/>
      <c r="E103" s="2"/>
      <c r="F103" s="2"/>
      <c r="G103" s="2"/>
      <c r="H103" s="2"/>
      <c r="I103" s="15"/>
      <c r="J103" s="126"/>
      <c r="K103" s="128"/>
      <c r="L103" s="15"/>
      <c r="M103" s="128"/>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386</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4" t="s">
        <v>33</v>
      </c>
      <c r="C107" s="325" t="s">
        <v>80</v>
      </c>
      <c r="D107" s="327" t="s">
        <v>368</v>
      </c>
      <c r="E107" s="327" t="s">
        <v>337</v>
      </c>
      <c r="F107" s="326" t="s">
        <v>338</v>
      </c>
      <c r="G107" s="326" t="s">
        <v>339</v>
      </c>
      <c r="H107" s="327" t="s">
        <v>340</v>
      </c>
      <c r="I107" s="327" t="s">
        <v>341</v>
      </c>
      <c r="J107" s="327" t="s">
        <v>342</v>
      </c>
      <c r="K107" s="328" t="s">
        <v>343</v>
      </c>
      <c r="L107" s="2"/>
      <c r="M107" s="20"/>
      <c r="N107" s="20"/>
      <c r="O107" s="20"/>
      <c r="P107" s="19"/>
      <c r="R107" s="20"/>
    </row>
    <row r="108" spans="1:19">
      <c r="A108" s="3"/>
      <c r="B108" s="652" t="s">
        <v>35</v>
      </c>
      <c r="C108" s="412" t="s">
        <v>416</v>
      </c>
      <c r="D108" s="413">
        <v>3</v>
      </c>
      <c r="E108" s="414">
        <f>IF(ISBLANK(D108),"",D108*30)</f>
        <v>90</v>
      </c>
      <c r="F108" s="370">
        <v>325</v>
      </c>
      <c r="G108" s="371">
        <f>IF(AND(E108&gt;0,F108&gt;0),(F108*E108),"")</f>
        <v>29250</v>
      </c>
      <c r="H108" s="370">
        <v>480000</v>
      </c>
      <c r="I108" s="430">
        <f>IF(AND(G108&gt;0,H108&gt;0),H108/G108,"")</f>
        <v>16.410256410256409</v>
      </c>
      <c r="J108" s="415">
        <v>4</v>
      </c>
      <c r="K108" s="479">
        <f>IF(AND(I108&gt;0,J108&gt;0),I108-J108,"")</f>
        <v>12.410256410256409</v>
      </c>
      <c r="L108" s="2"/>
      <c r="M108" s="20"/>
      <c r="N108" s="20"/>
      <c r="O108" s="20"/>
      <c r="P108" s="19"/>
      <c r="R108" s="20"/>
    </row>
    <row r="109" spans="1:19">
      <c r="A109" s="3"/>
      <c r="B109" s="653"/>
      <c r="C109" s="412" t="s">
        <v>428</v>
      </c>
      <c r="D109" s="413">
        <v>2</v>
      </c>
      <c r="E109" s="414">
        <f>IF(ISBLANK(D109),"",D109*30)</f>
        <v>60</v>
      </c>
      <c r="F109" s="370">
        <v>300</v>
      </c>
      <c r="G109" s="371">
        <f>IF(AND(E109&gt;0,F109&gt;0),(F109*E109),"")</f>
        <v>18000</v>
      </c>
      <c r="H109" s="370">
        <v>332200</v>
      </c>
      <c r="I109" s="430">
        <f>IF(AND(G109&gt;0,H109&gt;0),H109/G109,"")</f>
        <v>18.455555555555556</v>
      </c>
      <c r="J109" s="415">
        <v>4</v>
      </c>
      <c r="K109" s="479">
        <f>IF(AND(I109&gt;0,J109&gt;0),I109-J109,"")</f>
        <v>14.455555555555556</v>
      </c>
      <c r="L109" s="2"/>
      <c r="M109" s="20"/>
      <c r="N109" s="20"/>
      <c r="O109" s="20"/>
      <c r="P109" s="19"/>
    </row>
    <row r="110" spans="1:19">
      <c r="A110" s="3"/>
      <c r="B110" s="653"/>
      <c r="C110" s="412" t="s">
        <v>429</v>
      </c>
      <c r="D110" s="413">
        <v>2</v>
      </c>
      <c r="E110" s="414">
        <f>IF(ISBLANK(D110),"",D110*30)</f>
        <v>60</v>
      </c>
      <c r="F110" s="370">
        <v>50</v>
      </c>
      <c r="G110" s="371">
        <f>IF(AND(E110&gt;0,F110&gt;0),(F110*E110),"")</f>
        <v>3000</v>
      </c>
      <c r="H110" s="370">
        <v>46816</v>
      </c>
      <c r="I110" s="430">
        <f>IF(AND(G110&gt;0,H110&gt;0),H110/G110,"")</f>
        <v>15.605333333333334</v>
      </c>
      <c r="J110" s="415">
        <v>4</v>
      </c>
      <c r="K110" s="479">
        <f>IF(AND(I110&gt;0,J110&gt;0),I110-J110,"")</f>
        <v>11.605333333333334</v>
      </c>
      <c r="L110" s="2"/>
      <c r="M110" s="20"/>
      <c r="N110" s="20"/>
      <c r="O110" s="20"/>
      <c r="P110" s="19"/>
      <c r="R110" s="20"/>
    </row>
    <row r="111" spans="1:19" ht="15.75" thickBot="1">
      <c r="A111" s="3"/>
      <c r="B111" s="654"/>
      <c r="C111" s="416" t="s">
        <v>431</v>
      </c>
      <c r="D111" s="417">
        <v>3</v>
      </c>
      <c r="E111" s="469">
        <f>IF(ISBLANK(D111),"",D111*30)</f>
        <v>90</v>
      </c>
      <c r="F111" s="372">
        <v>40</v>
      </c>
      <c r="G111" s="470">
        <f>IF(AND(E111&gt;0,F111&gt;0),(F111*E111),"")</f>
        <v>3600</v>
      </c>
      <c r="H111" s="372">
        <v>82000</v>
      </c>
      <c r="I111" s="471">
        <f>IF(AND(G111&gt;0,H111&gt;0),H111/G111,"")</f>
        <v>22.777777777777779</v>
      </c>
      <c r="J111" s="418">
        <v>4</v>
      </c>
      <c r="K111" s="480">
        <f>IF(AND(I111&gt;0,J111&gt;0),I111-J111,"")</f>
        <v>18.777777777777779</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45.75" thickBot="1">
      <c r="A113" s="3"/>
      <c r="B113" s="3"/>
      <c r="C113" s="3"/>
      <c r="D113" s="3"/>
      <c r="E113" s="3"/>
      <c r="F113" s="485" t="s">
        <v>417</v>
      </c>
      <c r="G113" s="485" t="s">
        <v>430</v>
      </c>
      <c r="H113" s="485" t="s">
        <v>430</v>
      </c>
      <c r="I113" s="2"/>
      <c r="J113" s="109"/>
      <c r="K113" s="109"/>
      <c r="L113" s="3"/>
      <c r="M113" s="3"/>
    </row>
    <row r="114" spans="1:20" ht="19.5" thickBot="1">
      <c r="A114" s="3"/>
      <c r="B114" s="243" t="s">
        <v>393</v>
      </c>
      <c r="C114" s="129"/>
      <c r="D114" s="129"/>
      <c r="E114" s="130"/>
      <c r="F114" s="130"/>
      <c r="G114" s="130"/>
      <c r="H114" s="258"/>
      <c r="I114" s="244"/>
      <c r="J114" s="346"/>
      <c r="K114" s="347" t="s">
        <v>372</v>
      </c>
      <c r="L114" s="130"/>
      <c r="M114" s="348"/>
      <c r="N114" s="349"/>
      <c r="O114" s="349"/>
      <c r="P114" s="420"/>
      <c r="Q114" s="36"/>
    </row>
    <row r="115" spans="1:20" ht="15.75" thickBot="1">
      <c r="A115" s="3"/>
      <c r="B115" s="3"/>
      <c r="C115" s="3"/>
      <c r="D115" s="3"/>
      <c r="E115" s="3"/>
      <c r="F115" s="3"/>
      <c r="G115" s="3"/>
      <c r="H115" s="3"/>
      <c r="I115" s="3"/>
      <c r="J115" s="3"/>
      <c r="K115" s="3"/>
      <c r="L115" s="3"/>
      <c r="M115" s="3"/>
      <c r="N115"/>
      <c r="O115"/>
      <c r="P115" s="36"/>
      <c r="Q115" s="36"/>
    </row>
    <row r="116" spans="1:20">
      <c r="A116" s="3"/>
      <c r="B116" s="692" t="s">
        <v>399</v>
      </c>
      <c r="C116" s="693"/>
      <c r="D116" s="694"/>
      <c r="E116" s="332" t="s">
        <v>328</v>
      </c>
      <c r="F116" s="287" t="s">
        <v>345</v>
      </c>
      <c r="G116" s="248"/>
      <c r="H116" s="395" t="s">
        <v>106</v>
      </c>
      <c r="I116" s="395" t="s">
        <v>107</v>
      </c>
      <c r="J116" s="395" t="s">
        <v>108</v>
      </c>
      <c r="K116" s="395" t="s">
        <v>109</v>
      </c>
      <c r="L116" s="395" t="s">
        <v>121</v>
      </c>
      <c r="M116" s="395" t="s">
        <v>122</v>
      </c>
      <c r="N116" s="395" t="s">
        <v>123</v>
      </c>
      <c r="O116" s="395" t="s">
        <v>124</v>
      </c>
      <c r="P116" s="395" t="s">
        <v>125</v>
      </c>
      <c r="Q116" s="395" t="s">
        <v>126</v>
      </c>
      <c r="R116" s="395" t="s">
        <v>127</v>
      </c>
      <c r="S116" s="396" t="s">
        <v>288</v>
      </c>
      <c r="T116" s="64"/>
    </row>
    <row r="117" spans="1:20" ht="1.5" customHeight="1">
      <c r="A117" s="3"/>
      <c r="B117" s="446"/>
      <c r="C117" s="447"/>
      <c r="D117" s="447"/>
      <c r="E117" s="448"/>
      <c r="F117" s="449"/>
      <c r="G117" s="450"/>
      <c r="H117" s="451"/>
      <c r="I117" s="451"/>
      <c r="J117" s="451"/>
      <c r="K117" s="451"/>
      <c r="L117" s="451"/>
      <c r="M117" s="451"/>
      <c r="N117" s="451"/>
      <c r="O117" s="451"/>
      <c r="P117" s="451"/>
      <c r="Q117" s="451"/>
      <c r="R117" s="451"/>
      <c r="S117" s="452"/>
      <c r="T117" s="64"/>
    </row>
    <row r="118" spans="1:20" ht="15" customHeight="1">
      <c r="A118" s="676" t="s">
        <v>376</v>
      </c>
      <c r="B118" s="680" t="s">
        <v>418</v>
      </c>
      <c r="C118" s="681"/>
      <c r="D118" s="682"/>
      <c r="E118" s="603">
        <v>2.1</v>
      </c>
      <c r="F118" s="604" t="s">
        <v>115</v>
      </c>
      <c r="G118" s="249" t="s">
        <v>86</v>
      </c>
      <c r="H118" s="486">
        <v>63</v>
      </c>
      <c r="I118" s="133">
        <v>65</v>
      </c>
      <c r="J118" s="133">
        <v>65</v>
      </c>
      <c r="K118" s="282">
        <v>75</v>
      </c>
      <c r="L118" s="133">
        <v>75</v>
      </c>
      <c r="M118" s="133">
        <v>75</v>
      </c>
      <c r="N118" s="133">
        <v>75</v>
      </c>
      <c r="O118" s="133">
        <v>75</v>
      </c>
      <c r="P118" s="133">
        <v>75</v>
      </c>
      <c r="Q118" s="133"/>
      <c r="R118" s="133"/>
      <c r="S118" s="134"/>
      <c r="T118" s="64"/>
    </row>
    <row r="119" spans="1:20">
      <c r="A119" s="676"/>
      <c r="B119" s="683"/>
      <c r="C119" s="684"/>
      <c r="D119" s="685"/>
      <c r="E119" s="603"/>
      <c r="F119" s="604"/>
      <c r="G119" s="249" t="s">
        <v>87</v>
      </c>
      <c r="H119" s="133">
        <v>113</v>
      </c>
      <c r="I119" s="133">
        <v>108</v>
      </c>
      <c r="J119" s="133">
        <v>63</v>
      </c>
      <c r="K119" s="282">
        <v>66</v>
      </c>
      <c r="L119" s="133">
        <v>82</v>
      </c>
      <c r="M119" s="133">
        <v>82</v>
      </c>
      <c r="N119" s="133"/>
      <c r="O119" s="133"/>
      <c r="P119" s="133"/>
      <c r="Q119" s="133"/>
      <c r="R119" s="133"/>
      <c r="S119" s="134"/>
      <c r="T119" s="64"/>
    </row>
    <row r="120" spans="1:20" ht="15" customHeight="1">
      <c r="A120" s="676"/>
      <c r="B120" s="617" t="s">
        <v>425</v>
      </c>
      <c r="C120" s="618"/>
      <c r="D120" s="619"/>
      <c r="E120" s="607">
        <v>4.2</v>
      </c>
      <c r="F120" s="605" t="s">
        <v>115</v>
      </c>
      <c r="G120" s="457" t="s">
        <v>86</v>
      </c>
      <c r="H120" s="245">
        <v>70</v>
      </c>
      <c r="I120" s="245">
        <v>75</v>
      </c>
      <c r="J120" s="245">
        <v>75</v>
      </c>
      <c r="K120" s="283">
        <v>75</v>
      </c>
      <c r="L120" s="245">
        <v>75</v>
      </c>
      <c r="M120" s="245">
        <v>75</v>
      </c>
      <c r="N120" s="245">
        <v>75</v>
      </c>
      <c r="O120" s="245">
        <v>75</v>
      </c>
      <c r="P120" s="245">
        <v>75</v>
      </c>
      <c r="Q120" s="245"/>
      <c r="R120" s="245"/>
      <c r="S120" s="329"/>
      <c r="T120" s="64"/>
    </row>
    <row r="121" spans="1:20" ht="21" customHeight="1">
      <c r="A121" s="676"/>
      <c r="B121" s="643"/>
      <c r="C121" s="618"/>
      <c r="D121" s="619"/>
      <c r="E121" s="607"/>
      <c r="F121" s="606"/>
      <c r="G121" s="457" t="s">
        <v>87</v>
      </c>
      <c r="H121" s="245">
        <v>69</v>
      </c>
      <c r="I121" s="245">
        <v>70</v>
      </c>
      <c r="J121" s="330">
        <v>72</v>
      </c>
      <c r="K121" s="331">
        <v>73</v>
      </c>
      <c r="L121" s="330">
        <v>80</v>
      </c>
      <c r="M121" s="330">
        <v>70</v>
      </c>
      <c r="N121" s="330"/>
      <c r="O121" s="330"/>
      <c r="P121" s="245"/>
      <c r="Q121" s="245"/>
      <c r="R121" s="245"/>
      <c r="S121" s="329"/>
      <c r="T121" s="64"/>
    </row>
    <row r="122" spans="1:20" ht="15" customHeight="1">
      <c r="A122" s="676"/>
      <c r="B122" s="689" t="s">
        <v>426</v>
      </c>
      <c r="C122" s="684"/>
      <c r="D122" s="685"/>
      <c r="E122" s="603">
        <v>3.1</v>
      </c>
      <c r="F122" s="646" t="s">
        <v>115</v>
      </c>
      <c r="G122" s="249" t="s">
        <v>86</v>
      </c>
      <c r="H122" s="133">
        <v>1018</v>
      </c>
      <c r="I122" s="133">
        <v>1018</v>
      </c>
      <c r="J122" s="133">
        <v>1017</v>
      </c>
      <c r="K122" s="133">
        <v>1016</v>
      </c>
      <c r="L122" s="133">
        <v>2032</v>
      </c>
      <c r="M122" s="133">
        <v>1016</v>
      </c>
      <c r="N122" s="133">
        <v>1015</v>
      </c>
      <c r="O122" s="133">
        <v>1014</v>
      </c>
      <c r="P122" s="133">
        <v>1014</v>
      </c>
      <c r="Q122" s="133"/>
      <c r="R122" s="133"/>
      <c r="S122" s="134"/>
      <c r="T122" s="64"/>
    </row>
    <row r="123" spans="1:20" ht="26.25" customHeight="1">
      <c r="A123" s="676"/>
      <c r="B123" s="683"/>
      <c r="C123" s="684"/>
      <c r="D123" s="685"/>
      <c r="E123" s="603"/>
      <c r="F123" s="647"/>
      <c r="G123" s="249" t="s">
        <v>87</v>
      </c>
      <c r="H123" s="133">
        <v>702</v>
      </c>
      <c r="I123" s="133">
        <v>646</v>
      </c>
      <c r="J123" s="133">
        <v>784</v>
      </c>
      <c r="K123" s="133">
        <v>757</v>
      </c>
      <c r="L123" s="133">
        <v>1676</v>
      </c>
      <c r="M123" s="133">
        <v>701</v>
      </c>
      <c r="N123" s="133"/>
      <c r="O123" s="133"/>
      <c r="P123" s="133"/>
      <c r="Q123" s="133"/>
      <c r="R123" s="133"/>
      <c r="S123" s="134"/>
      <c r="T123" s="64"/>
    </row>
    <row r="124" spans="1:20" ht="15" customHeight="1">
      <c r="A124" s="3"/>
      <c r="B124" s="617" t="s">
        <v>427</v>
      </c>
      <c r="C124" s="618"/>
      <c r="D124" s="619"/>
      <c r="E124" s="607">
        <v>2.2999999999999998</v>
      </c>
      <c r="F124" s="655" t="s">
        <v>115</v>
      </c>
      <c r="G124" s="457" t="s">
        <v>86</v>
      </c>
      <c r="H124" s="330">
        <v>91</v>
      </c>
      <c r="I124" s="245">
        <v>91</v>
      </c>
      <c r="J124" s="245">
        <v>91</v>
      </c>
      <c r="K124" s="283">
        <v>91</v>
      </c>
      <c r="L124" s="245">
        <v>100</v>
      </c>
      <c r="M124" s="245">
        <v>100</v>
      </c>
      <c r="N124" s="245">
        <v>100</v>
      </c>
      <c r="O124" s="245">
        <v>100</v>
      </c>
      <c r="P124" s="245">
        <v>91</v>
      </c>
      <c r="Q124" s="245"/>
      <c r="R124" s="245"/>
      <c r="S124" s="329"/>
      <c r="T124" s="64"/>
    </row>
    <row r="125" spans="1:20" ht="25.5" customHeight="1">
      <c r="A125" s="3"/>
      <c r="B125" s="643"/>
      <c r="C125" s="618"/>
      <c r="D125" s="619"/>
      <c r="E125" s="607"/>
      <c r="F125" s="606"/>
      <c r="G125" s="457" t="s">
        <v>87</v>
      </c>
      <c r="H125" s="330">
        <v>91</v>
      </c>
      <c r="I125" s="245">
        <v>80</v>
      </c>
      <c r="J125" s="245">
        <v>82</v>
      </c>
      <c r="K125" s="283">
        <v>91</v>
      </c>
      <c r="L125" s="245">
        <v>91</v>
      </c>
      <c r="M125" s="245">
        <v>91</v>
      </c>
      <c r="N125" s="245"/>
      <c r="O125" s="245"/>
      <c r="P125" s="245"/>
      <c r="Q125" s="245"/>
      <c r="R125" s="245"/>
      <c r="S125" s="329"/>
      <c r="T125" s="64"/>
    </row>
    <row r="126" spans="1:20" ht="15" customHeight="1">
      <c r="A126" s="3"/>
      <c r="B126" s="633" t="s">
        <v>419</v>
      </c>
      <c r="C126" s="634"/>
      <c r="D126" s="635"/>
      <c r="E126" s="603">
        <v>3.2</v>
      </c>
      <c r="F126" s="646" t="s">
        <v>115</v>
      </c>
      <c r="G126" s="458" t="s">
        <v>86</v>
      </c>
      <c r="H126" s="459">
        <v>529</v>
      </c>
      <c r="I126" s="459">
        <v>529</v>
      </c>
      <c r="J126" s="459">
        <v>529</v>
      </c>
      <c r="K126" s="460">
        <v>604</v>
      </c>
      <c r="L126" s="459">
        <v>1122</v>
      </c>
      <c r="M126" s="459">
        <v>604</v>
      </c>
      <c r="N126" s="459">
        <v>605</v>
      </c>
      <c r="O126" s="459">
        <v>603</v>
      </c>
      <c r="P126" s="459">
        <v>603</v>
      </c>
      <c r="Q126" s="459"/>
      <c r="R126" s="459"/>
      <c r="S126" s="461"/>
      <c r="T126" s="64"/>
    </row>
    <row r="127" spans="1:20">
      <c r="A127" s="3"/>
      <c r="B127" s="636"/>
      <c r="C127" s="634"/>
      <c r="D127" s="635"/>
      <c r="E127" s="603"/>
      <c r="F127" s="647"/>
      <c r="G127" s="458" t="s">
        <v>87</v>
      </c>
      <c r="H127" s="459">
        <v>402</v>
      </c>
      <c r="I127" s="459">
        <v>403</v>
      </c>
      <c r="J127" s="459">
        <v>369</v>
      </c>
      <c r="K127" s="460">
        <v>386</v>
      </c>
      <c r="L127" s="459">
        <v>937</v>
      </c>
      <c r="M127" s="459">
        <v>409</v>
      </c>
      <c r="N127" s="459"/>
      <c r="O127" s="459"/>
      <c r="P127" s="459"/>
      <c r="Q127" s="459"/>
      <c r="R127" s="459"/>
      <c r="S127" s="461"/>
      <c r="T127" s="64"/>
    </row>
    <row r="128" spans="1:20" ht="15" customHeight="1">
      <c r="A128" s="3"/>
      <c r="B128" s="617" t="s">
        <v>420</v>
      </c>
      <c r="C128" s="618"/>
      <c r="D128" s="619"/>
      <c r="E128" s="607">
        <v>3.3</v>
      </c>
      <c r="F128" s="655" t="s">
        <v>115</v>
      </c>
      <c r="G128" s="457" t="s">
        <v>86</v>
      </c>
      <c r="H128" s="330">
        <v>1109</v>
      </c>
      <c r="I128" s="330">
        <v>1109</v>
      </c>
      <c r="J128" s="330">
        <v>1109</v>
      </c>
      <c r="K128" s="331">
        <v>1106</v>
      </c>
      <c r="L128" s="330">
        <v>2212</v>
      </c>
      <c r="M128" s="330">
        <v>1106</v>
      </c>
      <c r="N128" s="330">
        <v>1105</v>
      </c>
      <c r="O128" s="330">
        <v>1103</v>
      </c>
      <c r="P128" s="330">
        <v>1102</v>
      </c>
      <c r="Q128" s="330"/>
      <c r="R128" s="330"/>
      <c r="S128" s="462"/>
      <c r="T128" s="64"/>
    </row>
    <row r="129" spans="1:21">
      <c r="A129" s="3"/>
      <c r="B129" s="643"/>
      <c r="C129" s="618"/>
      <c r="D129" s="619"/>
      <c r="E129" s="607"/>
      <c r="F129" s="606"/>
      <c r="G129" s="457" t="s">
        <v>87</v>
      </c>
      <c r="H129" s="330">
        <v>901</v>
      </c>
      <c r="I129" s="245">
        <v>804</v>
      </c>
      <c r="J129" s="245">
        <v>944</v>
      </c>
      <c r="K129" s="283">
        <v>857</v>
      </c>
      <c r="L129" s="245">
        <v>1816</v>
      </c>
      <c r="M129" s="245">
        <v>740</v>
      </c>
      <c r="N129" s="245"/>
      <c r="O129" s="245"/>
      <c r="P129" s="330"/>
      <c r="Q129" s="330"/>
      <c r="R129" s="330"/>
      <c r="S129" s="462"/>
      <c r="T129" s="64"/>
    </row>
    <row r="130" spans="1:21">
      <c r="A130" s="3"/>
      <c r="B130" s="633" t="s">
        <v>421</v>
      </c>
      <c r="C130" s="634"/>
      <c r="D130" s="635"/>
      <c r="E130" s="603">
        <v>3.4</v>
      </c>
      <c r="F130" s="604" t="s">
        <v>115</v>
      </c>
      <c r="G130" s="458" t="s">
        <v>86</v>
      </c>
      <c r="H130" s="459">
        <v>130</v>
      </c>
      <c r="I130" s="459">
        <v>130</v>
      </c>
      <c r="J130" s="459">
        <v>130</v>
      </c>
      <c r="K130" s="460">
        <v>130</v>
      </c>
      <c r="L130" s="459">
        <v>260</v>
      </c>
      <c r="M130" s="459">
        <v>130</v>
      </c>
      <c r="N130" s="459">
        <v>129</v>
      </c>
      <c r="O130" s="459">
        <v>129</v>
      </c>
      <c r="P130" s="459">
        <v>129</v>
      </c>
      <c r="Q130" s="459"/>
      <c r="R130" s="459"/>
      <c r="S130" s="461"/>
      <c r="T130" s="64"/>
    </row>
    <row r="131" spans="1:21">
      <c r="A131" s="3"/>
      <c r="B131" s="636"/>
      <c r="C131" s="634"/>
      <c r="D131" s="635"/>
      <c r="E131" s="603"/>
      <c r="F131" s="604"/>
      <c r="G131" s="458" t="s">
        <v>87</v>
      </c>
      <c r="H131" s="459">
        <v>133</v>
      </c>
      <c r="I131" s="459">
        <v>132</v>
      </c>
      <c r="J131" s="459">
        <v>134</v>
      </c>
      <c r="K131" s="460">
        <v>105</v>
      </c>
      <c r="L131" s="459">
        <v>224</v>
      </c>
      <c r="M131" s="459">
        <v>106</v>
      </c>
      <c r="N131" s="459"/>
      <c r="O131" s="459"/>
      <c r="P131" s="459"/>
      <c r="Q131" s="459"/>
      <c r="R131" s="459"/>
      <c r="S131" s="461"/>
      <c r="T131" s="64"/>
    </row>
    <row r="132" spans="1:21" ht="14.25" customHeight="1">
      <c r="A132" s="3"/>
      <c r="B132" s="617" t="s">
        <v>422</v>
      </c>
      <c r="C132" s="618"/>
      <c r="D132" s="619"/>
      <c r="E132" s="607">
        <v>3.5</v>
      </c>
      <c r="F132" s="631" t="s">
        <v>115</v>
      </c>
      <c r="G132" s="457" t="s">
        <v>86</v>
      </c>
      <c r="H132" s="330">
        <v>95</v>
      </c>
      <c r="I132" s="330">
        <v>95</v>
      </c>
      <c r="J132" s="330">
        <v>95</v>
      </c>
      <c r="K132" s="330">
        <v>95</v>
      </c>
      <c r="L132" s="330">
        <v>95</v>
      </c>
      <c r="M132" s="330">
        <v>95</v>
      </c>
      <c r="N132" s="330">
        <v>95</v>
      </c>
      <c r="O132" s="330">
        <v>100</v>
      </c>
      <c r="P132" s="330">
        <v>100</v>
      </c>
      <c r="Q132" s="330"/>
      <c r="R132" s="330"/>
      <c r="S132" s="462"/>
      <c r="T132" s="64"/>
    </row>
    <row r="133" spans="1:21">
      <c r="A133" s="3"/>
      <c r="B133" s="643"/>
      <c r="C133" s="618"/>
      <c r="D133" s="619"/>
      <c r="E133" s="607"/>
      <c r="F133" s="631"/>
      <c r="G133" s="457" t="s">
        <v>87</v>
      </c>
      <c r="H133" s="330">
        <v>98</v>
      </c>
      <c r="I133" s="330">
        <v>92</v>
      </c>
      <c r="J133" s="330">
        <v>88</v>
      </c>
      <c r="K133" s="330">
        <v>94</v>
      </c>
      <c r="L133" s="330">
        <v>90</v>
      </c>
      <c r="M133" s="330">
        <v>90</v>
      </c>
      <c r="N133" s="330"/>
      <c r="O133" s="330"/>
      <c r="P133" s="330"/>
      <c r="Q133" s="330"/>
      <c r="R133" s="330"/>
      <c r="S133" s="462"/>
      <c r="T133" s="64"/>
    </row>
    <row r="134" spans="1:21" ht="14.25" customHeight="1">
      <c r="A134" s="3"/>
      <c r="B134" s="633" t="s">
        <v>423</v>
      </c>
      <c r="C134" s="634"/>
      <c r="D134" s="635"/>
      <c r="E134" s="603">
        <v>3.6</v>
      </c>
      <c r="F134" s="629" t="s">
        <v>115</v>
      </c>
      <c r="G134" s="458" t="s">
        <v>86</v>
      </c>
      <c r="H134" s="459">
        <v>12</v>
      </c>
      <c r="I134" s="459">
        <v>6</v>
      </c>
      <c r="J134" s="459">
        <v>9</v>
      </c>
      <c r="K134" s="459">
        <v>9</v>
      </c>
      <c r="L134" s="459">
        <v>8</v>
      </c>
      <c r="M134" s="459">
        <v>10</v>
      </c>
      <c r="N134" s="459">
        <v>10</v>
      </c>
      <c r="O134" s="459">
        <v>10</v>
      </c>
      <c r="P134" s="459">
        <v>10</v>
      </c>
      <c r="Q134" s="459"/>
      <c r="R134" s="459"/>
      <c r="S134" s="461"/>
      <c r="T134" s="64"/>
    </row>
    <row r="135" spans="1:21">
      <c r="A135" s="3"/>
      <c r="B135" s="636"/>
      <c r="C135" s="634"/>
      <c r="D135" s="635"/>
      <c r="E135" s="603"/>
      <c r="F135" s="629"/>
      <c r="G135" s="458" t="s">
        <v>87</v>
      </c>
      <c r="H135" s="459">
        <v>11</v>
      </c>
      <c r="I135" s="459">
        <v>11</v>
      </c>
      <c r="J135" s="459">
        <v>11</v>
      </c>
      <c r="K135" s="459">
        <v>11</v>
      </c>
      <c r="L135" s="459">
        <v>11</v>
      </c>
      <c r="M135" s="459">
        <v>10</v>
      </c>
      <c r="N135" s="459"/>
      <c r="O135" s="459"/>
      <c r="P135" s="459"/>
      <c r="Q135" s="459"/>
      <c r="R135" s="459"/>
      <c r="S135" s="461"/>
      <c r="T135" s="64"/>
    </row>
    <row r="136" spans="1:21" ht="14.25" customHeight="1">
      <c r="A136" s="3"/>
      <c r="B136" s="617" t="s">
        <v>424</v>
      </c>
      <c r="C136" s="618"/>
      <c r="D136" s="619"/>
      <c r="E136" s="607">
        <v>4.0999999999999996</v>
      </c>
      <c r="F136" s="631" t="s">
        <v>115</v>
      </c>
      <c r="G136" s="457" t="s">
        <v>86</v>
      </c>
      <c r="H136" s="330">
        <v>70</v>
      </c>
      <c r="I136" s="330">
        <v>70</v>
      </c>
      <c r="J136" s="330">
        <v>70</v>
      </c>
      <c r="K136" s="330">
        <v>70</v>
      </c>
      <c r="L136" s="330">
        <v>70</v>
      </c>
      <c r="M136" s="330">
        <v>70</v>
      </c>
      <c r="N136" s="330">
        <v>70</v>
      </c>
      <c r="O136" s="330">
        <v>70</v>
      </c>
      <c r="P136" s="330">
        <v>70</v>
      </c>
      <c r="Q136" s="330"/>
      <c r="R136" s="330"/>
      <c r="S136" s="462"/>
      <c r="T136" s="64"/>
    </row>
    <row r="137" spans="1:21" ht="15.75" thickBot="1">
      <c r="A137" s="3"/>
      <c r="B137" s="620"/>
      <c r="C137" s="621"/>
      <c r="D137" s="622"/>
      <c r="E137" s="630"/>
      <c r="F137" s="632"/>
      <c r="G137" s="463" t="s">
        <v>87</v>
      </c>
      <c r="H137" s="464">
        <v>0</v>
      </c>
      <c r="I137" s="464">
        <v>65</v>
      </c>
      <c r="J137" s="464">
        <v>69</v>
      </c>
      <c r="K137" s="464">
        <v>80</v>
      </c>
      <c r="L137" s="464">
        <v>83</v>
      </c>
      <c r="M137" s="464">
        <v>82</v>
      </c>
      <c r="N137" s="464"/>
      <c r="O137" s="464"/>
      <c r="P137" s="464"/>
      <c r="Q137" s="464"/>
      <c r="R137" s="464"/>
      <c r="S137" s="465"/>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34"/>
      <c r="C141" s="3"/>
      <c r="D141" s="3"/>
      <c r="E141" s="3"/>
      <c r="F141" s="3"/>
      <c r="G141" s="2"/>
      <c r="H141" s="3"/>
      <c r="I141" s="3"/>
      <c r="J141" s="3"/>
      <c r="K141" s="3"/>
      <c r="L141" s="3"/>
      <c r="M141" s="3"/>
      <c r="N141" s="3"/>
      <c r="O141" s="3"/>
      <c r="R141" s="36"/>
      <c r="S141" s="36"/>
    </row>
    <row r="142" spans="1:21" ht="15.75" thickBot="1">
      <c r="A142" s="3"/>
      <c r="B142" s="3" t="s">
        <v>407</v>
      </c>
      <c r="C142" s="3"/>
      <c r="D142" s="3"/>
      <c r="E142" s="332" t="s">
        <v>328</v>
      </c>
      <c r="F142" s="287" t="s">
        <v>345</v>
      </c>
      <c r="G142" s="248"/>
      <c r="H142" s="395" t="str">
        <f t="shared" ref="H142:S142" si="6">C30</f>
        <v>P1</v>
      </c>
      <c r="I142" s="395" t="str">
        <f t="shared" si="6"/>
        <v>P2</v>
      </c>
      <c r="J142" s="395" t="str">
        <f t="shared" si="6"/>
        <v>P3</v>
      </c>
      <c r="K142" s="395" t="str">
        <f t="shared" si="6"/>
        <v>P4</v>
      </c>
      <c r="L142" s="395" t="str">
        <f t="shared" si="6"/>
        <v>P5</v>
      </c>
      <c r="M142" s="395" t="str">
        <f t="shared" si="6"/>
        <v>P6</v>
      </c>
      <c r="N142" s="395" t="str">
        <f t="shared" si="6"/>
        <v>P7</v>
      </c>
      <c r="O142" s="395" t="str">
        <f t="shared" si="6"/>
        <v>P8</v>
      </c>
      <c r="P142" s="395" t="str">
        <f t="shared" si="6"/>
        <v>P9</v>
      </c>
      <c r="Q142" s="395" t="str">
        <f t="shared" si="6"/>
        <v>P10</v>
      </c>
      <c r="R142" s="395" t="str">
        <f t="shared" si="6"/>
        <v>P11</v>
      </c>
      <c r="S142" s="396" t="str">
        <f t="shared" si="6"/>
        <v>P12</v>
      </c>
      <c r="T142" s="36"/>
      <c r="U142" s="36"/>
    </row>
    <row r="143" spans="1:21">
      <c r="A143" s="3"/>
      <c r="B143" s="637" t="str">
        <f>IF(ISBLANK(B118),"",(B118))</f>
        <v xml:space="preserve">Percentage of TB patients who had an HIV test result recorded in the TB register </v>
      </c>
      <c r="C143" s="638"/>
      <c r="D143" s="639"/>
      <c r="E143" s="625">
        <f>IF(ISBLANK(E118),"",(E118))</f>
        <v>2.1</v>
      </c>
      <c r="F143" s="627" t="str">
        <f>IF(ISBLANK(F118),"",(F118))</f>
        <v>Yes</v>
      </c>
      <c r="G143" s="360" t="s">
        <v>86</v>
      </c>
      <c r="H143" s="428">
        <f t="shared" ref="H143:S143" si="7">H118</f>
        <v>63</v>
      </c>
      <c r="I143" s="428">
        <f t="shared" si="7"/>
        <v>65</v>
      </c>
      <c r="J143" s="428">
        <f t="shared" si="7"/>
        <v>65</v>
      </c>
      <c r="K143" s="428">
        <f t="shared" si="7"/>
        <v>75</v>
      </c>
      <c r="L143" s="428">
        <f t="shared" si="7"/>
        <v>75</v>
      </c>
      <c r="M143" s="428">
        <f t="shared" si="7"/>
        <v>75</v>
      </c>
      <c r="N143" s="428">
        <f t="shared" si="7"/>
        <v>75</v>
      </c>
      <c r="O143" s="428">
        <f t="shared" si="7"/>
        <v>75</v>
      </c>
      <c r="P143" s="428">
        <f t="shared" si="7"/>
        <v>75</v>
      </c>
      <c r="Q143" s="428">
        <f t="shared" si="7"/>
        <v>0</v>
      </c>
      <c r="R143" s="428">
        <f t="shared" si="7"/>
        <v>0</v>
      </c>
      <c r="S143" s="481">
        <f t="shared" si="7"/>
        <v>0</v>
      </c>
      <c r="T143" s="36"/>
      <c r="U143" s="36"/>
    </row>
    <row r="144" spans="1:21">
      <c r="A144" s="3"/>
      <c r="B144" s="640"/>
      <c r="C144" s="641"/>
      <c r="D144" s="642"/>
      <c r="E144" s="625"/>
      <c r="F144" s="627"/>
      <c r="G144" s="131" t="s">
        <v>87</v>
      </c>
      <c r="H144" s="428">
        <f t="shared" ref="H144:K148" si="8">H119</f>
        <v>113</v>
      </c>
      <c r="I144" s="428">
        <f t="shared" si="8"/>
        <v>108</v>
      </c>
      <c r="J144" s="428">
        <f t="shared" si="8"/>
        <v>63</v>
      </c>
      <c r="K144" s="428">
        <f t="shared" si="8"/>
        <v>66</v>
      </c>
      <c r="L144" s="428">
        <f t="shared" ref="L144:S144" si="9">L119</f>
        <v>82</v>
      </c>
      <c r="M144" s="428">
        <f t="shared" si="9"/>
        <v>82</v>
      </c>
      <c r="N144" s="428">
        <f t="shared" si="9"/>
        <v>0</v>
      </c>
      <c r="O144" s="428">
        <f t="shared" si="9"/>
        <v>0</v>
      </c>
      <c r="P144" s="428">
        <f t="shared" si="9"/>
        <v>0</v>
      </c>
      <c r="Q144" s="428">
        <f t="shared" si="9"/>
        <v>0</v>
      </c>
      <c r="R144" s="428">
        <f t="shared" si="9"/>
        <v>0</v>
      </c>
      <c r="S144" s="481">
        <f t="shared" si="9"/>
        <v>0</v>
      </c>
      <c r="T144" s="36"/>
      <c r="U144" s="36"/>
    </row>
    <row r="145" spans="1:21">
      <c r="A145" s="3"/>
      <c r="B145" s="659" t="str">
        <f>IF(ISBLANK(B120),"",(B120))</f>
        <v>Number and percentage of M/XDR-TB patients on treatment receiving cash incentives for better adherence to treatment during out-patient phase</v>
      </c>
      <c r="C145" s="660"/>
      <c r="D145" s="661"/>
      <c r="E145" s="623">
        <f>IF(ISBLANK(E120),"",(E120))</f>
        <v>4.2</v>
      </c>
      <c r="F145" s="624" t="str">
        <f>IF(ISBLANK(F120),"",(F120))</f>
        <v>Yes</v>
      </c>
      <c r="G145" s="466" t="s">
        <v>86</v>
      </c>
      <c r="H145" s="467">
        <f t="shared" si="8"/>
        <v>70</v>
      </c>
      <c r="I145" s="467">
        <f>I120</f>
        <v>75</v>
      </c>
      <c r="J145" s="467">
        <f t="shared" si="8"/>
        <v>75</v>
      </c>
      <c r="K145" s="467">
        <f>K120</f>
        <v>75</v>
      </c>
      <c r="L145" s="467">
        <f t="shared" ref="L145:S145" si="10">L120</f>
        <v>75</v>
      </c>
      <c r="M145" s="467">
        <f t="shared" si="10"/>
        <v>75</v>
      </c>
      <c r="N145" s="467">
        <f t="shared" si="10"/>
        <v>75</v>
      </c>
      <c r="O145" s="467">
        <f t="shared" si="10"/>
        <v>75</v>
      </c>
      <c r="P145" s="467">
        <f t="shared" si="10"/>
        <v>75</v>
      </c>
      <c r="Q145" s="467">
        <f t="shared" si="10"/>
        <v>0</v>
      </c>
      <c r="R145" s="467">
        <f t="shared" si="10"/>
        <v>0</v>
      </c>
      <c r="S145" s="482">
        <f t="shared" si="10"/>
        <v>0</v>
      </c>
      <c r="T145" s="36"/>
      <c r="U145" s="36"/>
    </row>
    <row r="146" spans="1:21">
      <c r="A146" s="3"/>
      <c r="B146" s="659"/>
      <c r="C146" s="660"/>
      <c r="D146" s="661"/>
      <c r="E146" s="623"/>
      <c r="F146" s="624"/>
      <c r="G146" s="466" t="s">
        <v>87</v>
      </c>
      <c r="H146" s="467">
        <f t="shared" si="8"/>
        <v>69</v>
      </c>
      <c r="I146" s="467">
        <f t="shared" si="8"/>
        <v>70</v>
      </c>
      <c r="J146" s="467">
        <f t="shared" si="8"/>
        <v>72</v>
      </c>
      <c r="K146" s="467">
        <f t="shared" si="8"/>
        <v>73</v>
      </c>
      <c r="L146" s="467">
        <f t="shared" ref="L146:S146" si="11">L121</f>
        <v>80</v>
      </c>
      <c r="M146" s="467">
        <f t="shared" si="11"/>
        <v>70</v>
      </c>
      <c r="N146" s="467">
        <f t="shared" si="11"/>
        <v>0</v>
      </c>
      <c r="O146" s="467">
        <f t="shared" si="11"/>
        <v>0</v>
      </c>
      <c r="P146" s="467">
        <f t="shared" si="11"/>
        <v>0</v>
      </c>
      <c r="Q146" s="467">
        <f t="shared" si="11"/>
        <v>0</v>
      </c>
      <c r="R146" s="467">
        <f t="shared" si="11"/>
        <v>0</v>
      </c>
      <c r="S146" s="482">
        <f t="shared" si="11"/>
        <v>0</v>
      </c>
      <c r="T146" s="36"/>
      <c r="U146" s="36"/>
    </row>
    <row r="147" spans="1:21">
      <c r="A147" s="3"/>
      <c r="B147" s="611" t="str">
        <f>IF(ISBLANK(B122),"",(B122))</f>
        <v xml:space="preserve">
Number of notified cases of all forms of TB - (i.e. bacteriologically confirmed +clinically diagnosed) (new and relapse)
</v>
      </c>
      <c r="C147" s="612"/>
      <c r="D147" s="613"/>
      <c r="E147" s="625">
        <f>IF(ISBLANK(E122),"",(E122))</f>
        <v>3.1</v>
      </c>
      <c r="F147" s="627" t="str">
        <f>IF(ISBLANK(F122),"",(F122))</f>
        <v>Yes</v>
      </c>
      <c r="G147" s="131" t="s">
        <v>86</v>
      </c>
      <c r="H147" s="428">
        <f t="shared" si="8"/>
        <v>1018</v>
      </c>
      <c r="I147" s="428">
        <f t="shared" si="8"/>
        <v>1018</v>
      </c>
      <c r="J147" s="428">
        <f t="shared" si="8"/>
        <v>1017</v>
      </c>
      <c r="K147" s="428">
        <f t="shared" si="8"/>
        <v>1016</v>
      </c>
      <c r="L147" s="428">
        <f t="shared" ref="L147:S147" si="12">L122</f>
        <v>2032</v>
      </c>
      <c r="M147" s="428">
        <f t="shared" si="12"/>
        <v>1016</v>
      </c>
      <c r="N147" s="428">
        <f t="shared" si="12"/>
        <v>1015</v>
      </c>
      <c r="O147" s="428">
        <f t="shared" si="12"/>
        <v>1014</v>
      </c>
      <c r="P147" s="428">
        <f t="shared" si="12"/>
        <v>1014</v>
      </c>
      <c r="Q147" s="428">
        <f t="shared" si="12"/>
        <v>0</v>
      </c>
      <c r="R147" s="428">
        <f t="shared" si="12"/>
        <v>0</v>
      </c>
      <c r="S147" s="481">
        <f t="shared" si="12"/>
        <v>0</v>
      </c>
      <c r="T147" s="36"/>
      <c r="U147" s="36"/>
    </row>
    <row r="148" spans="1:21" ht="15.75" thickBot="1">
      <c r="A148" s="3"/>
      <c r="B148" s="614"/>
      <c r="C148" s="615"/>
      <c r="D148" s="616"/>
      <c r="E148" s="626"/>
      <c r="F148" s="628"/>
      <c r="G148" s="132" t="s">
        <v>87</v>
      </c>
      <c r="H148" s="429">
        <f t="shared" si="8"/>
        <v>702</v>
      </c>
      <c r="I148" s="429">
        <f t="shared" si="8"/>
        <v>646</v>
      </c>
      <c r="J148" s="429">
        <f t="shared" si="8"/>
        <v>784</v>
      </c>
      <c r="K148" s="429">
        <f t="shared" si="8"/>
        <v>757</v>
      </c>
      <c r="L148" s="429">
        <f t="shared" ref="L148:S148" si="13">L123</f>
        <v>1676</v>
      </c>
      <c r="M148" s="429">
        <f t="shared" si="13"/>
        <v>701</v>
      </c>
      <c r="N148" s="429">
        <f t="shared" si="13"/>
        <v>0</v>
      </c>
      <c r="O148" s="429">
        <f t="shared" si="13"/>
        <v>0</v>
      </c>
      <c r="P148" s="429">
        <f t="shared" si="13"/>
        <v>0</v>
      </c>
      <c r="Q148" s="429">
        <f t="shared" si="13"/>
        <v>0</v>
      </c>
      <c r="R148" s="429">
        <f t="shared" si="13"/>
        <v>0</v>
      </c>
      <c r="S148" s="483">
        <f t="shared" si="13"/>
        <v>0</v>
      </c>
      <c r="T148" s="36"/>
      <c r="U148" s="36"/>
    </row>
    <row r="149" spans="1:21">
      <c r="A149" s="3"/>
      <c r="B149" s="3"/>
      <c r="C149" s="3"/>
      <c r="D149" s="3"/>
      <c r="E149" s="3"/>
      <c r="F149" s="3"/>
      <c r="G149" s="3"/>
      <c r="H149" s="3"/>
      <c r="I149" s="3"/>
      <c r="J149" s="3"/>
      <c r="K149" s="3"/>
      <c r="L149" s="3"/>
      <c r="M149" s="3"/>
      <c r="N149"/>
      <c r="O149"/>
      <c r="P149" s="36"/>
      <c r="Q149" s="36"/>
      <c r="S149" s="468"/>
    </row>
    <row r="150" spans="1:21">
      <c r="N150"/>
      <c r="O150"/>
      <c r="P150" s="36"/>
      <c r="Q150" s="36"/>
    </row>
    <row r="151" spans="1:21">
      <c r="N151"/>
      <c r="O151"/>
      <c r="P151" s="36"/>
      <c r="Q151" s="36"/>
    </row>
    <row r="152" spans="1:21">
      <c r="N152"/>
      <c r="O152"/>
      <c r="P152" s="36"/>
      <c r="Q152" s="36"/>
    </row>
  </sheetData>
  <mergeCells count="73">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 ref="B2:J2"/>
    <mergeCell ref="C4:D4"/>
    <mergeCell ref="E4:F4"/>
    <mergeCell ref="G4:J4"/>
    <mergeCell ref="H16:I16"/>
    <mergeCell ref="C6:D6"/>
    <mergeCell ref="E6:F6"/>
    <mergeCell ref="I6:J6"/>
    <mergeCell ref="G12:J12"/>
    <mergeCell ref="G10:J10"/>
    <mergeCell ref="B18:C18"/>
    <mergeCell ref="E10:F10"/>
    <mergeCell ref="I8:J8"/>
    <mergeCell ref="C10:D10"/>
    <mergeCell ref="E12:F12"/>
    <mergeCell ref="C8:D8"/>
    <mergeCell ref="B14:J14"/>
    <mergeCell ref="B145:D146"/>
    <mergeCell ref="B128:D129"/>
    <mergeCell ref="B130:D131"/>
    <mergeCell ref="B132:D133"/>
    <mergeCell ref="B134:D135"/>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O31:O34"/>
    <mergeCell ref="E118:E119"/>
    <mergeCell ref="F118:F119"/>
    <mergeCell ref="F120:F121"/>
    <mergeCell ref="E120:E121"/>
    <mergeCell ref="F47:I47"/>
  </mergeCells>
  <phoneticPr fontId="30" type="noConversion"/>
  <conditionalFormatting sqref="B34 B32 C33:N33 C31:C32 F32:H32">
    <cfRule type="expression" dxfId="41" priority="2" stopIfTrue="1">
      <formula>+AND(#REF!&gt;=#REF!,#REF!&lt;=#REF!)</formula>
    </cfRule>
  </conditionalFormatting>
  <conditionalFormatting sqref="C34:N34">
    <cfRule type="expression" dxfId="40" priority="3" stopIfTrue="1">
      <formula>+AND(#REF!&gt;=#REF!,#REF!&lt;=#REF!)</formula>
    </cfRule>
  </conditionalFormatting>
  <conditionalFormatting sqref="C30:N30 C94:N94">
    <cfRule type="cellIs" dxfId="39" priority="6" stopIfTrue="1" operator="equal">
      <formula>$C$16</formula>
    </cfRule>
  </conditionalFormatting>
  <conditionalFormatting sqref="C12:D12">
    <cfRule type="cellIs" dxfId="38" priority="8" stopIfTrue="1" operator="equal">
      <formula>"C"</formula>
    </cfRule>
    <cfRule type="cellIs" dxfId="37" priority="9" stopIfTrue="1" operator="equal">
      <formula>"B2"</formula>
    </cfRule>
    <cfRule type="cellIs" dxfId="36" priority="10" stopIfTrue="1" operator="equal">
      <formula>"B1"</formula>
    </cfRule>
  </conditionalFormatting>
  <conditionalFormatting sqref="H116:S117 H142:S142">
    <cfRule type="cellIs" dxfId="35" priority="17" stopIfTrue="1" operator="equal">
      <formula>$C$16</formula>
    </cfRule>
  </conditionalFormatting>
  <conditionalFormatting sqref="F47:I47">
    <cfRule type="expression" dxfId="34" priority="18" stopIfTrue="1">
      <formula>LEFT($F$47,2)="OK"</formula>
    </cfRule>
  </conditionalFormatting>
  <conditionalFormatting sqref="D32:E32">
    <cfRule type="expression" dxfId="33"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77" orientation="landscape"/>
  <headerFooter>
    <oddFooter>&amp;L&amp;F&amp;C&amp;A&amp;RV1.0          &amp;D</oddFooter>
  </headerFooter>
  <rowBreaks count="3" manualBreakCount="3">
    <brk id="27" max="16383" man="1"/>
    <brk id="65" max="16383" man="1"/>
    <brk id="67" max="16383" man="1"/>
  </rowBreaks>
  <ignoredErrors>
    <ignoredError sqref="H142:S142 E143 D32:E32 E97 E90 F96 C31:G31 D39:D43 C39:C43 C52:C55 H96" unlockedFormula="1"/>
  </ignoredErrors>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B13" sqref="B13:D13"/>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7"/>
      <c r="H1" s="2"/>
      <c r="I1" s="2"/>
      <c r="J1" s="2"/>
    </row>
    <row r="2" spans="1:24" ht="25.5" customHeight="1"/>
    <row r="3" spans="1:24" ht="36">
      <c r="B3" s="700" t="str">
        <f>+"Dashboard: "&amp;" "&amp;+IF('Data Entry'!C4="Please Select","",'Data Entry'!C4&amp;" - ")&amp;+IF('Data Entry'!G6="Please Select","",'Data Entry'!G6)</f>
        <v>Dashboard:  Georgia - TB</v>
      </c>
      <c r="C3" s="700"/>
      <c r="D3" s="700"/>
      <c r="E3" s="700"/>
      <c r="F3" s="700"/>
      <c r="G3" s="700"/>
      <c r="H3" s="700"/>
      <c r="I3" s="700"/>
      <c r="J3" s="700"/>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70" t="s">
        <v>26</v>
      </c>
      <c r="B6" s="701" t="str">
        <f>+IF('Data Entry'!C4="Please Select","",'Data Entry'!C4)</f>
        <v>Georgia</v>
      </c>
      <c r="C6" s="701"/>
      <c r="D6" s="704" t="s">
        <v>12</v>
      </c>
      <c r="E6" s="704"/>
      <c r="F6" s="705">
        <f>+'Data Entry'!G4</f>
        <v>0</v>
      </c>
      <c r="G6" s="705"/>
      <c r="H6" s="705"/>
      <c r="I6" s="705"/>
      <c r="J6" s="705"/>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7" t="s">
        <v>27</v>
      </c>
      <c r="B9" s="351" t="str">
        <f>+IF('Data Entry'!G6="Please Select","",'Data Entry'!G6)</f>
        <v>TB</v>
      </c>
      <c r="C9" s="228" t="s">
        <v>329</v>
      </c>
      <c r="D9" s="352" t="str">
        <f>+'Data Entry'!C6</f>
        <v>GEO-T-NCDC</v>
      </c>
      <c r="E9" s="703" t="s">
        <v>13</v>
      </c>
      <c r="F9" s="703"/>
      <c r="G9" s="353">
        <f>+IF(ISBLANK('Data Entry'!C10),"",'Data Entry'!C10)</f>
        <v>41730</v>
      </c>
      <c r="H9" s="387" t="s">
        <v>330</v>
      </c>
      <c r="I9" s="702">
        <f>+IF(ISBLANK('Data Entry'!I6),"",'Data Entry'!I6)</f>
        <v>11182992</v>
      </c>
      <c r="J9" s="702"/>
      <c r="K9" s="50"/>
      <c r="L9" s="50"/>
      <c r="M9" s="50"/>
      <c r="N9" s="50"/>
      <c r="O9" s="52"/>
      <c r="P9" s="51"/>
      <c r="Q9" s="52"/>
      <c r="R9" s="53"/>
      <c r="S9" s="17"/>
      <c r="T9" s="11"/>
      <c r="U9" s="11"/>
      <c r="V9" s="10"/>
      <c r="W9" s="10"/>
      <c r="X9" s="10"/>
    </row>
    <row r="10" spans="1:24" ht="25.5" customHeight="1">
      <c r="A10" s="387" t="s">
        <v>324</v>
      </c>
      <c r="B10" s="354" t="str">
        <f>+IF('Data Entry'!G8="Please Select","",'Data Entry'!G8)</f>
        <v>Round 10</v>
      </c>
      <c r="C10" s="228" t="s">
        <v>323</v>
      </c>
      <c r="D10" s="355" t="str">
        <f>+IF('Data Entry'!I8="Please Select","",'Data Entry'!I8)</f>
        <v>Phase 2</v>
      </c>
      <c r="E10" s="696" t="s">
        <v>269</v>
      </c>
      <c r="F10" s="696"/>
      <c r="G10" s="695" t="str">
        <f>+'Data Entry'!C8</f>
        <v>NCDC</v>
      </c>
      <c r="H10" s="695"/>
      <c r="I10" s="695"/>
      <c r="J10" s="695"/>
      <c r="K10" s="54"/>
      <c r="L10" s="54"/>
      <c r="M10" s="50"/>
      <c r="N10" s="54"/>
      <c r="O10" s="52"/>
      <c r="P10" s="51"/>
      <c r="Q10" s="11"/>
      <c r="R10" s="53"/>
      <c r="S10" s="17"/>
      <c r="T10" s="11"/>
      <c r="U10" s="11"/>
    </row>
    <row r="11" spans="1:24" ht="25.5" customHeight="1">
      <c r="A11" s="387" t="s">
        <v>21</v>
      </c>
      <c r="B11" s="356" t="str">
        <f>+'Data Entry'!C16</f>
        <v>P6</v>
      </c>
      <c r="C11" s="337" t="s">
        <v>267</v>
      </c>
      <c r="D11" s="357">
        <f>+IF(ISBLANK('Data Entry'!E16),"",'Data Entry'!E16)</f>
        <v>42186</v>
      </c>
      <c r="E11" s="703" t="s">
        <v>22</v>
      </c>
      <c r="F11" s="703"/>
      <c r="G11" s="357">
        <f>+IF(ISBLANK('Data Entry'!G16),"",'Data Entry'!G16)</f>
        <v>42277</v>
      </c>
      <c r="H11" s="387" t="s">
        <v>29</v>
      </c>
      <c r="I11" s="697" t="str">
        <f>+IF('Data Entry'!C12="Please Select","",'Data Entry'!C12)</f>
        <v>A2</v>
      </c>
      <c r="J11" s="697"/>
      <c r="K11" s="276"/>
      <c r="L11" s="54"/>
      <c r="M11" s="50"/>
      <c r="N11" s="54"/>
      <c r="O11" s="54"/>
      <c r="P11" s="51"/>
      <c r="Q11" s="11"/>
      <c r="R11" s="53"/>
      <c r="S11" s="17"/>
      <c r="T11" s="12"/>
      <c r="U11" s="11"/>
    </row>
    <row r="12" spans="1:24" ht="25.5" customHeight="1">
      <c r="A12" s="387" t="s">
        <v>31</v>
      </c>
      <c r="B12" s="695" t="str">
        <f>+IF('Data Entry'!G10="Please Select","",'Data Entry'!G10)</f>
        <v>UNOPS</v>
      </c>
      <c r="C12" s="695"/>
      <c r="D12" s="695"/>
      <c r="E12" s="696" t="s">
        <v>290</v>
      </c>
      <c r="F12" s="696"/>
      <c r="G12" s="695" t="str">
        <f>+'Data Entry'!G12</f>
        <v>Tsovinar Sakanian</v>
      </c>
      <c r="H12" s="695"/>
      <c r="I12" s="695"/>
      <c r="J12" s="695"/>
      <c r="K12" s="54"/>
      <c r="L12" s="54"/>
      <c r="M12" s="50"/>
      <c r="N12" s="54"/>
      <c r="O12" s="17"/>
      <c r="P12" s="51"/>
      <c r="Q12" s="11"/>
      <c r="R12" s="53"/>
      <c r="S12" s="17"/>
      <c r="T12" s="11"/>
      <c r="U12" s="55"/>
      <c r="V12" s="11"/>
      <c r="W12" s="12"/>
      <c r="X12" s="11"/>
    </row>
    <row r="13" spans="1:24" ht="25.5" customHeight="1">
      <c r="A13" s="387" t="s">
        <v>32</v>
      </c>
      <c r="B13" s="695" t="str">
        <f>+'Data Entry'!D18</f>
        <v>Giorgi Kuchukhidze</v>
      </c>
      <c r="C13" s="695"/>
      <c r="D13" s="695"/>
      <c r="E13" s="696" t="s">
        <v>30</v>
      </c>
      <c r="F13" s="696"/>
      <c r="G13" s="698">
        <f>+IF(ISBLANK('Data Entry'!J16),"",'Data Entry'!J16)</f>
        <v>42291</v>
      </c>
      <c r="H13" s="699"/>
      <c r="I13" s="699"/>
      <c r="J13" s="699"/>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50" zoomScaleNormal="150" zoomScalePageLayoutView="150" workbookViewId="0">
      <selection activeCell="K27" sqref="K27"/>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56" t="str">
        <f>+"Dashboard:  "&amp;"  "&amp;IF(+'Data Entry'!C4="Please Select","",'Data Entry'!C4&amp;" - ")&amp;IF('Data Entry'!G6="Please Select","",'Data Entry'!G6)</f>
        <v>Dashboard:    Georgia - TB</v>
      </c>
      <c r="C2" s="656"/>
      <c r="D2" s="656"/>
      <c r="E2" s="656"/>
      <c r="F2" s="656"/>
      <c r="G2" s="656"/>
      <c r="H2" s="656"/>
      <c r="I2" s="656"/>
      <c r="J2" s="656"/>
      <c r="K2" s="656"/>
      <c r="L2" s="1"/>
      <c r="M2" s="1"/>
      <c r="N2" s="1"/>
      <c r="O2" s="1"/>
    </row>
    <row r="3" spans="2:15">
      <c r="B3" s="135" t="str">
        <f>+IF('Data Entry'!G8="Please Select","",'Data Entry'!G8)</f>
        <v>Round 10</v>
      </c>
      <c r="C3" s="717" t="str">
        <f>+IF('Data Entry'!I8="Please Select","",'Data Entry'!I8)</f>
        <v>Phase 2</v>
      </c>
      <c r="D3" s="717"/>
      <c r="E3" s="716"/>
      <c r="F3" s="716"/>
      <c r="G3" s="716"/>
      <c r="H3" s="716"/>
      <c r="I3" s="714" t="str">
        <f>+'Data Entry'!B16</f>
        <v>Report Period:</v>
      </c>
      <c r="J3" s="714"/>
      <c r="K3" s="201" t="str">
        <f>+'Data Entry'!C16</f>
        <v>P6</v>
      </c>
      <c r="L3" s="83"/>
    </row>
    <row r="4" spans="2:15">
      <c r="B4" s="135" t="str">
        <f>+'Data Entry'!B12</f>
        <v>Latest Rating:</v>
      </c>
      <c r="C4" s="718" t="str">
        <f>+IF('Data Entry'!C12="Please Select","",'Data Entry'!C12)</f>
        <v>A2</v>
      </c>
      <c r="D4" s="718"/>
      <c r="E4" s="716" t="str">
        <f>+'Data Entry'!C8</f>
        <v>NCDC</v>
      </c>
      <c r="F4" s="716"/>
      <c r="G4" s="716"/>
      <c r="H4" s="716"/>
      <c r="I4" s="714" t="str">
        <f>+'Data Entry'!D16</f>
        <v>From:</v>
      </c>
      <c r="J4" s="715"/>
      <c r="K4" s="203">
        <f>+IF(ISBLANK('Data Entry'!E16),"",'Data Entry'!E16)</f>
        <v>42186</v>
      </c>
    </row>
    <row r="5" spans="2:15" ht="18.75" customHeight="1">
      <c r="B5" s="135"/>
      <c r="C5" s="135"/>
      <c r="D5" s="713">
        <f>+'Data Entry'!G4</f>
        <v>0</v>
      </c>
      <c r="E5" s="713"/>
      <c r="F5" s="713"/>
      <c r="G5" s="713"/>
      <c r="H5" s="713"/>
      <c r="I5" s="713"/>
      <c r="J5" s="135" t="str">
        <f>+'Data Entry'!F16</f>
        <v>To:</v>
      </c>
      <c r="K5" s="203">
        <f>+IF(ISBLANK('Data Entry'!G16),"",'Data Entry'!G16)</f>
        <v>42277</v>
      </c>
    </row>
    <row r="6" spans="2:15" ht="18.75">
      <c r="B6" s="139"/>
      <c r="C6" s="135"/>
      <c r="D6" s="136"/>
      <c r="E6" s="719" t="s">
        <v>63</v>
      </c>
      <c r="F6" s="719"/>
      <c r="G6" s="719"/>
      <c r="H6" s="719"/>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P6</v>
      </c>
      <c r="C8" s="145"/>
      <c r="D8" s="2"/>
      <c r="E8" s="2"/>
      <c r="F8" s="2"/>
      <c r="H8" s="206" t="str">
        <f>+'Data Entry'!B49&amp; " - in ("&amp;'Data Entry'!D26&amp;")         "&amp;+I3&amp;" "&amp;+K3</f>
        <v>F3: Disbursements and expenditures - in (€)         Report Period: P6</v>
      </c>
      <c r="I8" s="3"/>
      <c r="J8" s="3"/>
      <c r="K8" s="3"/>
    </row>
    <row r="9" spans="2:15">
      <c r="B9" s="361" t="s">
        <v>9</v>
      </c>
      <c r="C9" s="725"/>
      <c r="D9" s="707"/>
      <c r="E9" s="707"/>
      <c r="F9" s="708"/>
      <c r="H9" s="362" t="s">
        <v>9</v>
      </c>
      <c r="I9" s="706"/>
      <c r="J9" s="707"/>
      <c r="K9" s="708"/>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P6</v>
      </c>
      <c r="C22" s="2"/>
      <c r="D22" s="2"/>
      <c r="E22" s="2"/>
      <c r="F22" s="2"/>
      <c r="H22" s="207" t="str">
        <f>+'Data Entry'!B58&amp;"      "&amp;+I3&amp;" "&amp;+K3</f>
        <v>F4: Latest PR reporting and disbursement cycle      Report Period: P6</v>
      </c>
      <c r="J22" s="3"/>
      <c r="K22" s="3"/>
    </row>
    <row r="23" spans="1:11">
      <c r="B23" s="362" t="s">
        <v>10</v>
      </c>
      <c r="C23" s="706"/>
      <c r="D23" s="707"/>
      <c r="E23" s="707"/>
      <c r="F23" s="708"/>
      <c r="G23" s="384"/>
      <c r="H23" s="362" t="s">
        <v>9</v>
      </c>
      <c r="I23" s="706"/>
      <c r="J23" s="726"/>
      <c r="K23" s="727"/>
    </row>
    <row r="24" spans="1:11" ht="15.75" thickBot="1">
      <c r="B24" s="216"/>
      <c r="C24" s="216"/>
      <c r="D24" s="216"/>
      <c r="E24" s="216"/>
      <c r="F24" s="216"/>
      <c r="G24" s="216"/>
      <c r="H24" s="217"/>
      <c r="I24" s="217"/>
      <c r="J24" s="216"/>
      <c r="K24" s="216"/>
    </row>
    <row r="25" spans="1:11" ht="29.25" customHeight="1" thickBot="1">
      <c r="B25" s="3"/>
      <c r="C25" s="3"/>
      <c r="D25" s="3"/>
      <c r="E25" s="3"/>
      <c r="F25" s="3"/>
      <c r="G25" s="335"/>
      <c r="H25" s="720" t="s">
        <v>309</v>
      </c>
      <c r="I25" s="721"/>
      <c r="J25" s="721"/>
      <c r="K25" s="722"/>
    </row>
    <row r="26" spans="1:11" ht="24.75">
      <c r="B26" s="3"/>
      <c r="C26" s="3"/>
      <c r="D26" s="3"/>
      <c r="E26" s="3"/>
      <c r="F26" s="3"/>
      <c r="G26" s="295"/>
      <c r="H26" s="723"/>
      <c r="I26" s="724"/>
      <c r="J26" s="311" t="s">
        <v>61</v>
      </c>
      <c r="K26" s="312" t="s">
        <v>62</v>
      </c>
    </row>
    <row r="27" spans="1:11" ht="23.25" customHeight="1">
      <c r="B27" s="3"/>
      <c r="C27" s="3"/>
      <c r="D27" s="3"/>
      <c r="E27" s="3"/>
      <c r="F27" s="3"/>
      <c r="G27" s="336"/>
      <c r="H27" s="709" t="str">
        <f>'Data Entry'!B62</f>
        <v>Days taken to submit final PU/DR to LFA</v>
      </c>
      <c r="I27" s="710"/>
      <c r="J27" s="313">
        <f>+'Data Entry'!C62</f>
        <v>45</v>
      </c>
      <c r="K27" s="310">
        <f>+'Data Entry'!D62</f>
        <v>45</v>
      </c>
    </row>
    <row r="28" spans="1:11" ht="21" customHeight="1">
      <c r="B28" s="3"/>
      <c r="C28" s="3"/>
      <c r="D28" s="3"/>
      <c r="E28" s="3"/>
      <c r="F28" s="3"/>
      <c r="G28" s="336"/>
      <c r="H28" s="709" t="str">
        <f>'Data Entry'!B63</f>
        <v>Days taken for disbursement to reach PR</v>
      </c>
      <c r="I28" s="710"/>
      <c r="J28" s="313">
        <f>+'Data Entry'!C63</f>
        <v>45</v>
      </c>
      <c r="K28" s="310">
        <f>+'Data Entry'!D63</f>
        <v>0</v>
      </c>
    </row>
    <row r="29" spans="1:11" ht="21" customHeight="1" thickBot="1">
      <c r="B29" s="3"/>
      <c r="C29" s="3"/>
      <c r="D29" s="3"/>
      <c r="E29" s="3"/>
      <c r="F29" s="3"/>
      <c r="G29" s="336"/>
      <c r="H29" s="711" t="str">
        <f>'Data Entry'!B64</f>
        <v xml:space="preserve">Days taken for disbursement to reach SRs </v>
      </c>
      <c r="I29" s="712"/>
      <c r="J29" s="314">
        <f>+'Data Entry'!C64</f>
        <v>5</v>
      </c>
      <c r="K29" s="315">
        <f>+'Data Entry'!D64</f>
        <v>2</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C9:F9"/>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zoomScale="130" zoomScaleNormal="130" zoomScalePageLayoutView="130" workbookViewId="0">
      <selection activeCell="I16" sqref="I16:L16"/>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4"/>
      <c r="E1" s="235"/>
    </row>
    <row r="2" spans="1:16" ht="27.75" customHeight="1">
      <c r="B2" s="738" t="str">
        <f>+"Dashboard:  "&amp;"  "&amp;IF(+'Data Entry'!C4="Please Select","",'Data Entry'!C4&amp;" - ")&amp;IF('Data Entry'!G6="Please Select","",'Data Entry'!G6)</f>
        <v>Dashboard:    Georgia - TB</v>
      </c>
      <c r="C2" s="738"/>
      <c r="D2" s="738"/>
      <c r="E2" s="738"/>
      <c r="F2" s="738"/>
      <c r="G2" s="738"/>
      <c r="H2" s="738"/>
      <c r="I2" s="738"/>
      <c r="J2" s="738"/>
      <c r="K2" s="738"/>
      <c r="L2" s="738"/>
      <c r="M2" s="26"/>
      <c r="N2" s="26"/>
      <c r="O2" s="26"/>
      <c r="P2" s="26"/>
    </row>
    <row r="3" spans="1:16">
      <c r="B3" s="24" t="str">
        <f>+IF('Data Entry'!G8="Please Select","",'Data Entry'!G8)</f>
        <v>Round 10</v>
      </c>
      <c r="C3" s="737" t="str">
        <f>+IF('Data Entry'!I8="Please Select","",'Data Entry'!I8)</f>
        <v>Phase 2</v>
      </c>
      <c r="D3" s="737"/>
      <c r="E3" s="735"/>
      <c r="F3" s="735"/>
      <c r="G3" s="735"/>
      <c r="H3" s="735"/>
      <c r="I3" s="735"/>
      <c r="J3" s="731" t="str">
        <f>+'Data Entry'!B16</f>
        <v>Report Period:</v>
      </c>
      <c r="K3" s="731"/>
      <c r="L3" s="201" t="str">
        <f>+'Data Entry'!C16</f>
        <v>P6</v>
      </c>
    </row>
    <row r="4" spans="1:16">
      <c r="B4" s="24" t="str">
        <f>+'Data Entry'!B12</f>
        <v>Latest Rating:</v>
      </c>
      <c r="C4" s="718" t="str">
        <f>+IF('Data Entry'!C12="Please Select","",'Data Entry'!C12)</f>
        <v>A2</v>
      </c>
      <c r="D4" s="718"/>
      <c r="E4" s="735" t="str">
        <f>+'Data Entry'!C8</f>
        <v>NCDC</v>
      </c>
      <c r="F4" s="735"/>
      <c r="G4" s="735"/>
      <c r="H4" s="735"/>
      <c r="I4" s="735"/>
      <c r="J4" s="731" t="str">
        <f>+'Data Entry'!D16</f>
        <v>From:</v>
      </c>
      <c r="K4" s="732"/>
      <c r="L4" s="203">
        <f>+IF(ISBLANK('Data Entry'!E16),"",'Data Entry'!E16)</f>
        <v>42186</v>
      </c>
    </row>
    <row r="5" spans="1:16" ht="18.75" customHeight="1">
      <c r="B5" s="24"/>
      <c r="C5" s="24"/>
      <c r="D5" s="735">
        <f>+'Data Entry'!G4</f>
        <v>0</v>
      </c>
      <c r="E5" s="735"/>
      <c r="F5" s="735"/>
      <c r="G5" s="735"/>
      <c r="H5" s="735"/>
      <c r="I5" s="735"/>
      <c r="J5" s="735"/>
      <c r="K5" s="24" t="str">
        <f>+'Data Entry'!F16</f>
        <v>To:</v>
      </c>
      <c r="L5" s="203">
        <f>+IF(ISBLANK('Data Entry'!G16),"",'Data Entry'!G16)</f>
        <v>42277</v>
      </c>
    </row>
    <row r="6" spans="1:16" ht="18.75">
      <c r="B6" s="23"/>
      <c r="C6" s="24"/>
      <c r="D6" s="25"/>
      <c r="E6" s="739" t="s">
        <v>70</v>
      </c>
      <c r="F6" s="739"/>
      <c r="G6" s="739"/>
      <c r="H6" s="739"/>
      <c r="I6" s="739"/>
    </row>
    <row r="7" spans="1:16">
      <c r="B7" s="385" t="str">
        <f>+'Data Entry'!B69&amp;"                "&amp;+J3&amp;" "&amp;+L3</f>
        <v>M1: Status of Conditions Precedent (CPs) and Time Bound Actions (TBAs)                Report Period: P6</v>
      </c>
      <c r="C7" s="21"/>
      <c r="H7" s="385" t="str">
        <f>+'Data Entry'!B76&amp;"                                                                             "&amp;+J3&amp;"  "&amp;+L3</f>
        <v>M2: Status of key PR management positions                                                                             Report Period:  P6</v>
      </c>
    </row>
    <row r="8" spans="1:16">
      <c r="B8" s="363" t="s">
        <v>9</v>
      </c>
      <c r="C8" s="706"/>
      <c r="D8" s="726"/>
      <c r="E8" s="726"/>
      <c r="F8" s="727"/>
      <c r="G8" s="386"/>
      <c r="H8" s="362" t="s">
        <v>9</v>
      </c>
      <c r="I8" s="706"/>
      <c r="J8" s="733"/>
      <c r="K8" s="733"/>
      <c r="L8" s="734"/>
    </row>
    <row r="9" spans="1:16">
      <c r="B9" s="19"/>
      <c r="C9" s="19"/>
      <c r="D9" s="19"/>
      <c r="E9" s="19"/>
      <c r="F9" s="19"/>
      <c r="G9" s="19"/>
      <c r="H9" s="19"/>
    </row>
    <row r="10" spans="1:16">
      <c r="A10" s="47"/>
      <c r="B10" s="19"/>
      <c r="C10" s="19"/>
      <c r="D10" s="736"/>
      <c r="E10" s="530"/>
      <c r="F10" s="530"/>
      <c r="G10" s="210"/>
      <c r="H10" s="19"/>
      <c r="N10" s="49"/>
      <c r="O10" s="49"/>
      <c r="P10" s="48"/>
    </row>
    <row r="11" spans="1:16">
      <c r="B11" s="19"/>
      <c r="C11" s="28"/>
      <c r="D11" s="736"/>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85" t="str">
        <f>+'Data Entry'!B81&amp;"                                                                                                  "&amp;+J3&amp;" "&amp;+L3</f>
        <v>M3: Contractual arrangements (SRs)                                                                                                   Report Period: P6</v>
      </c>
      <c r="H15" s="385" t="str">
        <f>+'Data Entry'!B86&amp;"                                                             "&amp;+J3&amp;" "&amp;+L3</f>
        <v>M4: Number of complete reports received on time                                                             Report Period: P6</v>
      </c>
    </row>
    <row r="16" spans="1:16">
      <c r="B16" s="363" t="s">
        <v>9</v>
      </c>
      <c r="C16" s="706"/>
      <c r="D16" s="733"/>
      <c r="E16" s="733"/>
      <c r="F16" s="734"/>
      <c r="G16" s="386"/>
      <c r="H16" s="362" t="s">
        <v>9</v>
      </c>
      <c r="I16" s="706"/>
      <c r="J16" s="726"/>
      <c r="K16" s="726"/>
      <c r="L16" s="727"/>
    </row>
    <row r="17" spans="2:13">
      <c r="B17" s="29"/>
      <c r="H17" s="30"/>
    </row>
    <row r="18" spans="2:13">
      <c r="M18" s="83"/>
    </row>
    <row r="26" spans="2:13">
      <c r="B26" s="385" t="str">
        <f>+'Data Entry'!B92</f>
        <v>M5: Budget and Procurement of health products, health equipment, medicines and pharmaceuticals</v>
      </c>
      <c r="H26" s="385" t="str">
        <f>+'Data Entry'!B105&amp;"                                                                "&amp;+J3&amp;"  "&amp;+L3</f>
        <v>M6: Difference between current and safety stock                                                                Report Period:  P6</v>
      </c>
    </row>
    <row r="27" spans="2:13">
      <c r="B27" s="361" t="s">
        <v>9</v>
      </c>
      <c r="C27" s="725"/>
      <c r="D27" s="733"/>
      <c r="E27" s="733"/>
      <c r="F27" s="734"/>
      <c r="G27" s="386"/>
      <c r="H27" s="362" t="s">
        <v>9</v>
      </c>
      <c r="I27" s="706" t="s">
        <v>432</v>
      </c>
      <c r="J27" s="726"/>
      <c r="K27" s="726"/>
      <c r="L27" s="727"/>
    </row>
    <row r="28" spans="2:13" ht="15.75" thickBot="1"/>
    <row r="29" spans="2:13" ht="44.25" customHeight="1">
      <c r="F29" s="342"/>
      <c r="G29" s="342"/>
      <c r="H29" s="222" t="s">
        <v>33</v>
      </c>
      <c r="I29" s="338" t="s">
        <v>80</v>
      </c>
      <c r="J29" s="359" t="s">
        <v>344</v>
      </c>
      <c r="K29" s="221" t="s">
        <v>332</v>
      </c>
      <c r="L29" s="339" t="s">
        <v>331</v>
      </c>
    </row>
    <row r="30" spans="2:13" ht="15" customHeight="1">
      <c r="F30" s="342"/>
      <c r="G30" s="342"/>
      <c r="H30" s="728" t="str">
        <f>+'Data Entry'!B108</f>
        <v>TB</v>
      </c>
      <c r="I30" s="340" t="str">
        <f>+'Data Entry'!C108</f>
        <v>Cycloserine</v>
      </c>
      <c r="J30" s="453">
        <f>+'Data Entry'!I108</f>
        <v>16.410256410256409</v>
      </c>
      <c r="K30" s="454">
        <f>+'Data Entry'!J108</f>
        <v>4</v>
      </c>
      <c r="L30" s="431">
        <f>+'Data Entry'!K108</f>
        <v>12.410256410256409</v>
      </c>
    </row>
    <row r="31" spans="2:13">
      <c r="F31" s="342"/>
      <c r="G31" s="342"/>
      <c r="H31" s="729"/>
      <c r="I31" s="340" t="str">
        <f>+'Data Entry'!C109</f>
        <v>PAS</v>
      </c>
      <c r="J31" s="453">
        <f>+'Data Entry'!I109</f>
        <v>18.455555555555556</v>
      </c>
      <c r="K31" s="454">
        <f>+'Data Entry'!J109</f>
        <v>4</v>
      </c>
      <c r="L31" s="432">
        <f>+'Data Entry'!K109</f>
        <v>14.455555555555556</v>
      </c>
    </row>
    <row r="32" spans="2:13">
      <c r="F32" s="342"/>
      <c r="G32" s="342"/>
      <c r="H32" s="729"/>
      <c r="I32" s="340" t="str">
        <f>+'Data Entry'!C110</f>
        <v>Clarithromycin</v>
      </c>
      <c r="J32" s="453">
        <f>+'Data Entry'!I110</f>
        <v>15.605333333333334</v>
      </c>
      <c r="K32" s="454">
        <f>+'Data Entry'!J110</f>
        <v>4</v>
      </c>
      <c r="L32" s="431">
        <f>+'Data Entry'!K110</f>
        <v>11.605333333333334</v>
      </c>
    </row>
    <row r="33" spans="2:12" ht="15.75" thickBot="1">
      <c r="F33" s="342"/>
      <c r="G33" s="342"/>
      <c r="H33" s="730"/>
      <c r="I33" s="341" t="str">
        <f>+'Data Entry'!C111</f>
        <v>Clofazimine</v>
      </c>
      <c r="J33" s="455">
        <f>+'Data Entry'!I111</f>
        <v>22.777777777777779</v>
      </c>
      <c r="K33" s="456">
        <f>+'Data Entry'!J111</f>
        <v>4</v>
      </c>
      <c r="L33" s="431">
        <f>+'Data Entry'!K111</f>
        <v>18.777777777777779</v>
      </c>
    </row>
    <row r="34" spans="2:12" ht="24.75" customHeight="1">
      <c r="B34" s="740" t="str">
        <f>+'Data Entry'!B102</f>
        <v>* Includes only EFR category 4 and 5  (Health products and health equipment &amp; Medicines and Pharmaceuticals)</v>
      </c>
      <c r="C34" s="740"/>
      <c r="D34" s="740"/>
      <c r="E34" s="740"/>
      <c r="F34" s="19"/>
      <c r="G34" s="19"/>
      <c r="H34" s="218"/>
      <c r="I34" s="219"/>
      <c r="J34" s="220"/>
      <c r="K34" s="210"/>
      <c r="L34" s="20"/>
    </row>
    <row r="35" spans="2:12">
      <c r="F35" s="19"/>
      <c r="G35" s="19"/>
      <c r="H35" s="19"/>
      <c r="I35" s="19"/>
      <c r="J35" s="19"/>
      <c r="K35" s="19"/>
      <c r="L35" s="19"/>
    </row>
  </sheetData>
  <mergeCells count="19">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 ref="C16:F16"/>
    <mergeCell ref="E10:F10"/>
    <mergeCell ref="C8:F8"/>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headerFooter alignWithMargins="0">
    <oddFooter>&amp;L&amp;F&amp;C&amp;A&amp;RV1.0          &amp;D</oddFooter>
  </headerFooter>
  <colBreaks count="1" manualBreakCount="1">
    <brk id="12" max="33" man="1"/>
  </colBreak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D15" zoomScale="150" zoomScaleNormal="150" zoomScalePageLayoutView="150" workbookViewId="0">
      <selection activeCell="L22" sqref="L22:Q22"/>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41" t="str">
        <f>+"Dashboard:  "&amp;"  "&amp;IF(+'Data Entry'!C4="Please Select","",'Data Entry'!C4&amp;" - ")&amp;IF('Data Entry'!G6="Please Select","",'Data Entry'!G6)</f>
        <v>Dashboard:    Georgia - TB</v>
      </c>
      <c r="C2" s="741"/>
      <c r="D2" s="741"/>
      <c r="E2" s="741"/>
      <c r="F2" s="741"/>
      <c r="G2" s="741"/>
      <c r="H2" s="741"/>
      <c r="I2" s="741"/>
      <c r="J2" s="741"/>
      <c r="K2" s="741"/>
      <c r="L2" s="741"/>
      <c r="M2" s="741"/>
      <c r="N2" s="741"/>
      <c r="O2" s="741"/>
      <c r="P2" s="741"/>
      <c r="Q2" s="741"/>
    </row>
    <row r="3" spans="1:35" ht="18.75">
      <c r="A3" s="3"/>
      <c r="B3" s="135" t="str">
        <f>+IF('Data Entry'!G8="Please Select","",'Data Entry'!G8)</f>
        <v>Round 10</v>
      </c>
      <c r="C3" s="717" t="str">
        <f>+IF('Data Entry'!I8="Please Select","",'Data Entry'!I8)</f>
        <v>Phase 2</v>
      </c>
      <c r="D3" s="717"/>
      <c r="E3" s="716"/>
      <c r="F3" s="716"/>
      <c r="G3" s="716"/>
      <c r="H3" s="716"/>
      <c r="I3" s="744"/>
      <c r="J3" s="744"/>
      <c r="K3" s="744"/>
      <c r="L3" s="3"/>
      <c r="M3" s="3"/>
      <c r="O3" s="714" t="str">
        <f>+'Data Entry'!B16</f>
        <v>Report Period:</v>
      </c>
      <c r="P3" s="714"/>
      <c r="Q3" s="202" t="str">
        <f>+'Data Entry'!C16</f>
        <v>P6</v>
      </c>
    </row>
    <row r="4" spans="1:35" ht="12" customHeight="1">
      <c r="A4" s="3"/>
      <c r="B4" s="135" t="str">
        <f>+'Data Entry'!B12</f>
        <v>Latest Rating:</v>
      </c>
      <c r="C4" s="745" t="str">
        <f>+IF('Data Entry'!C12="Please Select","",'Data Entry'!C12)</f>
        <v>A2</v>
      </c>
      <c r="D4" s="745"/>
      <c r="E4" s="716" t="str">
        <f>+'Data Entry'!C8</f>
        <v>NCDC</v>
      </c>
      <c r="F4" s="716"/>
      <c r="G4" s="716"/>
      <c r="H4" s="716"/>
      <c r="I4" s="716"/>
      <c r="J4" s="716"/>
      <c r="K4" s="716"/>
      <c r="L4" s="716"/>
      <c r="M4" s="3"/>
      <c r="O4" s="344"/>
      <c r="P4" s="135" t="str">
        <f>+'Data Entry'!D16</f>
        <v>From:</v>
      </c>
      <c r="Q4" s="345">
        <f>+IF(ISBLANK('Data Entry'!E16),"",'Data Entry'!E16)</f>
        <v>42186</v>
      </c>
      <c r="Y4" s="71"/>
      <c r="Z4" s="71"/>
      <c r="AA4" s="71"/>
      <c r="AB4" s="71"/>
      <c r="AC4" s="71"/>
    </row>
    <row r="5" spans="1:35" ht="15.75" customHeight="1">
      <c r="A5" s="3"/>
      <c r="B5" s="135"/>
      <c r="C5" s="135"/>
      <c r="D5" s="716">
        <f>+'Data Entry'!G4</f>
        <v>0</v>
      </c>
      <c r="E5" s="716"/>
      <c r="F5" s="716"/>
      <c r="G5" s="716"/>
      <c r="H5" s="716"/>
      <c r="I5" s="716"/>
      <c r="J5" s="716"/>
      <c r="K5" s="716"/>
      <c r="L5" s="716"/>
      <c r="M5" s="716"/>
      <c r="N5" s="716"/>
      <c r="P5" s="135" t="str">
        <f>+'Data Entry'!F16</f>
        <v>To:</v>
      </c>
      <c r="Q5" s="345">
        <f>+IF(ISBLANK('Data Entry'!G16),"",'Data Entry'!G16)</f>
        <v>42277</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43" t="s">
        <v>394</v>
      </c>
      <c r="G6" s="743"/>
      <c r="H6" s="743"/>
      <c r="I6" s="743"/>
      <c r="J6" s="743"/>
      <c r="K6" s="743"/>
      <c r="L6" s="227"/>
      <c r="M6" s="3"/>
      <c r="N6" s="3"/>
      <c r="O6" s="204"/>
      <c r="P6" s="262"/>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42" t="str">
        <f>+'Data Entry'!B118</f>
        <v xml:space="preserve">Percentage of TB patients who had an HIV test result recorded in the TB register </v>
      </c>
      <c r="C8" s="742"/>
      <c r="D8" s="742"/>
      <c r="E8" s="742"/>
      <c r="F8" s="742" t="str">
        <f>+'Data Entry'!B120</f>
        <v>Number and percentage of M/XDR-TB patients on treatment receiving cash incentives for better adherence to treatment during out-patient phase</v>
      </c>
      <c r="G8" s="742"/>
      <c r="H8" s="742"/>
      <c r="I8" s="742"/>
      <c r="J8" s="742"/>
      <c r="K8" s="742"/>
      <c r="L8" s="742" t="str">
        <f>+'Data Entry'!B122</f>
        <v xml:space="preserve">
Number of notified cases of all forms of TB - (i.e. bacteriologically confirmed +clinically diagnosed) (new and relapse)
</v>
      </c>
      <c r="M8" s="742"/>
      <c r="N8" s="742"/>
      <c r="O8" s="742"/>
      <c r="P8" s="742"/>
      <c r="Q8" s="742"/>
      <c r="S8" s="229"/>
      <c r="T8" s="229"/>
      <c r="U8" s="229"/>
      <c r="V8" s="229"/>
      <c r="W8" s="229"/>
      <c r="X8" s="229"/>
      <c r="Y8" s="71"/>
      <c r="Z8" s="71"/>
      <c r="AA8" s="71"/>
      <c r="AB8" s="71"/>
      <c r="AC8" s="71"/>
      <c r="AD8" s="229"/>
      <c r="AE8" s="229"/>
      <c r="AF8" s="229"/>
      <c r="AG8" s="229"/>
      <c r="AH8" s="229"/>
      <c r="AI8" s="229"/>
    </row>
    <row r="9" spans="1:35" ht="24" customHeight="1">
      <c r="A9" s="3"/>
      <c r="B9" s="484" t="s">
        <v>413</v>
      </c>
      <c r="C9" s="772"/>
      <c r="D9" s="773"/>
      <c r="E9" s="774"/>
      <c r="F9" s="484" t="s">
        <v>414</v>
      </c>
      <c r="G9" s="772"/>
      <c r="H9" s="773"/>
      <c r="I9" s="773"/>
      <c r="J9" s="773"/>
      <c r="K9" s="774"/>
      <c r="L9" s="484" t="s">
        <v>415</v>
      </c>
      <c r="M9" s="772"/>
      <c r="N9" s="775"/>
      <c r="O9" s="775"/>
      <c r="P9" s="775"/>
      <c r="Q9" s="776"/>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57"/>
      <c r="F18" s="757"/>
      <c r="G18" s="757"/>
      <c r="H18" s="757"/>
      <c r="I18" s="757"/>
      <c r="J18" s="757"/>
      <c r="K18" s="757"/>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58" t="s">
        <v>89</v>
      </c>
      <c r="C19" s="758"/>
      <c r="D19" s="758"/>
      <c r="E19" s="146" t="s">
        <v>86</v>
      </c>
      <c r="F19" s="146" t="s">
        <v>90</v>
      </c>
      <c r="G19" s="753" t="s">
        <v>333</v>
      </c>
      <c r="H19" s="754"/>
      <c r="I19" s="755" t="s">
        <v>334</v>
      </c>
      <c r="J19" s="756"/>
      <c r="K19" s="343" t="s">
        <v>335</v>
      </c>
      <c r="L19" s="746" t="s">
        <v>93</v>
      </c>
      <c r="M19" s="747"/>
      <c r="N19" s="747"/>
      <c r="O19" s="747"/>
      <c r="P19" s="747"/>
      <c r="Q19" s="748"/>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47.1" customHeight="1">
      <c r="A20" s="3"/>
      <c r="B20" s="759" t="str">
        <f>+'Data Entry'!B118</f>
        <v xml:space="preserve">Percentage of TB patients who had an HIV test result recorded in the TB register </v>
      </c>
      <c r="C20" s="759"/>
      <c r="D20" s="759"/>
      <c r="E20" s="147">
        <f ca="1">OFFSET('Data Entry'!$G$117,1,RIGHT('Data Entry'!$C$16,LEN('Data Entry'!$C$16)-1),1,1)</f>
        <v>75</v>
      </c>
      <c r="F20" s="147">
        <f ca="1">OFFSET('Data Entry'!$G$117,2,RIGHT('Data Entry'!$C$16,LEN('Data Entry'!$C$16)-1),1,1)</f>
        <v>82</v>
      </c>
      <c r="G20" s="750">
        <f t="shared" ref="G20:G29" ca="1" si="0">+IF(ISERROR(F20/E20),0,F20/E20)</f>
        <v>1.0933333333333333</v>
      </c>
      <c r="H20" s="751"/>
      <c r="I20" s="751"/>
      <c r="J20" s="751"/>
      <c r="K20" s="752"/>
      <c r="L20" s="749"/>
      <c r="M20" s="749"/>
      <c r="N20" s="749"/>
      <c r="O20" s="749"/>
      <c r="P20" s="749"/>
      <c r="Q20" s="749"/>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62.25" customHeight="1">
      <c r="A21" s="3"/>
      <c r="B21" s="764" t="str">
        <f>+'Data Entry'!B120</f>
        <v>Number and percentage of M/XDR-TB patients on treatment receiving cash incentives for better adherence to treatment during out-patient phase</v>
      </c>
      <c r="C21" s="764"/>
      <c r="D21" s="764"/>
      <c r="E21" s="147">
        <f ca="1">OFFSET('Data Entry'!$G$117,3,RIGHT('Data Entry'!$C$16,LEN('Data Entry'!$C$16)-1),1,1)</f>
        <v>75</v>
      </c>
      <c r="F21" s="147">
        <f ca="1">OFFSET('Data Entry'!$G$117,4,RIGHT('Data Entry'!$C$16,LEN('Data Entry'!$C$16)-1),1,1)</f>
        <v>70</v>
      </c>
      <c r="G21" s="750">
        <f t="shared" ca="1" si="0"/>
        <v>0.93333333333333335</v>
      </c>
      <c r="H21" s="751"/>
      <c r="I21" s="751"/>
      <c r="J21" s="751"/>
      <c r="K21" s="752"/>
      <c r="L21" s="749" t="s">
        <v>444</v>
      </c>
      <c r="M21" s="749"/>
      <c r="N21" s="749"/>
      <c r="O21" s="749"/>
      <c r="P21" s="749"/>
      <c r="Q21" s="749"/>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 customHeight="1">
      <c r="A22" s="3"/>
      <c r="B22" s="759" t="str">
        <f>+'Data Entry'!B122</f>
        <v xml:space="preserve">
Number of notified cases of all forms of TB - (i.e. bacteriologically confirmed +clinically diagnosed) (new and relapse)
</v>
      </c>
      <c r="C22" s="759"/>
      <c r="D22" s="759"/>
      <c r="E22" s="147">
        <f ca="1">OFFSET('Data Entry'!$G$117,5,RIGHT('Data Entry'!$C$16,LEN('Data Entry'!$C$16)-1),1,1)</f>
        <v>1016</v>
      </c>
      <c r="F22" s="147">
        <f ca="1">OFFSET('Data Entry'!$G$117,6,RIGHT('Data Entry'!$C$16,LEN('Data Entry'!$C$16)-1),1,1)</f>
        <v>701</v>
      </c>
      <c r="G22" s="750">
        <f t="shared" ca="1" si="0"/>
        <v>0.68996062992125984</v>
      </c>
      <c r="H22" s="751"/>
      <c r="I22" s="751"/>
      <c r="J22" s="751"/>
      <c r="K22" s="752"/>
      <c r="L22" s="749" t="s">
        <v>443</v>
      </c>
      <c r="M22" s="749"/>
      <c r="N22" s="749"/>
      <c r="O22" s="749"/>
      <c r="P22" s="749"/>
      <c r="Q22" s="749"/>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 customHeight="1">
      <c r="A23" s="3"/>
      <c r="B23" s="761" t="str">
        <f>+'Data Entry'!B124</f>
        <v xml:space="preserve">Percentage of laboratories showing adequate performance in external quality assurance for smear microscopy among the total number of laboratories that undertake smear microscopy during the reporting period </v>
      </c>
      <c r="C23" s="762"/>
      <c r="D23" s="763"/>
      <c r="E23" s="147">
        <f ca="1">OFFSET('Data Entry'!$G$117,7,RIGHT('Data Entry'!$C$16,LEN('Data Entry'!$C$16)-1),1,1)</f>
        <v>100</v>
      </c>
      <c r="F23" s="147">
        <f ca="1">OFFSET('Data Entry'!$G$117,8,RIGHT('Data Entry'!$C$16,LEN('Data Entry'!$C$16)-1),1,1)</f>
        <v>91</v>
      </c>
      <c r="G23" s="750">
        <f t="shared" ca="1" si="0"/>
        <v>0.91</v>
      </c>
      <c r="H23" s="751"/>
      <c r="I23" s="751"/>
      <c r="J23" s="751"/>
      <c r="K23" s="752"/>
      <c r="L23" s="749"/>
      <c r="M23" s="749"/>
      <c r="N23" s="749"/>
      <c r="O23" s="749"/>
      <c r="P23" s="749"/>
      <c r="Q23" s="749"/>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customHeight="1">
      <c r="A24" s="3"/>
      <c r="B24" s="764" t="str">
        <f>+'Data Entry'!B126</f>
        <v>Number of bacteriologically confirmed  TB cases in a specified period who subsequently were successfully treated (sum of WHO outcome categories "cured” plus "treatment completed”)</v>
      </c>
      <c r="C24" s="764"/>
      <c r="D24" s="764"/>
      <c r="E24" s="147">
        <f ca="1">OFFSET('Data Entry'!$G$117,9,RIGHT('Data Entry'!$C$16,LEN('Data Entry'!$C$16)-1),1,1)</f>
        <v>604</v>
      </c>
      <c r="F24" s="147">
        <f ca="1">OFFSET('Data Entry'!$G$117,10,RIGHT('Data Entry'!$C$16,LEN('Data Entry'!$C$16)-1),1,1)</f>
        <v>409</v>
      </c>
      <c r="G24" s="750">
        <f t="shared" ca="1" si="0"/>
        <v>0.67715231788079466</v>
      </c>
      <c r="H24" s="751"/>
      <c r="I24" s="751"/>
      <c r="J24" s="751"/>
      <c r="K24" s="752"/>
      <c r="L24" s="749" t="s">
        <v>443</v>
      </c>
      <c r="M24" s="749"/>
      <c r="N24" s="749"/>
      <c r="O24" s="749"/>
      <c r="P24" s="749"/>
      <c r="Q24" s="749"/>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customHeight="1">
      <c r="A25" s="3"/>
      <c r="B25" s="759" t="str">
        <f>+'Data Entry'!B128</f>
        <v>Number of TB patients enrolled on standardized 1st line treatment in the specified calendar year</v>
      </c>
      <c r="C25" s="759"/>
      <c r="D25" s="759"/>
      <c r="E25" s="147">
        <f ca="1">OFFSET('Data Entry'!$G$117,11,RIGHT('Data Entry'!$C$16,LEN('Data Entry'!$C$16)-1),1,1)</f>
        <v>1106</v>
      </c>
      <c r="F25" s="147">
        <f ca="1">OFFSET('Data Entry'!$G$117,12,RIGHT('Data Entry'!$C$16,LEN('Data Entry'!$C$16)-1),1,1)</f>
        <v>740</v>
      </c>
      <c r="G25" s="750">
        <f t="shared" ca="1" si="0"/>
        <v>0.6690777576853526</v>
      </c>
      <c r="H25" s="751"/>
      <c r="I25" s="751"/>
      <c r="J25" s="751"/>
      <c r="K25" s="752"/>
      <c r="L25" s="749" t="s">
        <v>443</v>
      </c>
      <c r="M25" s="749"/>
      <c r="N25" s="749"/>
      <c r="O25" s="749"/>
      <c r="P25" s="749"/>
      <c r="Q25" s="749"/>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customHeight="1">
      <c r="A26" s="3"/>
      <c r="B26" s="764" t="str">
        <f>+'Data Entry'!B130</f>
        <v>Laboratory-confirmed X/MDR-TB patients enrolled on second line anti-TB treatment in the specified calendar year</v>
      </c>
      <c r="C26" s="764"/>
      <c r="D26" s="764"/>
      <c r="E26" s="147">
        <f ca="1">OFFSET('Data Entry'!$G$117,13,RIGHT('Data Entry'!$C$16,LEN('Data Entry'!$C$16)-1),1,1)</f>
        <v>130</v>
      </c>
      <c r="F26" s="147">
        <f ca="1">OFFSET('Data Entry'!$G$117,14,RIGHT('Data Entry'!$C$16,LEN('Data Entry'!$C$16)-1),1,1)</f>
        <v>106</v>
      </c>
      <c r="G26" s="750">
        <f t="shared" ca="1" si="0"/>
        <v>0.81538461538461537</v>
      </c>
      <c r="H26" s="751"/>
      <c r="I26" s="751"/>
      <c r="J26" s="751"/>
      <c r="K26" s="752"/>
      <c r="L26" s="749"/>
      <c r="M26" s="749"/>
      <c r="N26" s="749"/>
      <c r="O26" s="749"/>
      <c r="P26" s="749"/>
      <c r="Q26" s="749"/>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customHeight="1">
      <c r="A27" s="3"/>
      <c r="B27" s="759" t="str">
        <f>+'Data Entry'!B132</f>
        <v xml:space="preserve">Percentage of previously treated TB patients receiving DST
</v>
      </c>
      <c r="C27" s="759"/>
      <c r="D27" s="759"/>
      <c r="E27" s="147">
        <f ca="1">OFFSET('Data Entry'!$G$117,15,RIGHT('Data Entry'!$C$16,LEN('Data Entry'!$C$16)-1),1,1)</f>
        <v>95</v>
      </c>
      <c r="F27" s="147">
        <f ca="1">OFFSET('Data Entry'!$G$117,16,RIGHT('Data Entry'!$C$16,LEN('Data Entry'!$C$16)-1),1,1)</f>
        <v>90</v>
      </c>
      <c r="G27" s="750">
        <f t="shared" ca="1" si="0"/>
        <v>0.94736842105263153</v>
      </c>
      <c r="H27" s="751"/>
      <c r="I27" s="751"/>
      <c r="J27" s="751"/>
      <c r="K27" s="752"/>
      <c r="L27" s="749"/>
      <c r="M27" s="749"/>
      <c r="N27" s="749"/>
      <c r="O27" s="749"/>
      <c r="P27" s="749"/>
      <c r="Q27" s="749"/>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 customHeight="1">
      <c r="A28" s="3"/>
      <c r="B28" s="764" t="str">
        <f>+'Data Entry'!B134</f>
        <v>Percentage of cases with drug resistant TB (RR-TB and/or MDR-TB) started on treatment for MDR-TB who were lost to follow up during the first six months of treatment</v>
      </c>
      <c r="C28" s="764"/>
      <c r="D28" s="764"/>
      <c r="E28" s="147">
        <f ca="1">OFFSET('Data Entry'!$G$117,17,RIGHT('Data Entry'!$C$16,LEN('Data Entry'!$C$16)-1),1,1)</f>
        <v>10</v>
      </c>
      <c r="F28" s="147">
        <f ca="1">OFFSET('Data Entry'!$G$117,18,RIGHT('Data Entry'!$C$16,LEN('Data Entry'!$C$16)-1),1,1)</f>
        <v>10</v>
      </c>
      <c r="G28" s="750">
        <f t="shared" ca="1" si="0"/>
        <v>1</v>
      </c>
      <c r="H28" s="751"/>
      <c r="I28" s="751"/>
      <c r="J28" s="751"/>
      <c r="K28" s="752"/>
      <c r="L28" s="749"/>
      <c r="M28" s="749"/>
      <c r="N28" s="749"/>
      <c r="O28" s="749"/>
      <c r="P28" s="749"/>
      <c r="Q28" s="749"/>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customHeight="1">
      <c r="A29" s="3"/>
      <c r="B29" s="761" t="str">
        <f>+'Data Entry'!B136</f>
        <v xml:space="preserve">Number of and percentage of TB patients on 1st line treatment receiving cash incentives for better adherence to treatment </v>
      </c>
      <c r="C29" s="762"/>
      <c r="D29" s="763"/>
      <c r="E29" s="147">
        <f ca="1">OFFSET('Data Entry'!$G$117,19,RIGHT('Data Entry'!$C$16,LEN('Data Entry'!$C$16)-1),1,1)</f>
        <v>70</v>
      </c>
      <c r="F29" s="147">
        <f ca="1">OFFSET('Data Entry'!$G$117,20,RIGHT('Data Entry'!$C$16,LEN('Data Entry'!$C$16)-1),1,1)</f>
        <v>82</v>
      </c>
      <c r="G29" s="750">
        <f t="shared" ca="1" si="0"/>
        <v>1.1714285714285715</v>
      </c>
      <c r="H29" s="751"/>
      <c r="I29" s="751"/>
      <c r="J29" s="751"/>
      <c r="K29" s="752"/>
      <c r="L29" s="749"/>
      <c r="M29" s="749"/>
      <c r="N29" s="749"/>
      <c r="O29" s="749"/>
      <c r="P29" s="749"/>
      <c r="Q29" s="749"/>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71"/>
      <c r="C30" s="771"/>
      <c r="D30" s="771"/>
      <c r="E30" s="771"/>
      <c r="F30" s="770"/>
      <c r="G30" s="770"/>
      <c r="H30" s="770"/>
      <c r="I30" s="770"/>
      <c r="J30" s="770"/>
      <c r="K30" s="770"/>
      <c r="L30" s="769"/>
      <c r="M30" s="769"/>
      <c r="N30" s="769"/>
      <c r="O30" s="769"/>
      <c r="P30" s="769"/>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65"/>
      <c r="C31" s="765"/>
      <c r="D31" s="765"/>
      <c r="E31" s="766"/>
      <c r="F31" s="767"/>
      <c r="G31" s="768"/>
      <c r="H31" s="768"/>
      <c r="I31" s="768"/>
      <c r="J31" s="768"/>
      <c r="K31" s="766"/>
      <c r="L31" s="767"/>
      <c r="M31" s="768"/>
      <c r="N31" s="768"/>
      <c r="O31" s="768"/>
      <c r="P31" s="768"/>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60"/>
      <c r="C33" s="760"/>
      <c r="D33" s="760"/>
      <c r="E33" s="760"/>
      <c r="F33" s="760"/>
      <c r="G33" s="760"/>
      <c r="H33" s="760"/>
      <c r="I33" s="760"/>
      <c r="J33" s="760"/>
      <c r="K33" s="760"/>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60"/>
      <c r="C34" s="760"/>
      <c r="D34" s="760"/>
      <c r="E34" s="760"/>
      <c r="F34" s="760"/>
      <c r="G34" s="760"/>
      <c r="H34" s="760"/>
      <c r="I34" s="760"/>
      <c r="J34" s="760"/>
      <c r="K34" s="760"/>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C9:E9"/>
    <mergeCell ref="G9:K9"/>
    <mergeCell ref="M9:Q9"/>
    <mergeCell ref="C3:D3"/>
    <mergeCell ref="E4:L4"/>
    <mergeCell ref="B8:E8"/>
    <mergeCell ref="F8:K8"/>
    <mergeCell ref="F31:K31"/>
    <mergeCell ref="B21:D21"/>
    <mergeCell ref="G28:K28"/>
    <mergeCell ref="G29:K29"/>
    <mergeCell ref="F30:K30"/>
    <mergeCell ref="B30:E30"/>
    <mergeCell ref="B27:D27"/>
    <mergeCell ref="B28:D28"/>
    <mergeCell ref="B29:D29"/>
    <mergeCell ref="B22:D22"/>
    <mergeCell ref="L31:P31"/>
    <mergeCell ref="L20:Q20"/>
    <mergeCell ref="L21:Q21"/>
    <mergeCell ref="L22:Q22"/>
    <mergeCell ref="L28:Q28"/>
    <mergeCell ref="L30:P30"/>
    <mergeCell ref="L23:Q23"/>
    <mergeCell ref="L24:Q24"/>
    <mergeCell ref="L29:Q2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19:Q19"/>
    <mergeCell ref="L25:Q25"/>
    <mergeCell ref="L26:Q26"/>
    <mergeCell ref="L27:Q27"/>
    <mergeCell ref="G20:K20"/>
    <mergeCell ref="G21:K21"/>
    <mergeCell ref="G22:K22"/>
    <mergeCell ref="G19:H19"/>
    <mergeCell ref="I19:J19"/>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zoomScalePageLayoutView="90" workbookViewId="0">
      <selection activeCell="Q12" sqref="Q12"/>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41" t="str">
        <f>+"Dashboard:  "&amp;"  "&amp;IF(+'Data Entry'!C4="Please Select","",'Data Entry'!C4&amp;" - ")&amp;IF('Data Entry'!G6="Please Select","",'Data Entry'!G6)</f>
        <v>Dashboard:    Georgia - TB</v>
      </c>
      <c r="C2" s="741"/>
      <c r="D2" s="741"/>
      <c r="E2" s="741"/>
      <c r="F2" s="741"/>
      <c r="G2" s="741"/>
      <c r="H2" s="741"/>
      <c r="I2" s="741"/>
      <c r="J2" s="741"/>
      <c r="K2" s="741"/>
      <c r="L2" s="741"/>
      <c r="M2" s="741"/>
      <c r="N2" s="741"/>
      <c r="O2" s="73"/>
    </row>
    <row r="3" spans="1:15" customFormat="1" ht="18.75">
      <c r="A3" s="3"/>
      <c r="B3" s="135" t="str">
        <f>+IF('Data Entry'!G8="Please Select","",'Data Entry'!G8)</f>
        <v>Round 10</v>
      </c>
      <c r="C3" s="717" t="str">
        <f>+IF('Data Entry'!I8="Please Select","",'Data Entry'!I8)</f>
        <v>Phase 2</v>
      </c>
      <c r="D3" s="717"/>
      <c r="E3" s="744"/>
      <c r="F3" s="744"/>
      <c r="G3" s="744"/>
      <c r="H3" s="744"/>
      <c r="I3" s="744"/>
      <c r="J3" s="744"/>
      <c r="K3" s="744"/>
      <c r="L3" s="135" t="str">
        <f>+'Data Entry'!B16</f>
        <v>Report Period:</v>
      </c>
      <c r="M3" s="202" t="str">
        <f>+'Data Entry'!C16</f>
        <v>P6</v>
      </c>
      <c r="N3" s="202"/>
      <c r="O3" s="31"/>
    </row>
    <row r="4" spans="1:15" customFormat="1" ht="15">
      <c r="A4" s="3"/>
      <c r="B4" s="135" t="str">
        <f>+'Data Entry'!B12</f>
        <v>Latest Rating:</v>
      </c>
      <c r="C4" s="745" t="str">
        <f>+IF('Data Entry'!C12="Please Select","",'Data Entry'!C12)</f>
        <v>A2</v>
      </c>
      <c r="D4" s="745"/>
      <c r="E4" s="716" t="str">
        <f>+'Data Entry'!C8</f>
        <v>NCDC</v>
      </c>
      <c r="F4" s="716"/>
      <c r="G4" s="716"/>
      <c r="H4" s="716"/>
      <c r="I4" s="716"/>
      <c r="J4" s="716"/>
      <c r="K4" s="716"/>
      <c r="L4" s="135" t="str">
        <f>+'Data Entry'!D16</f>
        <v>From:</v>
      </c>
      <c r="M4" s="203">
        <f>+IF(ISBLANK('Data Entry'!E16),"",'Data Entry'!E16)</f>
        <v>42186</v>
      </c>
      <c r="N4" s="203"/>
      <c r="O4" s="31"/>
    </row>
    <row r="5" spans="1:15" customFormat="1" ht="18.75" customHeight="1">
      <c r="A5" s="3"/>
      <c r="B5" s="135"/>
      <c r="C5" s="135"/>
      <c r="D5" s="136"/>
      <c r="E5" s="716">
        <f>+'Data Entry'!G4</f>
        <v>0</v>
      </c>
      <c r="F5" s="716"/>
      <c r="G5" s="716"/>
      <c r="H5" s="716"/>
      <c r="I5" s="716"/>
      <c r="J5" s="716"/>
      <c r="K5" s="716"/>
      <c r="L5" s="135" t="str">
        <f>+'Data Entry'!F16</f>
        <v>To:</v>
      </c>
      <c r="M5" s="203">
        <f>+IF(ISBLANK('Data Entry'!G16),"",'Data Entry'!G16)</f>
        <v>42277</v>
      </c>
      <c r="N5" s="203"/>
    </row>
    <row r="6" spans="1:15" customFormat="1" ht="22.5" customHeight="1">
      <c r="A6" s="3"/>
      <c r="B6" s="140"/>
      <c r="C6" s="141"/>
      <c r="D6" s="142"/>
      <c r="E6" s="809" t="s">
        <v>316</v>
      </c>
      <c r="F6" s="809"/>
      <c r="G6" s="809"/>
      <c r="H6" s="809"/>
      <c r="I6" s="809"/>
      <c r="J6" s="809"/>
      <c r="K6" s="809"/>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783" t="s">
        <v>99</v>
      </c>
      <c r="C8" s="783"/>
      <c r="D8" s="783"/>
      <c r="E8" s="783"/>
      <c r="F8" s="783"/>
      <c r="G8" s="783"/>
      <c r="H8" s="783"/>
      <c r="I8" s="783"/>
      <c r="J8" s="783"/>
      <c r="K8" s="783"/>
      <c r="L8" s="783"/>
      <c r="M8" s="783"/>
      <c r="N8" s="783"/>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04" t="s">
        <v>94</v>
      </c>
      <c r="C10" s="796"/>
      <c r="D10" s="784" t="s">
        <v>98</v>
      </c>
      <c r="E10" s="785"/>
      <c r="F10" s="785"/>
      <c r="G10" s="786"/>
      <c r="H10" s="163"/>
      <c r="I10" s="784" t="s">
        <v>316</v>
      </c>
      <c r="J10" s="785"/>
      <c r="K10" s="785"/>
      <c r="L10" s="785"/>
      <c r="M10" s="785"/>
      <c r="N10" s="786"/>
    </row>
    <row r="11" spans="1:15" s="34" customFormat="1" ht="28.5" customHeight="1">
      <c r="A11" s="160"/>
      <c r="B11" s="436" t="s">
        <v>102</v>
      </c>
      <c r="C11" s="180"/>
      <c r="D11" s="807" t="str">
        <f>IF(ISBLANK(Finance!C9),"",(Finance!C9))</f>
        <v/>
      </c>
      <c r="E11" s="807"/>
      <c r="F11" s="807"/>
      <c r="G11" s="812"/>
      <c r="H11" s="186"/>
      <c r="I11" s="813"/>
      <c r="J11" s="814"/>
      <c r="K11" s="814"/>
      <c r="L11" s="814"/>
      <c r="M11" s="814"/>
      <c r="N11" s="815"/>
    </row>
    <row r="12" spans="1:15" s="34" customFormat="1" ht="27.75" customHeight="1">
      <c r="A12" s="160"/>
      <c r="B12" s="437" t="s">
        <v>103</v>
      </c>
      <c r="C12" s="181"/>
      <c r="D12" s="807" t="str">
        <f>IF(ISBLANK(Finance!C23),"",(Finance!C23))</f>
        <v/>
      </c>
      <c r="E12" s="807"/>
      <c r="F12" s="807"/>
      <c r="G12" s="812"/>
      <c r="H12" s="186"/>
      <c r="I12" s="798"/>
      <c r="J12" s="799"/>
      <c r="K12" s="799"/>
      <c r="L12" s="799"/>
      <c r="M12" s="799"/>
      <c r="N12" s="800"/>
    </row>
    <row r="13" spans="1:15" s="34" customFormat="1" ht="26.25" customHeight="1">
      <c r="A13" s="160"/>
      <c r="B13" s="437" t="s">
        <v>104</v>
      </c>
      <c r="C13" s="181"/>
      <c r="D13" s="807" t="str">
        <f>IF(ISBLANK(Finance!I9),"",(Finance!I9))</f>
        <v/>
      </c>
      <c r="E13" s="807"/>
      <c r="F13" s="807"/>
      <c r="G13" s="812"/>
      <c r="H13" s="186"/>
      <c r="I13" s="798"/>
      <c r="J13" s="799"/>
      <c r="K13" s="799"/>
      <c r="L13" s="799"/>
      <c r="M13" s="799"/>
      <c r="N13" s="800"/>
    </row>
    <row r="14" spans="1:15" s="34" customFormat="1" ht="28.5" customHeight="1" thickBot="1">
      <c r="A14" s="160"/>
      <c r="B14" s="438" t="s">
        <v>105</v>
      </c>
      <c r="C14" s="182"/>
      <c r="D14" s="810" t="str">
        <f>IF(ISBLANK(Finance!I23),"",(Finance!I23))</f>
        <v/>
      </c>
      <c r="E14" s="810"/>
      <c r="F14" s="810"/>
      <c r="G14" s="811"/>
      <c r="H14" s="186"/>
      <c r="I14" s="801"/>
      <c r="J14" s="802"/>
      <c r="K14" s="802"/>
      <c r="L14" s="802"/>
      <c r="M14" s="802"/>
      <c r="N14" s="803"/>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783" t="s">
        <v>101</v>
      </c>
      <c r="C16" s="783"/>
      <c r="D16" s="783"/>
      <c r="E16" s="783"/>
      <c r="F16" s="783"/>
      <c r="G16" s="783"/>
      <c r="H16" s="783"/>
      <c r="I16" s="783"/>
      <c r="J16" s="783"/>
      <c r="K16" s="783"/>
      <c r="L16" s="783"/>
      <c r="M16" s="783"/>
      <c r="N16" s="783"/>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796" t="s">
        <v>95</v>
      </c>
      <c r="C18" s="797"/>
      <c r="D18" s="819" t="s">
        <v>98</v>
      </c>
      <c r="E18" s="820"/>
      <c r="F18" s="820"/>
      <c r="G18" s="821"/>
      <c r="H18" s="163"/>
      <c r="I18" s="816" t="s">
        <v>316</v>
      </c>
      <c r="J18" s="817"/>
      <c r="K18" s="817"/>
      <c r="L18" s="817"/>
      <c r="M18" s="818"/>
      <c r="N18" s="818"/>
    </row>
    <row r="19" spans="1:15" s="34" customFormat="1" ht="21.75" customHeight="1">
      <c r="A19" s="160"/>
      <c r="B19" s="439" t="s">
        <v>110</v>
      </c>
      <c r="C19" s="188"/>
      <c r="D19" s="805" t="str">
        <f>IF(ISBLANK(Management!C8),"",(Management!C8))</f>
        <v/>
      </c>
      <c r="E19" s="805"/>
      <c r="F19" s="805"/>
      <c r="G19" s="806"/>
      <c r="H19" s="189"/>
      <c r="I19" s="787"/>
      <c r="J19" s="788"/>
      <c r="K19" s="788"/>
      <c r="L19" s="788"/>
      <c r="M19" s="788"/>
      <c r="N19" s="789"/>
    </row>
    <row r="20" spans="1:15" ht="24.75" customHeight="1">
      <c r="A20" s="154"/>
      <c r="B20" s="440" t="s">
        <v>111</v>
      </c>
      <c r="C20" s="190"/>
      <c r="D20" s="807" t="str">
        <f>IF(ISBLANK(Management!I8),"",(Management!I8))</f>
        <v/>
      </c>
      <c r="E20" s="807">
        <f>+'Data Entry'!D73/'Data Entry'!G73</f>
        <v>0.83333333333333337</v>
      </c>
      <c r="F20" s="807">
        <f>+('Data Entry'!E73+'Data Entry'!F73)/'Data Entry'!G73</f>
        <v>0.16666666666666666</v>
      </c>
      <c r="G20" s="808"/>
      <c r="H20" s="189"/>
      <c r="I20" s="793"/>
      <c r="J20" s="794"/>
      <c r="K20" s="794"/>
      <c r="L20" s="794"/>
      <c r="M20" s="794"/>
      <c r="N20" s="795"/>
      <c r="O20" s="35"/>
    </row>
    <row r="21" spans="1:15" ht="29.25" customHeight="1">
      <c r="A21" s="154"/>
      <c r="B21" s="441" t="s">
        <v>112</v>
      </c>
      <c r="C21" s="190"/>
      <c r="D21" s="807" t="str">
        <f>IF(ISBLANK(Management!C16),"",(Management!C16))</f>
        <v/>
      </c>
      <c r="E21" s="807"/>
      <c r="F21" s="807"/>
      <c r="G21" s="808"/>
      <c r="H21" s="189"/>
      <c r="I21" s="793"/>
      <c r="J21" s="794"/>
      <c r="K21" s="794"/>
      <c r="L21" s="794"/>
      <c r="M21" s="794"/>
      <c r="N21" s="795"/>
      <c r="O21" s="35"/>
    </row>
    <row r="22" spans="1:15" ht="26.25" customHeight="1">
      <c r="A22" s="154"/>
      <c r="B22" s="441" t="s">
        <v>113</v>
      </c>
      <c r="C22" s="190"/>
      <c r="D22" s="807" t="str">
        <f>IF(ISBLANK(Management!I16),"",(Management!I16))</f>
        <v/>
      </c>
      <c r="E22" s="807"/>
      <c r="F22" s="807"/>
      <c r="G22" s="808"/>
      <c r="H22" s="189"/>
      <c r="I22" s="793"/>
      <c r="J22" s="794"/>
      <c r="K22" s="794"/>
      <c r="L22" s="794"/>
      <c r="M22" s="794"/>
      <c r="N22" s="795"/>
      <c r="O22" s="35"/>
    </row>
    <row r="23" spans="1:15" ht="24.75" customHeight="1">
      <c r="A23" s="154"/>
      <c r="B23" s="441" t="s">
        <v>114</v>
      </c>
      <c r="C23" s="190"/>
      <c r="D23" s="807" t="str">
        <f>IF(ISBLANK(Management!C27),"",(Management!C27))</f>
        <v/>
      </c>
      <c r="E23" s="807"/>
      <c r="F23" s="807"/>
      <c r="G23" s="808"/>
      <c r="H23" s="189"/>
      <c r="I23" s="793"/>
      <c r="J23" s="794"/>
      <c r="K23" s="794"/>
      <c r="L23" s="794"/>
      <c r="M23" s="794"/>
      <c r="N23" s="795"/>
      <c r="O23" s="35"/>
    </row>
    <row r="24" spans="1:15" ht="27" customHeight="1" thickBot="1">
      <c r="A24" s="154"/>
      <c r="B24" s="442" t="s">
        <v>116</v>
      </c>
      <c r="C24" s="191"/>
      <c r="D24" s="826" t="str">
        <f>IF(ISBLANK(Management!I27),"",(Management!I27))</f>
        <v>The new order is expected to deliver in April 2015</v>
      </c>
      <c r="E24" s="826"/>
      <c r="F24" s="826"/>
      <c r="G24" s="827"/>
      <c r="H24" s="189"/>
      <c r="I24" s="790"/>
      <c r="J24" s="791"/>
      <c r="K24" s="791"/>
      <c r="L24" s="791"/>
      <c r="M24" s="791"/>
      <c r="N24" s="792"/>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783" t="s">
        <v>100</v>
      </c>
      <c r="C26" s="783"/>
      <c r="D26" s="783"/>
      <c r="E26" s="783"/>
      <c r="F26" s="783"/>
      <c r="G26" s="783"/>
      <c r="H26" s="783"/>
      <c r="I26" s="783"/>
      <c r="J26" s="783"/>
      <c r="K26" s="783"/>
      <c r="L26" s="783"/>
      <c r="M26" s="783"/>
      <c r="N26" s="783"/>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04" t="s">
        <v>7</v>
      </c>
      <c r="C28" s="797"/>
      <c r="D28" s="828" t="s">
        <v>98</v>
      </c>
      <c r="E28" s="829"/>
      <c r="F28" s="829"/>
      <c r="G28" s="830"/>
      <c r="H28" s="163"/>
      <c r="I28" s="828" t="s">
        <v>316</v>
      </c>
      <c r="J28" s="829"/>
      <c r="K28" s="829"/>
      <c r="L28" s="829"/>
      <c r="M28" s="829"/>
      <c r="N28" s="830"/>
      <c r="O28" s="35"/>
    </row>
    <row r="29" spans="1:15" ht="29.25" customHeight="1">
      <c r="A29" s="154"/>
      <c r="B29" s="443" t="s">
        <v>317</v>
      </c>
      <c r="C29" s="192"/>
      <c r="D29" s="831" t="str">
        <f>IF(ISBLANK(Programmatic!C9),"",(Programmatic!C9))</f>
        <v/>
      </c>
      <c r="E29" s="832"/>
      <c r="F29" s="832"/>
      <c r="G29" s="833"/>
      <c r="H29" s="189"/>
      <c r="I29" s="834"/>
      <c r="J29" s="835"/>
      <c r="K29" s="835"/>
      <c r="L29" s="835"/>
      <c r="M29" s="835"/>
      <c r="N29" s="836"/>
      <c r="O29" s="35"/>
    </row>
    <row r="30" spans="1:15" ht="21.75" customHeight="1">
      <c r="A30" s="154"/>
      <c r="B30" s="444" t="s">
        <v>318</v>
      </c>
      <c r="C30" s="193"/>
      <c r="D30" s="825" t="str">
        <f>IF(ISBLANK(Programmatic!G9),"",(Programmatic!G9))</f>
        <v/>
      </c>
      <c r="E30" s="823"/>
      <c r="F30" s="823"/>
      <c r="G30" s="824"/>
      <c r="H30" s="189"/>
      <c r="I30" s="777"/>
      <c r="J30" s="778"/>
      <c r="K30" s="778"/>
      <c r="L30" s="778"/>
      <c r="M30" s="778"/>
      <c r="N30" s="779"/>
      <c r="O30" s="35"/>
    </row>
    <row r="31" spans="1:15" ht="21.75" customHeight="1">
      <c r="A31" s="154"/>
      <c r="B31" s="444" t="s">
        <v>319</v>
      </c>
      <c r="C31" s="193"/>
      <c r="D31" s="825" t="str">
        <f>IF(ISBLANK(Programmatic!M9),"",(Programmatic!M9))</f>
        <v/>
      </c>
      <c r="E31" s="823"/>
      <c r="F31" s="823"/>
      <c r="G31" s="824"/>
      <c r="H31" s="189"/>
      <c r="I31" s="777"/>
      <c r="J31" s="778"/>
      <c r="K31" s="778"/>
      <c r="L31" s="778"/>
      <c r="M31" s="778"/>
      <c r="N31" s="779"/>
      <c r="O31" s="35"/>
    </row>
    <row r="32" spans="1:15" ht="21.75" customHeight="1">
      <c r="A32" s="154"/>
      <c r="B32" s="445" t="s">
        <v>106</v>
      </c>
      <c r="C32" s="193"/>
      <c r="D32" s="822" t="str">
        <f>IF(ISBLANK(Programmatic!L20),"",(Programmatic!L20))</f>
        <v/>
      </c>
      <c r="E32" s="823"/>
      <c r="F32" s="823"/>
      <c r="G32" s="824"/>
      <c r="H32" s="189"/>
      <c r="I32" s="777"/>
      <c r="J32" s="778"/>
      <c r="K32" s="778"/>
      <c r="L32" s="778"/>
      <c r="M32" s="778"/>
      <c r="N32" s="779"/>
      <c r="O32" s="35"/>
    </row>
    <row r="33" spans="1:15" ht="27" customHeight="1">
      <c r="A33" s="154"/>
      <c r="B33" s="445" t="s">
        <v>107</v>
      </c>
      <c r="C33" s="193"/>
      <c r="D33" s="822" t="str">
        <f>IF(ISBLANK(Programmatic!L21),"",(Programmatic!L21))</f>
        <v>Actual result reported (70% meaning that 336 patients, out of 477 received cash incentives for adequate compliance) includes transactions held in July-Sep 2015 (for underlying month July). As per Aug-Sep 2015 compliance – incentives were transferred in Q4</v>
      </c>
      <c r="E33" s="823"/>
      <c r="F33" s="823"/>
      <c r="G33" s="824"/>
      <c r="H33" s="189"/>
      <c r="I33" s="777"/>
      <c r="J33" s="778"/>
      <c r="K33" s="778"/>
      <c r="L33" s="778"/>
      <c r="M33" s="778"/>
      <c r="N33" s="779"/>
      <c r="O33" s="35"/>
    </row>
    <row r="34" spans="1:15" ht="21.75" customHeight="1">
      <c r="A34" s="154"/>
      <c r="B34" s="445" t="s">
        <v>108</v>
      </c>
      <c r="C34" s="193"/>
      <c r="D34" s="822" t="str">
        <f>IF(ISBLANK(Programmatic!L22),"",(Programmatic!L22))</f>
        <v xml:space="preserve">The relatively low indicator relates to the actual (decreased) number of TB patients in the country. </v>
      </c>
      <c r="E34" s="823"/>
      <c r="F34" s="823"/>
      <c r="G34" s="824"/>
      <c r="H34" s="189"/>
      <c r="I34" s="777"/>
      <c r="J34" s="778"/>
      <c r="K34" s="778"/>
      <c r="L34" s="778"/>
      <c r="M34" s="778"/>
      <c r="N34" s="779"/>
      <c r="O34" s="35"/>
    </row>
    <row r="35" spans="1:15" ht="21.75" customHeight="1">
      <c r="A35" s="154"/>
      <c r="B35" s="445" t="s">
        <v>109</v>
      </c>
      <c r="C35" s="236"/>
      <c r="D35" s="822" t="str">
        <f>IF(ISBLANK(Programmatic!L23),"",(Programmatic!L23))</f>
        <v/>
      </c>
      <c r="E35" s="823"/>
      <c r="F35" s="823"/>
      <c r="G35" s="824"/>
      <c r="H35" s="189"/>
      <c r="I35" s="777"/>
      <c r="J35" s="778"/>
      <c r="K35" s="778"/>
      <c r="L35" s="778"/>
      <c r="M35" s="778"/>
      <c r="N35" s="779"/>
      <c r="O35" s="35"/>
    </row>
    <row r="36" spans="1:15" ht="21.75" customHeight="1">
      <c r="A36" s="154"/>
      <c r="B36" s="445" t="s">
        <v>121</v>
      </c>
      <c r="C36" s="236"/>
      <c r="D36" s="822" t="str">
        <f>IF(ISBLANK(Programmatic!L24),"",(Programmatic!L24))</f>
        <v xml:space="preserve">The relatively low indicator relates to the actual (decreased) number of TB patients in the country. </v>
      </c>
      <c r="E36" s="823"/>
      <c r="F36" s="823"/>
      <c r="G36" s="824"/>
      <c r="H36" s="189"/>
      <c r="I36" s="777"/>
      <c r="J36" s="778"/>
      <c r="K36" s="778"/>
      <c r="L36" s="778"/>
      <c r="M36" s="778"/>
      <c r="N36" s="779"/>
      <c r="O36" s="35"/>
    </row>
    <row r="37" spans="1:15" ht="21.75" customHeight="1">
      <c r="A37" s="154"/>
      <c r="B37" s="445" t="s">
        <v>122</v>
      </c>
      <c r="C37" s="236"/>
      <c r="D37" s="822" t="str">
        <f>IF(ISBLANK(Programmatic!L25),"",(Programmatic!L25))</f>
        <v xml:space="preserve">The relatively low indicator relates to the actual (decreased) number of TB patients in the country. </v>
      </c>
      <c r="E37" s="823"/>
      <c r="F37" s="823"/>
      <c r="G37" s="824"/>
      <c r="H37" s="189"/>
      <c r="I37" s="777"/>
      <c r="J37" s="778"/>
      <c r="K37" s="778"/>
      <c r="L37" s="778"/>
      <c r="M37" s="778"/>
      <c r="N37" s="779"/>
      <c r="O37" s="35"/>
    </row>
    <row r="38" spans="1:15" ht="21.75" customHeight="1">
      <c r="A38" s="154"/>
      <c r="B38" s="445" t="s">
        <v>123</v>
      </c>
      <c r="C38" s="236"/>
      <c r="D38" s="822" t="str">
        <f>IF(ISBLANK(Programmatic!L26),"",(Programmatic!L26))</f>
        <v/>
      </c>
      <c r="E38" s="823"/>
      <c r="F38" s="823"/>
      <c r="G38" s="824"/>
      <c r="H38" s="189"/>
      <c r="I38" s="777"/>
      <c r="J38" s="778"/>
      <c r="K38" s="778"/>
      <c r="L38" s="778"/>
      <c r="M38" s="778"/>
      <c r="N38" s="779"/>
      <c r="O38" s="35"/>
    </row>
    <row r="39" spans="1:15" ht="21.75" customHeight="1">
      <c r="A39" s="154"/>
      <c r="B39" s="445" t="s">
        <v>124</v>
      </c>
      <c r="C39" s="236"/>
      <c r="D39" s="822" t="str">
        <f>IF(ISBLANK(Programmatic!L27),"",(Programmatic!L27))</f>
        <v/>
      </c>
      <c r="E39" s="823"/>
      <c r="F39" s="823"/>
      <c r="G39" s="824"/>
      <c r="H39" s="189"/>
      <c r="I39" s="777"/>
      <c r="J39" s="778"/>
      <c r="K39" s="778"/>
      <c r="L39" s="778"/>
      <c r="M39" s="778"/>
      <c r="N39" s="779"/>
      <c r="O39" s="35"/>
    </row>
    <row r="40" spans="1:15" ht="21.75" customHeight="1">
      <c r="A40" s="154"/>
      <c r="B40" s="445" t="s">
        <v>125</v>
      </c>
      <c r="C40" s="236"/>
      <c r="D40" s="822" t="str">
        <f>IF(ISBLANK(Programmatic!L28),"",(Programmatic!L28))</f>
        <v/>
      </c>
      <c r="E40" s="823"/>
      <c r="F40" s="823"/>
      <c r="G40" s="824"/>
      <c r="H40" s="189"/>
      <c r="I40" s="777"/>
      <c r="J40" s="778"/>
      <c r="K40" s="778"/>
      <c r="L40" s="778"/>
      <c r="M40" s="778"/>
      <c r="N40" s="779"/>
      <c r="O40" s="35"/>
    </row>
    <row r="41" spans="1:15" ht="21.75" customHeight="1" thickBot="1">
      <c r="A41" s="154"/>
      <c r="B41" s="445" t="s">
        <v>126</v>
      </c>
      <c r="C41" s="194"/>
      <c r="D41" s="822" t="str">
        <f>IF(ISBLANK(Programmatic!L29),"",(Programmatic!L29))</f>
        <v/>
      </c>
      <c r="E41" s="823"/>
      <c r="F41" s="823"/>
      <c r="G41" s="824"/>
      <c r="H41" s="189"/>
      <c r="I41" s="780"/>
      <c r="J41" s="781"/>
      <c r="K41" s="781"/>
      <c r="L41" s="781"/>
      <c r="M41" s="781"/>
      <c r="N41" s="782"/>
      <c r="O41" s="35"/>
    </row>
    <row r="42" spans="1:15" ht="14.25">
      <c r="A42" s="154"/>
      <c r="B42" s="195"/>
      <c r="C42" s="195"/>
      <c r="D42" s="196"/>
      <c r="E42" s="154"/>
      <c r="F42" s="195"/>
      <c r="G42" s="195"/>
      <c r="H42" s="154"/>
      <c r="I42" s="197"/>
      <c r="J42" s="154"/>
      <c r="K42" s="198"/>
      <c r="L42" s="198"/>
      <c r="M42" s="198"/>
      <c r="N42" s="198"/>
      <c r="O42" s="35"/>
    </row>
  </sheetData>
  <sheetProtection password="CFC9" sheet="1"/>
  <mergeCells count="65">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 ref="D36:G36"/>
    <mergeCell ref="D30:G30"/>
    <mergeCell ref="D31:G31"/>
    <mergeCell ref="D24:G24"/>
    <mergeCell ref="D33:G3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B2:N2"/>
    <mergeCell ref="E5:K5"/>
    <mergeCell ref="E6:K6"/>
    <mergeCell ref="E3:K3"/>
    <mergeCell ref="C4:D4"/>
    <mergeCell ref="E4:K4"/>
    <mergeCell ref="C3:D3"/>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I40:N40"/>
    <mergeCell ref="I41:N41"/>
    <mergeCell ref="I35:N35"/>
    <mergeCell ref="I36:N36"/>
    <mergeCell ref="I37:N37"/>
    <mergeCell ref="I38:N38"/>
    <mergeCell ref="I39:N39"/>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abSelected="1" zoomScale="110" zoomScaleNormal="110" zoomScaleSheetLayoutView="100" zoomScalePageLayoutView="110" workbookViewId="0">
      <selection activeCell="J14" sqref="J14:J15"/>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38" t="str">
        <f>+"Dashboard:  "&amp;"  "&amp;IF(+'Data Entry'!C4="Please Select","",'Data Entry'!C4&amp;" - ")&amp;IF('Data Entry'!G6="Please Select","",'Data Entry'!G6)</f>
        <v>Dashboard:    Georgia - TB</v>
      </c>
      <c r="C2" s="738"/>
      <c r="D2" s="738"/>
      <c r="E2" s="738"/>
      <c r="F2" s="738"/>
      <c r="G2" s="738"/>
      <c r="H2" s="738"/>
      <c r="I2" s="738"/>
      <c r="J2" s="738"/>
      <c r="K2" s="738"/>
      <c r="L2" s="738"/>
    </row>
    <row r="3" spans="1:13">
      <c r="B3" s="24" t="str">
        <f>+IF('Data Entry'!G8="Please Select","",'Data Entry'!G8)</f>
        <v>Round 10</v>
      </c>
      <c r="C3" s="737" t="str">
        <f>+IF('Data Entry'!I8="Please Select","",'Data Entry'!I8)</f>
        <v>Phase 2</v>
      </c>
      <c r="D3" s="737"/>
      <c r="E3" s="735"/>
      <c r="F3" s="735"/>
      <c r="G3" s="735"/>
      <c r="H3" s="735"/>
      <c r="I3" s="735"/>
      <c r="J3" s="731" t="str">
        <f>+'Data Entry'!B16</f>
        <v>Report Period:</v>
      </c>
      <c r="K3" s="731"/>
      <c r="L3" s="202" t="str">
        <f>+'Data Entry'!C16</f>
        <v>P6</v>
      </c>
      <c r="M3" s="85"/>
    </row>
    <row r="4" spans="1:13">
      <c r="B4" s="24" t="str">
        <f>+'Data Entry'!B12</f>
        <v>Latest Rating:</v>
      </c>
      <c r="C4" s="883" t="str">
        <f>+IF('Data Entry'!C12="Please Select","",'Data Entry'!C12)</f>
        <v>A2</v>
      </c>
      <c r="D4" s="883"/>
      <c r="E4" s="735" t="str">
        <f>+'Data Entry'!C8</f>
        <v>NCDC</v>
      </c>
      <c r="F4" s="735"/>
      <c r="G4" s="735"/>
      <c r="H4" s="735"/>
      <c r="I4" s="735"/>
      <c r="J4" s="731" t="str">
        <f>+'Data Entry'!D16</f>
        <v>From:</v>
      </c>
      <c r="K4" s="732"/>
      <c r="L4" s="203">
        <f>+IF(ISBLANK('Data Entry'!E16),"",'Data Entry'!E16)</f>
        <v>42186</v>
      </c>
    </row>
    <row r="5" spans="1:13" ht="18.75" customHeight="1">
      <c r="B5" s="24"/>
      <c r="C5" s="24"/>
      <c r="D5" s="735">
        <f>+'Data Entry'!G4</f>
        <v>0</v>
      </c>
      <c r="E5" s="735"/>
      <c r="F5" s="735"/>
      <c r="G5" s="735"/>
      <c r="H5" s="735"/>
      <c r="I5" s="735"/>
      <c r="J5" s="735"/>
      <c r="K5" s="24" t="str">
        <f>+'Data Entry'!F16</f>
        <v>To:</v>
      </c>
      <c r="L5" s="203">
        <f>+IF(ISBLANK('Data Entry'!G16),"",'Data Entry'!G16)</f>
        <v>42277</v>
      </c>
    </row>
    <row r="6" spans="1:13" ht="18.75">
      <c r="B6" s="23"/>
      <c r="C6" s="24"/>
      <c r="D6" s="25"/>
      <c r="E6" s="739" t="s">
        <v>373</v>
      </c>
      <c r="F6" s="739"/>
      <c r="G6" s="739"/>
      <c r="H6" s="739"/>
      <c r="I6" s="739"/>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85"/>
      <c r="C10" s="886"/>
      <c r="D10" s="886"/>
      <c r="E10" s="886"/>
      <c r="F10" s="886"/>
      <c r="G10" s="886"/>
      <c r="H10" s="886"/>
      <c r="I10" s="886"/>
      <c r="J10" s="886"/>
      <c r="K10" s="886"/>
      <c r="L10" s="887"/>
    </row>
    <row r="11" spans="1:13">
      <c r="B11" s="888"/>
      <c r="C11" s="889"/>
      <c r="D11" s="889"/>
      <c r="E11" s="889"/>
      <c r="F11" s="889"/>
      <c r="G11" s="889"/>
      <c r="H11" s="889"/>
      <c r="I11" s="889"/>
      <c r="J11" s="889"/>
      <c r="K11" s="889"/>
      <c r="L11" s="890"/>
    </row>
    <row r="12" spans="1:13" ht="15.75" thickBot="1"/>
    <row r="13" spans="1:13" ht="26.25" customHeight="1" thickBot="1">
      <c r="B13" s="845" t="s">
        <v>306</v>
      </c>
      <c r="C13" s="846"/>
      <c r="D13" s="846"/>
      <c r="E13" s="847"/>
      <c r="F13" s="77"/>
      <c r="G13" s="840" t="s">
        <v>129</v>
      </c>
      <c r="H13" s="841"/>
      <c r="I13" s="841"/>
      <c r="J13" s="78" t="s">
        <v>97</v>
      </c>
      <c r="K13" s="841" t="s">
        <v>293</v>
      </c>
      <c r="L13" s="879"/>
    </row>
    <row r="14" spans="1:13">
      <c r="A14" s="837" t="s">
        <v>307</v>
      </c>
      <c r="B14" s="864" t="s">
        <v>445</v>
      </c>
      <c r="C14" s="864"/>
      <c r="D14" s="864"/>
      <c r="E14" s="865"/>
      <c r="F14" s="46"/>
      <c r="G14" s="871" t="s">
        <v>446</v>
      </c>
      <c r="H14" s="870"/>
      <c r="I14" s="870"/>
      <c r="J14" s="870"/>
      <c r="K14" s="870" t="s">
        <v>447</v>
      </c>
      <c r="L14" s="884"/>
    </row>
    <row r="15" spans="1:13">
      <c r="A15" s="838"/>
      <c r="B15" s="864"/>
      <c r="C15" s="864"/>
      <c r="D15" s="864"/>
      <c r="E15" s="865"/>
      <c r="F15" s="46"/>
      <c r="G15" s="842"/>
      <c r="H15" s="843"/>
      <c r="I15" s="843"/>
      <c r="J15" s="843"/>
      <c r="K15" s="843"/>
      <c r="L15" s="878"/>
    </row>
    <row r="16" spans="1:13">
      <c r="A16" s="838"/>
      <c r="B16" s="864"/>
      <c r="C16" s="864"/>
      <c r="D16" s="864"/>
      <c r="E16" s="865"/>
      <c r="F16" s="46"/>
      <c r="G16" s="842"/>
      <c r="H16" s="843"/>
      <c r="I16" s="843"/>
      <c r="J16" s="843"/>
      <c r="K16" s="843"/>
      <c r="L16" s="878"/>
    </row>
    <row r="17" spans="1:12">
      <c r="A17" s="838"/>
      <c r="B17" s="864"/>
      <c r="C17" s="864"/>
      <c r="D17" s="864"/>
      <c r="E17" s="865"/>
      <c r="F17" s="46"/>
      <c r="G17" s="842"/>
      <c r="H17" s="843"/>
      <c r="I17" s="843"/>
      <c r="J17" s="843"/>
      <c r="K17" s="843"/>
      <c r="L17" s="878"/>
    </row>
    <row r="18" spans="1:12">
      <c r="A18" s="838"/>
      <c r="B18" s="864"/>
      <c r="C18" s="864"/>
      <c r="D18" s="864"/>
      <c r="E18" s="865"/>
      <c r="F18" s="46"/>
      <c r="G18" s="872"/>
      <c r="H18" s="873"/>
      <c r="I18" s="874"/>
      <c r="J18" s="843"/>
      <c r="K18" s="843"/>
      <c r="L18" s="878"/>
    </row>
    <row r="19" spans="1:12" ht="30.75" customHeight="1">
      <c r="A19" s="838"/>
      <c r="B19" s="864"/>
      <c r="C19" s="864"/>
      <c r="D19" s="864"/>
      <c r="E19" s="865"/>
      <c r="F19" s="46"/>
      <c r="G19" s="855"/>
      <c r="H19" s="856"/>
      <c r="I19" s="875"/>
      <c r="J19" s="843"/>
      <c r="K19" s="843"/>
      <c r="L19" s="878"/>
    </row>
    <row r="20" spans="1:12">
      <c r="A20" s="838"/>
      <c r="B20" s="864"/>
      <c r="C20" s="864"/>
      <c r="D20" s="864"/>
      <c r="E20" s="865"/>
      <c r="F20" s="46"/>
      <c r="G20" s="842"/>
      <c r="H20" s="843"/>
      <c r="I20" s="843"/>
      <c r="J20" s="843"/>
      <c r="K20" s="843"/>
      <c r="L20" s="878"/>
    </row>
    <row r="21" spans="1:12">
      <c r="A21" s="838"/>
      <c r="B21" s="864"/>
      <c r="C21" s="864"/>
      <c r="D21" s="864"/>
      <c r="E21" s="865"/>
      <c r="F21" s="46"/>
      <c r="G21" s="842"/>
      <c r="H21" s="843"/>
      <c r="I21" s="843"/>
      <c r="J21" s="843"/>
      <c r="K21" s="843"/>
      <c r="L21" s="878"/>
    </row>
    <row r="22" spans="1:12">
      <c r="A22" s="838"/>
      <c r="B22" s="864"/>
      <c r="C22" s="864"/>
      <c r="D22" s="864"/>
      <c r="E22" s="865"/>
      <c r="F22" s="46"/>
      <c r="G22" s="842"/>
      <c r="H22" s="843"/>
      <c r="I22" s="843"/>
      <c r="J22" s="843"/>
      <c r="K22" s="843"/>
      <c r="L22" s="878"/>
    </row>
    <row r="23" spans="1:12">
      <c r="A23" s="838"/>
      <c r="B23" s="864"/>
      <c r="C23" s="864"/>
      <c r="D23" s="864"/>
      <c r="E23" s="865"/>
      <c r="F23" s="46"/>
      <c r="G23" s="842"/>
      <c r="H23" s="843"/>
      <c r="I23" s="843"/>
      <c r="J23" s="843"/>
      <c r="K23" s="843"/>
      <c r="L23" s="878"/>
    </row>
    <row r="24" spans="1:12">
      <c r="A24" s="838"/>
      <c r="B24" s="864"/>
      <c r="C24" s="864"/>
      <c r="D24" s="864"/>
      <c r="E24" s="865"/>
      <c r="F24" s="46"/>
      <c r="G24" s="842"/>
      <c r="H24" s="843"/>
      <c r="I24" s="843"/>
      <c r="J24" s="843"/>
      <c r="K24" s="843"/>
      <c r="L24" s="878"/>
    </row>
    <row r="25" spans="1:12" ht="15.75" thickBot="1">
      <c r="A25" s="839"/>
      <c r="B25" s="866"/>
      <c r="C25" s="866"/>
      <c r="D25" s="866"/>
      <c r="E25" s="867"/>
      <c r="F25" s="46"/>
      <c r="G25" s="848"/>
      <c r="H25" s="849"/>
      <c r="I25" s="849"/>
      <c r="J25" s="849"/>
      <c r="K25" s="849"/>
      <c r="L25" s="880"/>
    </row>
    <row r="27" spans="1:12" ht="18.75">
      <c r="E27" s="844" t="s">
        <v>336</v>
      </c>
      <c r="F27" s="844"/>
      <c r="G27" s="844"/>
      <c r="H27" s="844"/>
      <c r="I27" s="844"/>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45" t="s">
        <v>129</v>
      </c>
      <c r="C31" s="846"/>
      <c r="D31" s="846"/>
      <c r="E31" s="847"/>
      <c r="F31" s="77"/>
      <c r="G31" s="840" t="s">
        <v>321</v>
      </c>
      <c r="H31" s="841"/>
      <c r="I31" s="841"/>
      <c r="J31" s="78" t="s">
        <v>295</v>
      </c>
      <c r="K31" s="841" t="s">
        <v>293</v>
      </c>
      <c r="L31" s="879"/>
    </row>
    <row r="32" spans="1:12" ht="14.25" customHeight="1">
      <c r="A32" s="837" t="s">
        <v>308</v>
      </c>
      <c r="B32" s="852"/>
      <c r="C32" s="853"/>
      <c r="D32" s="853"/>
      <c r="E32" s="854"/>
      <c r="F32" s="46"/>
      <c r="G32" s="868"/>
      <c r="H32" s="869"/>
      <c r="I32" s="869"/>
      <c r="J32" s="869"/>
      <c r="K32" s="869"/>
      <c r="L32" s="882"/>
    </row>
    <row r="33" spans="1:12" ht="16.5" customHeight="1">
      <c r="A33" s="838"/>
      <c r="B33" s="855"/>
      <c r="C33" s="856"/>
      <c r="D33" s="856"/>
      <c r="E33" s="857"/>
      <c r="F33" s="46"/>
      <c r="G33" s="850"/>
      <c r="H33" s="851"/>
      <c r="I33" s="851"/>
      <c r="J33" s="851"/>
      <c r="K33" s="851"/>
      <c r="L33" s="881"/>
    </row>
    <row r="34" spans="1:12">
      <c r="A34" s="838"/>
      <c r="B34" s="858" t="str">
        <f>IF(Recommendations!I43="","",Recommendations!I43)</f>
        <v/>
      </c>
      <c r="C34" s="859"/>
      <c r="D34" s="859"/>
      <c r="E34" s="860"/>
      <c r="F34" s="46"/>
      <c r="G34" s="850"/>
      <c r="H34" s="851"/>
      <c r="I34" s="851"/>
      <c r="J34" s="851"/>
      <c r="K34" s="851"/>
      <c r="L34" s="881"/>
    </row>
    <row r="35" spans="1:12">
      <c r="A35" s="838"/>
      <c r="B35" s="858"/>
      <c r="C35" s="859"/>
      <c r="D35" s="859"/>
      <c r="E35" s="860"/>
      <c r="F35" s="46"/>
      <c r="G35" s="850"/>
      <c r="H35" s="851"/>
      <c r="I35" s="851"/>
      <c r="J35" s="851"/>
      <c r="K35" s="851"/>
      <c r="L35" s="881"/>
    </row>
    <row r="36" spans="1:12">
      <c r="A36" s="838"/>
      <c r="B36" s="858" t="str">
        <f>+IF(Recommendations!I53="","",Recommendations!I53)</f>
        <v/>
      </c>
      <c r="C36" s="859"/>
      <c r="D36" s="859"/>
      <c r="E36" s="860"/>
      <c r="F36" s="46"/>
      <c r="G36" s="850"/>
      <c r="H36" s="851"/>
      <c r="I36" s="851"/>
      <c r="J36" s="851"/>
      <c r="K36" s="851"/>
      <c r="L36" s="881"/>
    </row>
    <row r="37" spans="1:12">
      <c r="A37" s="838"/>
      <c r="B37" s="858"/>
      <c r="C37" s="859"/>
      <c r="D37" s="859"/>
      <c r="E37" s="860"/>
      <c r="F37" s="46"/>
      <c r="G37" s="850"/>
      <c r="H37" s="851"/>
      <c r="I37" s="851"/>
      <c r="J37" s="851"/>
      <c r="K37" s="851"/>
      <c r="L37" s="881"/>
    </row>
    <row r="38" spans="1:12">
      <c r="A38" s="838"/>
      <c r="B38" s="858"/>
      <c r="C38" s="859"/>
      <c r="D38" s="859"/>
      <c r="E38" s="860"/>
      <c r="F38" s="46"/>
      <c r="G38" s="850"/>
      <c r="H38" s="851"/>
      <c r="I38" s="851"/>
      <c r="J38" s="851"/>
      <c r="K38" s="851"/>
      <c r="L38" s="881"/>
    </row>
    <row r="39" spans="1:12">
      <c r="A39" s="838"/>
      <c r="B39" s="858"/>
      <c r="C39" s="859"/>
      <c r="D39" s="859"/>
      <c r="E39" s="860"/>
      <c r="F39" s="46"/>
      <c r="G39" s="850"/>
      <c r="H39" s="851"/>
      <c r="I39" s="851"/>
      <c r="J39" s="851"/>
      <c r="K39" s="851"/>
      <c r="L39" s="881"/>
    </row>
    <row r="40" spans="1:12">
      <c r="A40" s="838"/>
      <c r="B40" s="858"/>
      <c r="C40" s="859"/>
      <c r="D40" s="859"/>
      <c r="E40" s="860"/>
      <c r="F40" s="46"/>
      <c r="G40" s="850"/>
      <c r="H40" s="851"/>
      <c r="I40" s="851"/>
      <c r="J40" s="851"/>
      <c r="K40" s="851"/>
      <c r="L40" s="881"/>
    </row>
    <row r="41" spans="1:12">
      <c r="A41" s="838"/>
      <c r="B41" s="858"/>
      <c r="C41" s="859"/>
      <c r="D41" s="859"/>
      <c r="E41" s="860"/>
      <c r="F41" s="46"/>
      <c r="G41" s="850"/>
      <c r="H41" s="851"/>
      <c r="I41" s="851"/>
      <c r="J41" s="851"/>
      <c r="K41" s="851"/>
      <c r="L41" s="881"/>
    </row>
    <row r="42" spans="1:12">
      <c r="A42" s="838"/>
      <c r="B42" s="858"/>
      <c r="C42" s="859"/>
      <c r="D42" s="859"/>
      <c r="E42" s="860"/>
      <c r="F42" s="46"/>
      <c r="G42" s="850"/>
      <c r="H42" s="851"/>
      <c r="I42" s="851"/>
      <c r="J42" s="851"/>
      <c r="K42" s="851"/>
      <c r="L42" s="881"/>
    </row>
    <row r="43" spans="1:12" ht="15.75" thickBot="1">
      <c r="A43" s="839"/>
      <c r="B43" s="861"/>
      <c r="C43" s="862"/>
      <c r="D43" s="862"/>
      <c r="E43" s="863"/>
      <c r="F43" s="46"/>
      <c r="G43" s="876"/>
      <c r="H43" s="877"/>
      <c r="I43" s="877"/>
      <c r="J43" s="877"/>
      <c r="K43" s="877"/>
      <c r="L43" s="891"/>
    </row>
  </sheetData>
  <sheetProtection password="CFC9" sheet="1"/>
  <mergeCells count="67">
    <mergeCell ref="J32:J33"/>
    <mergeCell ref="J34:J35"/>
    <mergeCell ref="K40:L41"/>
    <mergeCell ref="J38:J39"/>
    <mergeCell ref="K42:L43"/>
    <mergeCell ref="K36:L37"/>
    <mergeCell ref="K38:L39"/>
    <mergeCell ref="B2:L2"/>
    <mergeCell ref="C4:D4"/>
    <mergeCell ref="K14:L15"/>
    <mergeCell ref="K16:L17"/>
    <mergeCell ref="E3:I3"/>
    <mergeCell ref="J3:K3"/>
    <mergeCell ref="E4:I4"/>
    <mergeCell ref="J4:K4"/>
    <mergeCell ref="E6:I6"/>
    <mergeCell ref="C3:D3"/>
    <mergeCell ref="D5:J5"/>
    <mergeCell ref="B13:E13"/>
    <mergeCell ref="B10:L11"/>
    <mergeCell ref="K13:L13"/>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1A7189D-6043-4BCC-A93B-7366B7BCBFA9}">
  <ds:schemaRefs>
    <ds:schemaRef ds:uri="http://schemas.microsoft.com/office/2006/metadata/properties"/>
    <ds:schemaRef ds:uri="http://purl.org/dc/terms/"/>
    <ds:schemaRef ds:uri="http://www.w3.org/XML/1998/namespace"/>
    <ds:schemaRef ds:uri="http://purl.org/dc/dcmitype/"/>
    <ds:schemaRef ds:uri="http://schemas.microsoft.com/office/2006/documentManagement/types"/>
    <ds:schemaRef ds:uri="f127e3a1-6a43-4b35-8211-dfdf2a8cacea"/>
    <ds:schemaRef ds:uri="http://schemas.openxmlformats.org/package/2006/metadata/core-properties"/>
    <ds:schemaRef ds:uri="http://schemas.microsoft.com/sharepoint/v3"/>
    <ds:schemaRef ds:uri="http://purl.org/dc/elements/1.1/"/>
  </ds:schemaRefs>
</ds:datastoreItem>
</file>

<file path=customXml/itemProps3.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Natia Khonelidze</cp:lastModifiedBy>
  <cp:lastPrinted>2015-03-11T10:26:05Z</cp:lastPrinted>
  <dcterms:created xsi:type="dcterms:W3CDTF">2008-11-20T16:06:13Z</dcterms:created>
  <dcterms:modified xsi:type="dcterms:W3CDTF">2015-12-02T23:05:26Z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