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mc:AlternateContent xmlns:mc="http://schemas.openxmlformats.org/markup-compatibility/2006">
    <mc:Choice Requires="x15">
      <x15ac:absPath xmlns:x15ac="http://schemas.microsoft.com/office/spreadsheetml/2010/11/ac" url="M:\GF-NFM\dashboards\"/>
    </mc:Choice>
  </mc:AlternateContent>
  <bookViews>
    <workbookView xWindow="0" yWindow="0" windowWidth="28800" windowHeight="12435" tabRatio="721" activeTab="2"/>
  </bookViews>
  <sheets>
    <sheet name="Menu" sheetId="1" r:id="rId1"/>
    <sheet name="List of Indicators" sheetId="45" r:id="rId2"/>
    <sheet name="Data Entry" sheetId="29" r:id="rId3"/>
    <sheet name="Grant Detail" sheetId="27" r:id="rId4"/>
    <sheet name="Finance" sheetId="30" r:id="rId5"/>
    <sheet name="Management" sheetId="35" r:id="rId6"/>
    <sheet name="Programmatic" sheetId="37" r:id="rId7"/>
    <sheet name="Recommendations" sheetId="42" r:id="rId8"/>
    <sheet name="Actions"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Finance!$A$2:$K$31</definedName>
    <definedName name="_xlnm.Print_Area" localSheetId="5">Management!$A$1:$L$34</definedName>
    <definedName name="_xlnm.Print_Area" localSheetId="6">Programmatic!$A$1:$Q$29</definedName>
    <definedName name="PrintA">Actions!$A$2:$L$34</definedName>
    <definedName name="PrintDataF">'Data Entry'!$B$25:$J$65</definedName>
    <definedName name="PrintDataM">'Data Entry'!$B$67:$H$111</definedName>
    <definedName name="PrintF">Finance!$A$2:$K$31</definedName>
    <definedName name="PrintGD">'Grant Detail'!$A$2:$J$13</definedName>
    <definedName name="PrintM" localSheetId="8">Actions!$A$2:$L$6</definedName>
    <definedName name="PrintM">Management!$A$2:$L$36</definedName>
    <definedName name="PrintP">Programmatic!$A$2:$P$30</definedName>
    <definedName name="PrintR">Recommendations!$A$2:$N$41</definedName>
    <definedName name="Rating">Setup!$G$9:$G$14</definedName>
    <definedName name="Round">Setup!$D$9:$D$21</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K96" i="29" l="1"/>
  <c r="D52" i="29" l="1"/>
  <c r="C52" i="29"/>
  <c r="J97" i="29"/>
  <c r="F32" i="29"/>
  <c r="C47" i="29"/>
  <c r="G108" i="29"/>
  <c r="E53" i="29"/>
  <c r="E54" i="29"/>
  <c r="D47" i="29"/>
  <c r="E109" i="29"/>
  <c r="G96" i="29"/>
  <c r="F96" i="29"/>
  <c r="E96" i="29"/>
  <c r="D96" i="29"/>
  <c r="C96" i="29"/>
  <c r="E32" i="29"/>
  <c r="C32" i="29"/>
  <c r="H118" i="29"/>
  <c r="I118" i="29"/>
  <c r="J118" i="29"/>
  <c r="K118" i="29"/>
  <c r="E55" i="29"/>
  <c r="E108" i="29"/>
  <c r="I108" i="29"/>
  <c r="K108" i="29" s="1"/>
  <c r="L30" i="35" s="1"/>
  <c r="G109" i="29"/>
  <c r="I109" i="29"/>
  <c r="J31" i="35" s="1"/>
  <c r="G110" i="29"/>
  <c r="I110" i="29"/>
  <c r="K110" i="29" s="1"/>
  <c r="L32" i="35" s="1"/>
  <c r="E111" i="29"/>
  <c r="G111" i="29"/>
  <c r="I111" i="29" s="1"/>
  <c r="J33" i="35" s="1"/>
  <c r="C33" i="29"/>
  <c r="C34" i="29"/>
  <c r="E52" i="29"/>
  <c r="E20" i="37"/>
  <c r="B22" i="45"/>
  <c r="F29" i="37"/>
  <c r="F28" i="37"/>
  <c r="F27" i="37"/>
  <c r="F26" i="37"/>
  <c r="F25" i="37"/>
  <c r="E29" i="37"/>
  <c r="E28" i="37"/>
  <c r="E27" i="37"/>
  <c r="G27" i="37" s="1"/>
  <c r="E26" i="37"/>
  <c r="E25" i="37"/>
  <c r="F24" i="37"/>
  <c r="E24" i="37"/>
  <c r="G24" i="37" s="1"/>
  <c r="F23" i="37"/>
  <c r="E23" i="37"/>
  <c r="F22" i="37"/>
  <c r="E22" i="37"/>
  <c r="F21" i="37"/>
  <c r="E21" i="37"/>
  <c r="F20" i="37"/>
  <c r="G20" i="37" s="1"/>
  <c r="B2" i="45"/>
  <c r="B2" i="39"/>
  <c r="B2" i="42"/>
  <c r="B2" i="37"/>
  <c r="B2" i="35"/>
  <c r="K5" i="30"/>
  <c r="K4" i="30"/>
  <c r="L5" i="35"/>
  <c r="L4" i="35"/>
  <c r="Q5" i="37"/>
  <c r="Q4" i="37"/>
  <c r="M5" i="42"/>
  <c r="M4" i="42"/>
  <c r="L5" i="39"/>
  <c r="L4" i="39"/>
  <c r="C4" i="39"/>
  <c r="C3" i="39"/>
  <c r="B3" i="39"/>
  <c r="C4" i="42"/>
  <c r="C3" i="42"/>
  <c r="B3" i="42"/>
  <c r="C4" i="37"/>
  <c r="C3" i="37"/>
  <c r="B3" i="37"/>
  <c r="C4" i="35"/>
  <c r="C3" i="35"/>
  <c r="B3" i="35"/>
  <c r="C4" i="30"/>
  <c r="C3" i="30"/>
  <c r="B3" i="30"/>
  <c r="B2" i="30"/>
  <c r="I9" i="27"/>
  <c r="G9" i="27"/>
  <c r="G13" i="27"/>
  <c r="G11" i="27"/>
  <c r="D11" i="27"/>
  <c r="B12" i="27"/>
  <c r="I11" i="27"/>
  <c r="D10" i="27"/>
  <c r="B10" i="27"/>
  <c r="B9" i="27"/>
  <c r="B6" i="27"/>
  <c r="B3" i="27"/>
  <c r="B2" i="1"/>
  <c r="B4" i="1"/>
  <c r="E90" i="29"/>
  <c r="E89" i="29"/>
  <c r="D11" i="42"/>
  <c r="J3" i="35"/>
  <c r="L3" i="35"/>
  <c r="H26" i="35"/>
  <c r="I3" i="30"/>
  <c r="K3" i="30"/>
  <c r="B8" i="30"/>
  <c r="D33" i="42"/>
  <c r="D34" i="42"/>
  <c r="D35" i="42"/>
  <c r="D36" i="42"/>
  <c r="D37" i="42"/>
  <c r="D38" i="42"/>
  <c r="D39" i="42"/>
  <c r="D40" i="42"/>
  <c r="D41" i="42"/>
  <c r="D32" i="42"/>
  <c r="D31" i="42"/>
  <c r="D30" i="42"/>
  <c r="D29" i="42"/>
  <c r="K30" i="35"/>
  <c r="K31" i="35"/>
  <c r="K32" i="35"/>
  <c r="K33" i="35"/>
  <c r="L144" i="29"/>
  <c r="M144" i="29"/>
  <c r="N144" i="29"/>
  <c r="O144" i="29"/>
  <c r="P144" i="29"/>
  <c r="Q144" i="29"/>
  <c r="R144" i="29"/>
  <c r="S144" i="29"/>
  <c r="L145" i="29"/>
  <c r="M145" i="29"/>
  <c r="N145" i="29"/>
  <c r="O145" i="29"/>
  <c r="P145" i="29"/>
  <c r="Q145" i="29"/>
  <c r="R145" i="29"/>
  <c r="S145" i="29"/>
  <c r="L146" i="29"/>
  <c r="M146" i="29"/>
  <c r="N146" i="29"/>
  <c r="O146" i="29"/>
  <c r="P146" i="29"/>
  <c r="Q146" i="29"/>
  <c r="R146" i="29"/>
  <c r="S146" i="29"/>
  <c r="L147" i="29"/>
  <c r="M147" i="29"/>
  <c r="N147" i="29"/>
  <c r="O147" i="29"/>
  <c r="P147" i="29"/>
  <c r="Q147" i="29"/>
  <c r="R147" i="29"/>
  <c r="S147" i="29"/>
  <c r="L148" i="29"/>
  <c r="M148" i="29"/>
  <c r="N148" i="29"/>
  <c r="O148" i="29"/>
  <c r="P148" i="29"/>
  <c r="Q148" i="29"/>
  <c r="R148" i="29"/>
  <c r="S148" i="29"/>
  <c r="M143" i="29"/>
  <c r="N143" i="29"/>
  <c r="O143" i="29"/>
  <c r="P143" i="29"/>
  <c r="Q143" i="29"/>
  <c r="R143" i="29"/>
  <c r="S143" i="29"/>
  <c r="F145" i="29"/>
  <c r="F147" i="29"/>
  <c r="F143" i="29"/>
  <c r="E145" i="29"/>
  <c r="E147" i="29"/>
  <c r="E143" i="29"/>
  <c r="B145" i="29"/>
  <c r="B147" i="29"/>
  <c r="B143" i="29"/>
  <c r="B32" i="29"/>
  <c r="D38" i="29"/>
  <c r="C38" i="29"/>
  <c r="B31" i="29"/>
  <c r="E51" i="29"/>
  <c r="H29" i="30"/>
  <c r="H28" i="30"/>
  <c r="H27" i="30"/>
  <c r="D24" i="42"/>
  <c r="D23" i="42"/>
  <c r="D22" i="42"/>
  <c r="D21" i="42"/>
  <c r="D20" i="42"/>
  <c r="D19" i="42"/>
  <c r="D14" i="42"/>
  <c r="D13" i="42"/>
  <c r="D12" i="42"/>
  <c r="B25" i="45"/>
  <c r="B23" i="45"/>
  <c r="B21" i="45"/>
  <c r="B20" i="45"/>
  <c r="B19" i="45"/>
  <c r="B11" i="45"/>
  <c r="B10" i="45"/>
  <c r="B9" i="45"/>
  <c r="B8" i="45"/>
  <c r="B4" i="37"/>
  <c r="B4" i="35"/>
  <c r="B4" i="30"/>
  <c r="G73" i="29"/>
  <c r="E20" i="42"/>
  <c r="G12" i="27"/>
  <c r="H4" i="1"/>
  <c r="K148" i="29"/>
  <c r="K147" i="29"/>
  <c r="K146" i="29"/>
  <c r="K145" i="29"/>
  <c r="K144" i="29"/>
  <c r="K143" i="29"/>
  <c r="C98" i="29"/>
  <c r="D98" i="29"/>
  <c r="E98" i="29"/>
  <c r="F98" i="29"/>
  <c r="G98" i="29"/>
  <c r="H98" i="29"/>
  <c r="I98" i="29"/>
  <c r="J98" i="29"/>
  <c r="K98" i="29"/>
  <c r="L98" i="29"/>
  <c r="M98" i="29"/>
  <c r="N98" i="29"/>
  <c r="K27" i="30"/>
  <c r="J27" i="30"/>
  <c r="K28" i="30"/>
  <c r="J28" i="30"/>
  <c r="K29" i="30"/>
  <c r="J29" i="30"/>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C100" i="29"/>
  <c r="D100" i="29"/>
  <c r="E100" i="29"/>
  <c r="F100" i="29"/>
  <c r="G100" i="29"/>
  <c r="H100" i="29"/>
  <c r="I100" i="29"/>
  <c r="J100" i="29"/>
  <c r="K100" i="29"/>
  <c r="L100" i="29" s="1"/>
  <c r="M100" i="29" s="1"/>
  <c r="N100" i="29" s="1"/>
  <c r="C99" i="29"/>
  <c r="D99" i="29"/>
  <c r="E99" i="29"/>
  <c r="F99" i="29"/>
  <c r="G99" i="29"/>
  <c r="H99" i="29"/>
  <c r="I99" i="29"/>
  <c r="J99" i="29"/>
  <c r="K99" i="29"/>
  <c r="L99" i="29" s="1"/>
  <c r="M99" i="29" s="1"/>
  <c r="N99" i="29" s="1"/>
  <c r="E79" i="29"/>
  <c r="D5" i="35"/>
  <c r="E4" i="35"/>
  <c r="K5" i="35"/>
  <c r="J4" i="35"/>
  <c r="D5" i="37"/>
  <c r="P5" i="37"/>
  <c r="P4" i="37"/>
  <c r="O3" i="37"/>
  <c r="J5" i="30"/>
  <c r="D5" i="30"/>
  <c r="I4" i="30"/>
  <c r="E4" i="30"/>
  <c r="L8" i="37"/>
  <c r="F8" i="37"/>
  <c r="B8" i="37"/>
  <c r="L143" i="29"/>
  <c r="J148" i="29"/>
  <c r="J147" i="29"/>
  <c r="J146" i="29"/>
  <c r="J145" i="29"/>
  <c r="J144" i="29"/>
  <c r="J143" i="29"/>
  <c r="I148" i="29"/>
  <c r="I147" i="29"/>
  <c r="I146" i="29"/>
  <c r="I145" i="29"/>
  <c r="I144" i="29"/>
  <c r="I143" i="29"/>
  <c r="H148" i="29"/>
  <c r="H147" i="29"/>
  <c r="H146" i="29"/>
  <c r="H145" i="29"/>
  <c r="H144" i="29"/>
  <c r="H143" i="29"/>
  <c r="B26" i="37"/>
  <c r="B25" i="37"/>
  <c r="B24" i="37"/>
  <c r="B23" i="37"/>
  <c r="S142" i="29"/>
  <c r="R142" i="29"/>
  <c r="Q142" i="29"/>
  <c r="P142" i="29"/>
  <c r="O142" i="29"/>
  <c r="B22" i="37"/>
  <c r="B21" i="37"/>
  <c r="B20" i="37"/>
  <c r="B27" i="37"/>
  <c r="N142" i="29"/>
  <c r="M142" i="29"/>
  <c r="L142" i="29"/>
  <c r="K142" i="29"/>
  <c r="J142" i="29"/>
  <c r="I142" i="29"/>
  <c r="H142" i="29"/>
  <c r="B36" i="39"/>
  <c r="B34" i="39"/>
  <c r="B34" i="35"/>
  <c r="Z24" i="37"/>
  <c r="AA24" i="37"/>
  <c r="Z23" i="37"/>
  <c r="AA23" i="37"/>
  <c r="Z22" i="37"/>
  <c r="AA22" i="37"/>
  <c r="AF21" i="37"/>
  <c r="AE21" i="37"/>
  <c r="AD21" i="37"/>
  <c r="AC21" i="37"/>
  <c r="AB21" i="37"/>
  <c r="T21" i="37"/>
  <c r="U21" i="37"/>
  <c r="V21" i="37"/>
  <c r="W21" i="37"/>
  <c r="X21" i="37"/>
  <c r="T22" i="37"/>
  <c r="U22" i="37"/>
  <c r="V22" i="37"/>
  <c r="W22" i="37"/>
  <c r="X22" i="37"/>
  <c r="T23" i="37"/>
  <c r="U23" i="37"/>
  <c r="V23" i="37"/>
  <c r="W23" i="37"/>
  <c r="X23" i="37"/>
  <c r="T24" i="37"/>
  <c r="U24" i="37"/>
  <c r="V24" i="37"/>
  <c r="W24" i="37"/>
  <c r="X24" i="37"/>
  <c r="T25" i="37"/>
  <c r="U25" i="37"/>
  <c r="V25" i="37"/>
  <c r="W25" i="37"/>
  <c r="X25" i="37"/>
  <c r="U28" i="37"/>
  <c r="T26" i="37"/>
  <c r="U26" i="37"/>
  <c r="V26" i="37"/>
  <c r="W26" i="37"/>
  <c r="X26" i="37"/>
  <c r="T29" i="37"/>
  <c r="T27" i="37"/>
  <c r="U27" i="37"/>
  <c r="V27" i="37"/>
  <c r="W27" i="37"/>
  <c r="X27" i="37"/>
  <c r="B28" i="37"/>
  <c r="T28" i="37"/>
  <c r="V28" i="37"/>
  <c r="X28" i="37"/>
  <c r="B29"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AF23" i="37"/>
  <c r="AE23" i="37"/>
  <c r="AD23" i="37"/>
  <c r="AB23" i="37"/>
  <c r="AC23" i="37"/>
  <c r="F20" i="42"/>
  <c r="B3" i="32"/>
  <c r="J32" i="35"/>
  <c r="AF24" i="37"/>
  <c r="AE24" i="37"/>
  <c r="AB24" i="37"/>
  <c r="AF22" i="37"/>
  <c r="AE22" i="37"/>
  <c r="AD22" i="37"/>
  <c r="D34" i="29"/>
  <c r="E34" i="29"/>
  <c r="F34" i="29"/>
  <c r="G34" i="29"/>
  <c r="H34" i="29"/>
  <c r="I34" i="29"/>
  <c r="J34" i="29"/>
  <c r="K34" i="29"/>
  <c r="L34" i="29"/>
  <c r="M34" i="29"/>
  <c r="N34" i="29"/>
  <c r="H8" i="30"/>
  <c r="D33" i="29"/>
  <c r="C35" i="29"/>
  <c r="R29" i="29"/>
  <c r="AC22" i="37"/>
  <c r="AC24" i="37"/>
  <c r="AB22" i="37"/>
  <c r="AD24" i="37"/>
  <c r="R30" i="29"/>
  <c r="E33" i="29"/>
  <c r="D35" i="29"/>
  <c r="E35" i="29"/>
  <c r="R31" i="29"/>
  <c r="F33" i="29"/>
  <c r="R32" i="29"/>
  <c r="F35" i="29"/>
  <c r="H7" i="35"/>
  <c r="K109" i="29"/>
  <c r="L31" i="35" s="1"/>
  <c r="B7" i="35"/>
  <c r="G33" i="29"/>
  <c r="H33" i="29"/>
  <c r="R34" i="29"/>
  <c r="H35" i="29"/>
  <c r="G35" i="29"/>
  <c r="R33" i="29"/>
  <c r="H15" i="35"/>
  <c r="B15" i="35"/>
  <c r="H22" i="30"/>
  <c r="B22" i="30"/>
  <c r="I33" i="29"/>
  <c r="J33" i="29"/>
  <c r="F47" i="29"/>
  <c r="I35" i="29"/>
  <c r="R35" i="29"/>
  <c r="K33" i="29"/>
  <c r="J35" i="29"/>
  <c r="R49" i="29"/>
  <c r="L33" i="29"/>
  <c r="R50" i="29"/>
  <c r="K35" i="29"/>
  <c r="L35" i="29"/>
  <c r="M33" i="29"/>
  <c r="N33" i="29"/>
  <c r="N35" i="29"/>
  <c r="M35" i="29"/>
  <c r="Q51" i="29"/>
  <c r="O31" i="29"/>
  <c r="K111" i="29" l="1"/>
  <c r="L33" i="35" s="1"/>
  <c r="J30" i="35"/>
  <c r="G21" i="37"/>
  <c r="G25" i="37"/>
  <c r="G26" i="37"/>
  <c r="G23" i="37"/>
  <c r="G29" i="37"/>
  <c r="G22" i="37"/>
  <c r="G28" i="37"/>
</calcChain>
</file>

<file path=xl/comments1.xml><?xml version="1.0" encoding="utf-8"?>
<comments xmlns="http://schemas.openxmlformats.org/spreadsheetml/2006/main">
  <authors>
    <author>mgleixner</author>
    <author>molszak</author>
  </authors>
  <commentList>
    <comment ref="B30" authorId="0" shapeId="0">
      <text>
        <r>
          <rPr>
            <sz val="8"/>
            <color indexed="81"/>
            <rFont val="Tahoma"/>
            <family val="2"/>
            <charset val="204"/>
          </rPr>
          <t>To define your periods (eg. P1, P2, P3 etc or P9, P10, P11 etc) you need to unprotect the cells.</t>
        </r>
      </text>
    </comment>
    <comment ref="B72" authorId="1" shapeId="0">
      <text>
        <r>
          <rPr>
            <b/>
            <sz val="8"/>
            <color indexed="81"/>
            <rFont val="Tahoma"/>
            <family val="2"/>
          </rPr>
          <t xml:space="preserve">If data are not available, do not enter zeros; rather, leave the cells in the table blank. </t>
        </r>
      </text>
    </comment>
    <comment ref="B73" authorId="1" shapeId="0">
      <text>
        <r>
          <rPr>
            <b/>
            <sz val="8"/>
            <color indexed="81"/>
            <rFont val="Tahoma"/>
            <family val="2"/>
          </rPr>
          <t>If data are not available, do not enter zeros; rather, leave the cells in this table blank.</t>
        </r>
      </text>
    </comment>
    <comment ref="B79" authorId="0" shapeId="0">
      <text>
        <r>
          <rPr>
            <sz val="8"/>
            <color indexed="81"/>
            <rFont val="Tahoma"/>
            <family val="2"/>
            <charset val="204"/>
          </rPr>
          <t xml:space="preserve">If data are not available, do not enter zeros; rather, leave the cells in this table blank. </t>
        </r>
      </text>
    </comment>
    <comment ref="B94" authorId="0" shapeId="0">
      <text>
        <r>
          <rPr>
            <sz val="8"/>
            <color indexed="81"/>
            <rFont val="Tahoma"/>
            <family val="2"/>
            <charset val="204"/>
          </rPr>
          <t>To define your periods (eg. P1, P2, P3 etc or P9, P10, P11 etc) you need to unprotect the cells.</t>
        </r>
      </text>
    </comment>
  </commentList>
</comments>
</file>

<file path=xl/sharedStrings.xml><?xml version="1.0" encoding="utf-8"?>
<sst xmlns="http://schemas.openxmlformats.org/spreadsheetml/2006/main" count="568" uniqueCount="447">
  <si>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</si>
  <si>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Days taken to submit final PU/DR to LFA</t>
  </si>
  <si>
    <t>Information reporting period</t>
  </si>
  <si>
    <t>Enter the data based on the colour-coded cells</t>
  </si>
  <si>
    <t>% Cumulative</t>
  </si>
  <si>
    <t>Obligations cumulative</t>
  </si>
  <si>
    <t>Expenditures cumulative</t>
  </si>
  <si>
    <t>Programmatic</t>
  </si>
  <si>
    <t>To:</t>
  </si>
  <si>
    <t>Comments:</t>
  </si>
  <si>
    <t xml:space="preserve">Comments: </t>
  </si>
  <si>
    <t>Time Bound Actions (TBAs)</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</si>
  <si>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</si>
  <si>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</si>
  <si>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</si>
  <si>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</si>
  <si>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</si>
  <si>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</si>
  <si>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</si>
  <si>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</si>
  <si>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</si>
  <si>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</si>
  <si>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</si>
  <si>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</si>
  <si>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</si>
  <si>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</si>
  <si>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</si>
  <si>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</si>
  <si>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</si>
  <si>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</si>
  <si>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</si>
  <si>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</si>
  <si>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</si>
  <si>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</si>
  <si>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</si>
  <si>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</si>
  <si>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</si>
  <si>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</si>
  <si>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</si>
  <si>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</si>
  <si>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</si>
  <si>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</si>
  <si>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</si>
  <si>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</si>
  <si>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</si>
  <si>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</si>
  <si>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</si>
  <si>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</si>
  <si>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</si>
  <si>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</si>
  <si>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</si>
  <si>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</si>
  <si>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</si>
  <si>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</si>
  <si>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</si>
  <si>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</si>
  <si>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</si>
  <si>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</si>
  <si>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</si>
  <si>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</si>
  <si>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</si>
  <si>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</si>
  <si>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</si>
  <si>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</si>
  <si>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</si>
  <si>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</si>
  <si>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</si>
  <si>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</si>
  <si>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</si>
  <si>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</si>
  <si>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</si>
  <si>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</si>
  <si>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</si>
  <si>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</si>
  <si>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</si>
  <si>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</si>
  <si>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</si>
  <si>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</si>
  <si>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</si>
  <si>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</si>
  <si>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</si>
  <si>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</si>
  <si>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</si>
  <si>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</si>
  <si>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</si>
  <si>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</si>
  <si>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</si>
  <si>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</si>
  <si>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</si>
  <si>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</si>
  <si>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</si>
  <si>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</si>
  <si>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</si>
  <si>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</si>
  <si>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</si>
  <si>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</si>
  <si>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</si>
  <si>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</si>
  <si>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</si>
  <si>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</si>
  <si>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</si>
  <si>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</si>
  <si>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</si>
  <si>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</si>
  <si>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</si>
  <si>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</si>
  <si>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</si>
  <si>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</si>
  <si>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</si>
  <si>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</si>
  <si>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</si>
  <si>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</si>
  <si>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</si>
  <si>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</si>
  <si>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</si>
  <si>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</si>
  <si>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</si>
  <si>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Grant No.:</t>
  </si>
  <si>
    <t>Fulfilled</t>
  </si>
  <si>
    <t>Not fulfilled, and past the deadline</t>
  </si>
  <si>
    <t>Receiving Funding</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</si>
  <si>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</si>
  <si>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</si>
  <si>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</si>
  <si>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</si>
  <si>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</si>
  <si>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</si>
  <si>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</si>
  <si>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</si>
  <si>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</si>
  <si>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</si>
  <si>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</si>
  <si>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</si>
  <si>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</si>
  <si>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</si>
  <si>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</si>
  <si>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</si>
  <si>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</si>
  <si>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</si>
  <si>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</si>
  <si>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</si>
  <si>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</si>
  <si>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</si>
  <si>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</si>
  <si>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</si>
  <si>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</si>
  <si>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</si>
  <si>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</si>
  <si>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</si>
  <si>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</si>
  <si>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</si>
  <si>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</si>
  <si>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</si>
  <si>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</si>
  <si>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</si>
  <si>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</si>
  <si>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</si>
  <si>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</si>
  <si>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</si>
  <si>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</si>
  <si>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</si>
  <si>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</si>
  <si>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</si>
  <si>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</si>
  <si>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</si>
  <si>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</si>
  <si>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</si>
  <si>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</si>
  <si>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</si>
  <si>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</si>
  <si>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</si>
  <si>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</si>
  <si>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</si>
  <si>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</si>
  <si>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</si>
  <si>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</si>
  <si>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</si>
  <si>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</si>
  <si>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</si>
  <si>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</si>
  <si>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</si>
  <si>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</si>
  <si>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</si>
  <si>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</si>
  <si>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</si>
  <si>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</si>
  <si>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</si>
  <si>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</si>
  <si>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</si>
  <si>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</si>
  <si>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</si>
  <si>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</si>
  <si>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</si>
  <si>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</si>
  <si>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</si>
  <si>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</si>
  <si>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</si>
  <si>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</si>
  <si>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</si>
  <si>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</si>
  <si>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</si>
  <si>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</si>
  <si>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</si>
  <si>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</si>
  <si>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</si>
  <si>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</si>
  <si>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</si>
  <si>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</si>
  <si>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</si>
  <si>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</si>
  <si>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</si>
  <si>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</si>
  <si>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</si>
  <si>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</si>
  <si>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</si>
  <si>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</si>
  <si>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</si>
  <si>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</si>
  <si>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</si>
  <si>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</si>
  <si>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</si>
  <si>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</si>
  <si>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</si>
  <si>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</si>
  <si>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</si>
  <si>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</si>
  <si>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</si>
  <si>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</si>
  <si>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</si>
  <si>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</si>
  <si>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</si>
  <si>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</si>
  <si>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</si>
  <si>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</si>
  <si>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</si>
  <si>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</si>
  <si>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</si>
  <si>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</si>
  <si>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</si>
  <si>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</si>
  <si>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</si>
  <si>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</si>
  <si>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</si>
  <si>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</si>
  <si>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</si>
  <si>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</si>
  <si>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</si>
  <si>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</si>
  <si>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</si>
  <si>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</si>
  <si>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</si>
  <si>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</si>
  <si>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</si>
  <si>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</si>
  <si>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</si>
  <si>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</si>
  <si>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</si>
  <si>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</si>
  <si>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</si>
  <si>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</si>
  <si>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</si>
  <si>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</si>
  <si>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</si>
  <si>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</si>
  <si>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</si>
  <si>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</si>
  <si>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</si>
  <si>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</si>
  <si>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</si>
  <si>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</si>
  <si>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Disbursed to SRs</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</si>
  <si>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</si>
  <si>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</si>
  <si>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</si>
  <si>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</si>
  <si>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</si>
  <si>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</si>
  <si>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</si>
  <si>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</si>
  <si>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</si>
  <si>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</si>
  <si>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</si>
  <si>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</si>
  <si>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</si>
  <si>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</si>
  <si>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</si>
  <si>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</si>
  <si>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</si>
  <si>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</si>
  <si>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Pending</t>
  </si>
  <si>
    <t>Fund Portfolio Manager:</t>
  </si>
  <si>
    <t>PR expenditure and disbursement</t>
  </si>
  <si>
    <t>Identified</t>
  </si>
  <si>
    <t>Person Responsible</t>
  </si>
  <si>
    <t>LFA</t>
  </si>
  <si>
    <t xml:space="preserve">Date </t>
  </si>
  <si>
    <t xml:space="preserve">The indicators should be selected by the PRs and members of the CCM or the CCM Technical Committee, from the Performance Framework </t>
  </si>
  <si>
    <t>Not fulfilled, but within deadline</t>
  </si>
  <si>
    <t>Programmatic Indicators (from Performance Framework)</t>
  </si>
  <si>
    <t>Indicator Number: Name (Perf Framework No.)</t>
  </si>
  <si>
    <t>Isoniazid</t>
  </si>
  <si>
    <t>Ethambutol</t>
  </si>
  <si>
    <t>Rifampicin</t>
  </si>
  <si>
    <t>Pyrazimamide</t>
  </si>
  <si>
    <t>Definition  (from M&amp;E Plan, June 2007)</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</si>
  <si>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</si>
  <si>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</si>
  <si>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</si>
  <si>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</si>
  <si>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</si>
  <si>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</si>
  <si>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</si>
  <si>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</si>
  <si>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PMU</t>
  </si>
  <si>
    <t>Expenditures</t>
  </si>
  <si>
    <t>TB nutri'l supplements</t>
  </si>
  <si>
    <t>Recommendations</t>
  </si>
  <si>
    <t>P1 - trend</t>
  </si>
  <si>
    <t>P2 - trend</t>
  </si>
  <si>
    <t>P3 - trend</t>
  </si>
  <si>
    <t>Set-up = List of validation for Grant Detail page</t>
  </si>
  <si>
    <t>Action Taken</t>
  </si>
  <si>
    <t>Total Funding:</t>
  </si>
  <si>
    <t>Phase:</t>
  </si>
  <si>
    <t>Round:</t>
  </si>
  <si>
    <t>From:</t>
  </si>
  <si>
    <t>Date of entry  of information:</t>
  </si>
  <si>
    <t xml:space="preserve">     Enter finance data in every orange cell like this.</t>
  </si>
  <si>
    <t>Code</t>
  </si>
  <si>
    <t>Grant No.</t>
  </si>
  <si>
    <t>Total Funding</t>
  </si>
  <si>
    <t>Difference between current stock and safety stock</t>
  </si>
  <si>
    <t>Months of safety stock</t>
  </si>
  <si>
    <t>0% - 59%</t>
  </si>
  <si>
    <t>60% - 89%</t>
  </si>
  <si>
    <t>&gt; 90%</t>
  </si>
  <si>
    <t>Actions to Implement / Previous Period</t>
  </si>
  <si>
    <t>(2 = 1 x 30)
Monthly treatment 
(Tablets per patient x 30 days)</t>
  </si>
  <si>
    <t>(3)
Total patients in treatment</t>
  </si>
  <si>
    <t>(4 = 2 x 3)
Total # tab/pills required for all patients per month</t>
  </si>
  <si>
    <t>(5)
Current stock in central warehouse (that does not expire within the next 3 months)</t>
  </si>
  <si>
    <t>(6 = 5 / 4)
Stock level expressed in months of treatment for all current patients</t>
  </si>
  <si>
    <t xml:space="preserve">(7)
Level of safety stock
(expressed in months and defined by country) </t>
  </si>
  <si>
    <t>(8 = 6 - 7)
Difference between current stock and safety stock</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</si>
  <si>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</si>
  <si>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</si>
  <si>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</si>
  <si>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</si>
  <si>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</si>
  <si>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</si>
  <si>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</si>
  <si>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</si>
  <si>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</si>
  <si>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</si>
  <si>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</si>
  <si>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</si>
  <si>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</si>
  <si>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</si>
  <si>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</si>
  <si>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</si>
  <si>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</si>
  <si>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</si>
  <si>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</si>
  <si>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Information on indicators</t>
  </si>
  <si>
    <t>Days taken for disbursement to reach PR</t>
  </si>
  <si>
    <t xml:space="preserve">Days taken for disbursement to reach SRs </t>
  </si>
  <si>
    <t>Obligations</t>
  </si>
  <si>
    <t>PR records: Warehouse data.</t>
  </si>
  <si>
    <t>(1)
Number of tablets per patient per day
(Review country treatment guidelines)</t>
  </si>
  <si>
    <t>Budget Approved*</t>
  </si>
  <si>
    <t>Round 10</t>
  </si>
  <si>
    <t>Currency of the grant</t>
  </si>
  <si>
    <t xml:space="preserve">     Enter performance data in every yellow cell.</t>
  </si>
  <si>
    <t>Decisions and Actions</t>
  </si>
  <si>
    <t>Please Select</t>
  </si>
  <si>
    <t>Grant information</t>
  </si>
  <si>
    <t>TOP 3</t>
  </si>
  <si>
    <t>Prior to reporting period</t>
  </si>
  <si>
    <t>Current reporting period</t>
  </si>
  <si>
    <t>F3: Disbursements and expenditures</t>
  </si>
  <si>
    <t>F2: Budget and actual expenditures by Grant Objective</t>
  </si>
  <si>
    <t>F1: Budget and disbursements by Global Fund</t>
  </si>
  <si>
    <t>F4: Latest PR reporting and disbursement cycle</t>
  </si>
  <si>
    <t>M1: Status of Conditions Precedent (CPs) and Time Bound Actions (TBAs)</t>
  </si>
  <si>
    <t>M2: Status of key PR management positions</t>
  </si>
  <si>
    <t>M4: Number of complete reports received on time</t>
  </si>
  <si>
    <t>M6: Difference between current and safety stock</t>
  </si>
  <si>
    <t>Cumulative budget</t>
  </si>
  <si>
    <t>Cumulative disbursements</t>
  </si>
  <si>
    <t xml:space="preserve">M3: Contractual arrangements (SRs) </t>
  </si>
  <si>
    <t>SSR to SR</t>
  </si>
  <si>
    <t>SRs to PR</t>
  </si>
  <si>
    <t>M5: Budget and Procurement of health products, health equipment, medicines and pharmaceuticals</t>
  </si>
  <si>
    <t>Programmatic Information:</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</si>
  <si>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</si>
  <si>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</si>
  <si>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</si>
  <si>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</si>
  <si>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</si>
  <si>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Programmatic indicators  (Performance Framework )</t>
  </si>
  <si>
    <t xml:space="preserve">Financial Information: </t>
  </si>
  <si>
    <t xml:space="preserve">Management Information: </t>
  </si>
  <si>
    <t xml:space="preserve">Programmatic Information: </t>
  </si>
  <si>
    <t>Conditions precedent (CPs)</t>
  </si>
  <si>
    <t>Grant Objective</t>
  </si>
  <si>
    <t>Start Date (dd/Mmm/yy):</t>
  </si>
  <si>
    <t>* Includes only EFR category 4 and 5  (Health products and health equipment &amp; Medicines and Pharmaceuticals)</t>
  </si>
  <si>
    <t>Table is automatically updated. No data or information is to be entered here.</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</si>
  <si>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</si>
  <si>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</si>
  <si>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</si>
  <si>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</si>
  <si>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Budget Approved cumulative*</t>
  </si>
  <si>
    <t>Comment: P1</t>
  </si>
  <si>
    <t>Comment: P2</t>
  </si>
  <si>
    <t>Comment: P3</t>
  </si>
  <si>
    <t>Cycloserine</t>
  </si>
  <si>
    <t xml:space="preserve">
</t>
  </si>
  <si>
    <t xml:space="preserve">
</t>
  </si>
  <si>
    <t>Clofazimine</t>
  </si>
  <si>
    <t>NCDC</t>
  </si>
  <si>
    <t>GEO-T-NCDC</t>
  </si>
  <si>
    <t xml:space="preserve"> </t>
  </si>
  <si>
    <t xml:space="preserve">The relatively low indicator relates to the actual (decreased) number of TB patients in the country. </t>
  </si>
  <si>
    <t>N/A</t>
  </si>
  <si>
    <t>NFM</t>
  </si>
  <si>
    <t>Linezolid</t>
  </si>
  <si>
    <t>MDR TB-3: Number of cases with drug resistant TB (RR-TB and/or MDR-TB) that began second-line treatment</t>
  </si>
  <si>
    <t>MDR TB-8: Number of cases of XDR TB enrolled on treatment</t>
  </si>
  <si>
    <t>MDR TB other -1: Percentage  of new and relapse TB patients tested using WHO recommended rapid tests at the time of diagnosis</t>
  </si>
  <si>
    <t>The number includes bacteriologically confirmed XDR TB cases.</t>
  </si>
  <si>
    <t xml:space="preserve">Numerator: New and relapse TB cases enrolled in the TB program who underwent GeneXpert testing at the time of diagnosis
Denominator: New and relapse TB cases enrolled in the TB program </t>
  </si>
  <si>
    <t>Sustaining Universal Access to Quality Diagnosis and Treatment of all forms of TB</t>
  </si>
  <si>
    <t>TB-3</t>
  </si>
  <si>
    <t>TB-8</t>
  </si>
  <si>
    <t>TB other 1</t>
  </si>
  <si>
    <t>MDR-TB</t>
  </si>
  <si>
    <t>HSS - Health information systems and M&amp;E</t>
  </si>
  <si>
    <t>HSS - Service delivery</t>
  </si>
  <si>
    <t>HSS - Policy and governance</t>
  </si>
  <si>
    <t>Community systems strengthening</t>
  </si>
  <si>
    <t>Program management</t>
  </si>
  <si>
    <t>Results-based Financing</t>
  </si>
  <si>
    <t>Maka Danelia</t>
  </si>
  <si>
    <t>Moxifloxacin</t>
  </si>
  <si>
    <t xml:space="preserve">MDR Patients that began second line treatment include:
1. Bacteriologically confirmed RR-TB and/or MDR-TB cases
2. Clinically diagnosed MDR TB Cases
The decreasing trend in case notification does not appear to be a result of a decline in the number of individuals screened or diagnostic tests performed. During the reporting period 94% of new and relapse TB patients were tested with rapid diagnostic methods (GeneXpert), which significantly exceeded the target. The country introduced active case finding to cover hard-to-reach populations. WHO assessment based on a robust and sustainable surveillance system, also proved that the trend reflects a genuine reduction in incidence. Correspondingly, the estimated TB incidence was reduced from 116 in 2012 to 86 in 2017 (latest available data). The same trend is true for MDR cases share of which fluctuated around the similar level. As a result, we have observed the underachievement of related coverage indicators (MDR TB-3(M): Number of cases with RR-TB and/or MDR-TB that began second-line treatment and MDR TB-other 2: Number of cases of XDR TB enrolled on treatment
</t>
  </si>
  <si>
    <t xml:space="preserve">Clofazimine was delivered in February 2018 </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</si>
</sst>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4" formatCode="_(&quot;$&quot;* #,##0.00_);_(&quot;$&quot;* \(#,##0.00\);_(&quot;$&quot;* &quot;-&quot;??_);_(@_)"/>
    <numFmt numFmtId="43" formatCode="_(* #,##0.00_);_(* \(#,##0.00\);_(* &quot;-&quot;??_);_(@_)"/>
    <numFmt numFmtId="164" formatCode="_-* #,##0.00_-;\-* #,##0.00_-;_-* &quot;-&quot;??_-;_-@_-"/>
    <numFmt numFmtId="165" formatCode="_-* #,##0.00\ _L_a_r_i_-;\-* #,##0.00\ _L_a_r_i_-;_-* &quot;-&quot;??\ _L_a_r_i_-;_-@_-"/>
    <numFmt numFmtId="166" formatCode="&quot;Q&quot;#,##0_);[Red]\(&quot;Q&quot;#,##0\)"/>
    <numFmt numFmtId="167" formatCode="_(* #,##0_);_(* \(#,##0\);_(* &quot;-&quot;??_);_(@_)"/>
    <numFmt numFmtId="168" formatCode=";;;"/>
    <numFmt numFmtId="169" formatCode="0.0"/>
    <numFmt numFmtId="170" formatCode=";;;&quot;Financial Variance in %&quot;"/>
    <numFmt numFmtId="171" formatCode="_([$€]* #,##0.00_);_([$€]* \(#,##0.00\);_([$€]* &quot;-&quot;??_);_(@_)"/>
    <numFmt numFmtId="172" formatCode="[$$-409]#,##0"/>
    <numFmt numFmtId="173" formatCode="[$-409]d/mmm/yyyy;@"/>
    <numFmt numFmtId="174" formatCode="[$$-409]#,##0_);\([$$-409]#,##0\)"/>
    <numFmt numFmtId="175" formatCode="0.0%"/>
    <numFmt numFmtId="176" formatCode="_(* #,##0.00000_);_(* \(#,##0.00000\);_(* &quot;-&quot;??_);_(@_)"/>
    <numFmt numFmtId="177" formatCode="_(* #,##0.0000000_);_(* \(#,##0.0000000\);_(* &quot;-&quot;??_);_(@_)"/>
    <numFmt numFmtId="178" formatCode="#,##0.000"/>
    <numFmt numFmtId="179" formatCode="#,##0.00000000"/>
  </numFmts>
  <fonts count="161">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font>
    <font>
      <b/>
      <sz val="14"/>
      <color indexed="52"/>
      <name val="Calibri"/>
      <family val="2"/>
    </font>
    <font>
      <b/>
      <sz val="12"/>
      <color indexed="8"/>
      <name val="Calibri"/>
      <family val="2"/>
    </font>
    <font>
      <b/>
      <sz val="11"/>
      <color indexed="8"/>
      <name val="Calibri"/>
      <family val="2"/>
    </font>
    <font>
      <sz val="11"/>
      <color indexed="8"/>
      <name val="Calibri"/>
      <family val="2"/>
    </font>
    <font>
      <b/>
      <sz val="14"/>
      <color indexed="14"/>
      <name val="Calibri"/>
      <family val="2"/>
      <charset val="204"/>
    </font>
    <font>
      <b/>
      <sz val="10"/>
      <color indexed="53"/>
      <name val="Calibri"/>
      <family val="2"/>
    </font>
    <font>
      <b/>
      <sz val="12"/>
      <name val="Arial"/>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charset val="204"/>
    </font>
    <font>
      <b/>
      <sz val="11"/>
      <color indexed="60"/>
      <name val="Calibri"/>
      <family val="2"/>
      <charset val="204"/>
    </font>
    <font>
      <b/>
      <sz val="11"/>
      <color indexed="14"/>
      <name val="Calibri"/>
      <family val="2"/>
    </font>
    <font>
      <sz val="22"/>
      <color indexed="9"/>
      <name val="Calibri"/>
      <family val="2"/>
    </font>
    <font>
      <sz val="10"/>
      <color indexed="60"/>
      <name val="Calibri"/>
      <family val="2"/>
      <charset val="204"/>
    </font>
    <font>
      <sz val="11"/>
      <color indexed="12"/>
      <name val="Calibri"/>
      <family val="2"/>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charset val="204"/>
    </font>
    <font>
      <b/>
      <sz val="14"/>
      <color indexed="44"/>
      <name val="Calibri"/>
      <family val="2"/>
      <charset val="204"/>
    </font>
    <font>
      <b/>
      <sz val="14"/>
      <color indexed="51"/>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font>
    <font>
      <sz val="11"/>
      <color indexed="8"/>
      <name val="Calibri"/>
      <family val="2"/>
    </font>
    <font>
      <sz val="8"/>
      <color indexed="81"/>
      <name val="Tahoma"/>
      <family val="2"/>
      <charset val="204"/>
    </font>
    <font>
      <b/>
      <sz val="20"/>
      <color indexed="8"/>
      <name val="Calibri"/>
      <family val="2"/>
    </font>
    <font>
      <sz val="20"/>
      <color indexed="8"/>
      <name val="Calibri"/>
      <family val="2"/>
    </font>
    <font>
      <sz val="8"/>
      <name val="Arial"/>
      <family val="2"/>
    </font>
    <font>
      <sz val="8"/>
      <color indexed="12"/>
      <name val="Arial"/>
      <family val="2"/>
    </font>
    <font>
      <b/>
      <i/>
      <sz val="8"/>
      <name val="Arial"/>
      <family val="2"/>
    </font>
    <font>
      <sz val="11"/>
      <color indexed="8"/>
      <name val="Calibri"/>
      <family val="2"/>
    </font>
    <font>
      <sz val="11"/>
      <color indexed="9"/>
      <name val="Calibri"/>
      <family val="2"/>
    </font>
    <font>
      <sz val="10"/>
      <name val="Arial"/>
      <family val="2"/>
    </font>
    <font>
      <sz val="10"/>
      <name val="Arial"/>
      <family val="2"/>
    </font>
    <font>
      <u/>
      <sz val="10"/>
      <color indexed="12"/>
      <name val="Arial"/>
      <family val="2"/>
    </font>
    <font>
      <u/>
      <sz val="10"/>
      <color indexed="12"/>
      <name val="Arial"/>
      <family val="2"/>
    </font>
    <font>
      <sz val="11"/>
      <color indexed="62"/>
      <name val="Calibri"/>
      <family val="2"/>
    </font>
    <font>
      <b/>
      <sz val="11"/>
      <color indexed="63"/>
      <name val="Calibri"/>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18"/>
      <color indexed="56"/>
      <name val="Cambria"/>
      <family val="2"/>
    </font>
    <font>
      <sz val="11"/>
      <color indexed="60"/>
      <name val="Calibri"/>
      <family val="2"/>
    </font>
    <font>
      <sz val="11"/>
      <color indexed="20"/>
      <name val="Calibri"/>
      <family val="2"/>
    </font>
    <font>
      <i/>
      <sz val="11"/>
      <color indexed="23"/>
      <name val="Calibri"/>
      <family val="2"/>
    </font>
    <font>
      <sz val="11"/>
      <color indexed="52"/>
      <name val="Calibri"/>
      <family val="2"/>
    </font>
    <font>
      <sz val="11"/>
      <color indexed="10"/>
      <name val="Calibri"/>
      <family val="2"/>
    </font>
    <font>
      <sz val="11"/>
      <color indexed="17"/>
      <name val="Calibri"/>
      <family val="2"/>
    </font>
    <font>
      <sz val="11"/>
      <color theme="1"/>
      <name val="Calibri"/>
      <family val="2"/>
      <scheme val="minor"/>
    </font>
    <font>
      <sz val="12"/>
      <color theme="1"/>
      <name val="Times New Roman"/>
      <family val="2"/>
    </font>
    <font>
      <u/>
      <sz val="11"/>
      <color theme="10"/>
      <name val="Calibri"/>
      <family val="2"/>
      <scheme val="minor"/>
    </font>
    <font>
      <u/>
      <sz val="11"/>
      <color theme="11"/>
      <name val="Calibri"/>
      <family val="2"/>
      <scheme val="minor"/>
    </font>
    <font>
      <sz val="11"/>
      <name val="Calibri"/>
      <family val="2"/>
      <scheme val="minor"/>
    </font>
  </fonts>
  <fills count="49">
    <fill>
      <patternFill patternType="none"/>
    </fill>
    <fill>
      <patternFill patternType="gray125"/>
    </fill>
    <fill>
      <patternFill patternType="solid">
        <fgColor indexed="31"/>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10"/>
      </patternFill>
    </fill>
    <fill>
      <patternFill patternType="solid">
        <fgColor indexed="30"/>
      </patternFill>
    </fill>
    <fill>
      <patternFill patternType="solid">
        <fgColor indexed="36"/>
      </patternFill>
    </fill>
    <fill>
      <patternFill patternType="solid">
        <fgColor indexed="52"/>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62"/>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6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8"/>
        <bgColor indexed="64"/>
      </patternFill>
    </fill>
    <fill>
      <patternFill patternType="solid">
        <fgColor indexed="62"/>
        <bgColor indexed="64"/>
      </patternFill>
    </fill>
    <fill>
      <patternFill patternType="solid">
        <fgColor indexed="43"/>
        <bgColor indexed="51"/>
      </patternFill>
    </fill>
    <fill>
      <patternFill patternType="solid">
        <fgColor indexed="57"/>
        <bgColor indexed="64"/>
      </patternFill>
    </fill>
    <fill>
      <patternFill patternType="solid">
        <fgColor indexed="14"/>
        <bgColor indexed="64"/>
      </patternFill>
    </fill>
    <fill>
      <patternFill patternType="solid">
        <fgColor indexed="13"/>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s>
  <borders count="2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auto="1"/>
      </right>
      <top style="thin">
        <color auto="1"/>
      </top>
      <bottom style="thin">
        <color auto="1"/>
      </bottom>
      <diagonal/>
    </border>
    <border>
      <left style="medium">
        <color indexed="16"/>
      </left>
      <right style="thin">
        <color auto="1"/>
      </right>
      <top style="thin">
        <color auto="1"/>
      </top>
      <bottom style="medium">
        <color indexed="16"/>
      </bottom>
      <diagonal/>
    </border>
    <border>
      <left/>
      <right/>
      <top/>
      <bottom style="medium">
        <color indexed="12"/>
      </bottom>
      <diagonal/>
    </border>
    <border>
      <left style="thin">
        <color auto="1"/>
      </left>
      <right style="thin">
        <color auto="1"/>
      </right>
      <top style="medium">
        <color indexed="48"/>
      </top>
      <bottom style="thin">
        <color auto="1"/>
      </bottom>
      <diagonal/>
    </border>
    <border>
      <left style="thin">
        <color auto="1"/>
      </left>
      <right style="medium">
        <color indexed="48"/>
      </right>
      <top style="medium">
        <color indexed="48"/>
      </top>
      <bottom style="thin">
        <color auto="1"/>
      </bottom>
      <diagonal/>
    </border>
    <border>
      <left style="medium">
        <color indexed="48"/>
      </left>
      <right style="thin">
        <color auto="1"/>
      </right>
      <top style="thin">
        <color auto="1"/>
      </top>
      <bottom style="thin">
        <color auto="1"/>
      </bottom>
      <diagonal/>
    </border>
    <border>
      <left style="thin">
        <color auto="1"/>
      </left>
      <right style="medium">
        <color indexed="48"/>
      </right>
      <top style="thin">
        <color auto="1"/>
      </top>
      <bottom style="thin">
        <color auto="1"/>
      </bottom>
      <diagonal/>
    </border>
    <border>
      <left style="medium">
        <color indexed="48"/>
      </left>
      <right style="thin">
        <color auto="1"/>
      </right>
      <top style="thin">
        <color auto="1"/>
      </top>
      <bottom style="medium">
        <color indexed="48"/>
      </bottom>
      <diagonal/>
    </border>
    <border>
      <left style="thin">
        <color auto="1"/>
      </left>
      <right style="medium">
        <color indexed="48"/>
      </right>
      <top style="thin">
        <color auto="1"/>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auto="1"/>
      </left>
      <right/>
      <top style="thin">
        <color auto="1"/>
      </top>
      <bottom style="thin">
        <color auto="1"/>
      </bottom>
      <diagonal/>
    </border>
    <border>
      <left style="thin">
        <color auto="1"/>
      </left>
      <right/>
      <top style="thin">
        <color auto="1"/>
      </top>
      <bottom style="medium">
        <color indexed="51"/>
      </bottom>
      <diagonal/>
    </border>
    <border>
      <left style="thin">
        <color auto="1"/>
      </left>
      <right style="medium">
        <color indexed="51"/>
      </right>
      <top style="thin">
        <color auto="1"/>
      </top>
      <bottom style="thin">
        <color auto="1"/>
      </bottom>
      <diagonal/>
    </border>
    <border>
      <left style="dotted">
        <color auto="1"/>
      </left>
      <right style="dotted">
        <color auto="1"/>
      </right>
      <top style="medium">
        <color indexed="52"/>
      </top>
      <bottom style="hair">
        <color auto="1"/>
      </bottom>
      <diagonal/>
    </border>
    <border>
      <left style="dotted">
        <color auto="1"/>
      </left>
      <right style="dotted">
        <color auto="1"/>
      </right>
      <top style="hair">
        <color auto="1"/>
      </top>
      <bottom style="hair">
        <color auto="1"/>
      </bottom>
      <diagonal/>
    </border>
    <border>
      <left style="dotted">
        <color auto="1"/>
      </left>
      <right style="dotted">
        <color auto="1"/>
      </right>
      <top style="hair">
        <color auto="1"/>
      </top>
      <bottom style="medium">
        <color indexed="52"/>
      </bottom>
      <diagonal/>
    </border>
    <border>
      <left style="dotted">
        <color indexed="62"/>
      </left>
      <right style="dotted">
        <color auto="1"/>
      </right>
      <top style="medium">
        <color indexed="62"/>
      </top>
      <bottom style="hair">
        <color auto="1"/>
      </bottom>
      <diagonal/>
    </border>
    <border>
      <left style="dotted">
        <color indexed="62"/>
      </left>
      <right style="dotted">
        <color auto="1"/>
      </right>
      <top style="hair">
        <color auto="1"/>
      </top>
      <bottom style="hair">
        <color auto="1"/>
      </bottom>
      <diagonal/>
    </border>
    <border>
      <left style="dotted">
        <color indexed="62"/>
      </left>
      <right style="dotted">
        <color auto="1"/>
      </right>
      <top style="hair">
        <color auto="1"/>
      </top>
      <bottom style="medium">
        <color indexed="62"/>
      </bottom>
      <diagonal/>
    </border>
    <border>
      <left style="hair">
        <color auto="1"/>
      </left>
      <right style="hair">
        <color auto="1"/>
      </right>
      <top style="medium">
        <color indexed="5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indexed="5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thin">
        <color indexed="30"/>
      </top>
      <bottom style="thin">
        <color indexed="30"/>
      </bottom>
      <diagonal/>
    </border>
    <border>
      <left/>
      <right style="thick">
        <color indexed="9"/>
      </right>
      <top/>
      <bottom/>
      <diagonal/>
    </border>
    <border>
      <left style="hair">
        <color auto="1"/>
      </left>
      <right style="hair">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51"/>
      </top>
      <bottom style="thin">
        <color auto="1"/>
      </bottom>
      <diagonal/>
    </border>
    <border>
      <left style="thin">
        <color auto="1"/>
      </left>
      <right style="thin">
        <color auto="1"/>
      </right>
      <top style="thin">
        <color auto="1"/>
      </top>
      <bottom style="medium">
        <color indexed="48"/>
      </bottom>
      <diagonal/>
    </border>
    <border>
      <left style="medium">
        <color indexed="16"/>
      </left>
      <right style="thin">
        <color indexed="16"/>
      </right>
      <top/>
      <bottom style="thin">
        <color indexed="16"/>
      </bottom>
      <diagonal/>
    </border>
    <border>
      <left/>
      <right style="thin">
        <color auto="1"/>
      </right>
      <top style="medium">
        <color indexed="51"/>
      </top>
      <bottom style="thin">
        <color auto="1"/>
      </bottom>
      <diagonal/>
    </border>
    <border>
      <left style="thin">
        <color auto="1"/>
      </left>
      <right/>
      <top/>
      <bottom/>
      <diagonal/>
    </border>
    <border>
      <left style="medium">
        <color indexed="60"/>
      </left>
      <right style="thin">
        <color auto="1"/>
      </right>
      <top style="thin">
        <color auto="1"/>
      </top>
      <bottom style="thin">
        <color auto="1"/>
      </bottom>
      <diagonal/>
    </border>
    <border>
      <left style="medium">
        <color indexed="60"/>
      </left>
      <right style="thin">
        <color auto="1"/>
      </right>
      <top style="thin">
        <color auto="1"/>
      </top>
      <bottom style="medium">
        <color indexed="60"/>
      </bottom>
      <diagonal/>
    </border>
    <border>
      <left style="medium">
        <color indexed="60"/>
      </left>
      <right/>
      <top style="medium">
        <color indexed="60"/>
      </top>
      <bottom style="thin">
        <color auto="1"/>
      </bottom>
      <diagonal/>
    </border>
    <border>
      <left style="thin">
        <color indexed="60"/>
      </left>
      <right style="thin">
        <color indexed="60"/>
      </right>
      <top style="medium">
        <color indexed="60"/>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16"/>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indexed="51"/>
      </left>
      <right style="medium">
        <color indexed="51"/>
      </right>
      <top style="medium">
        <color indexed="5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style="thin">
        <color auto="1"/>
      </right>
      <top style="thin">
        <color auto="1"/>
      </top>
      <bottom style="medium">
        <color auto="1"/>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auto="1"/>
      </top>
      <bottom style="thin">
        <color auto="1"/>
      </bottom>
      <diagonal/>
    </border>
    <border>
      <left style="thin">
        <color indexed="16"/>
      </left>
      <right style="medium">
        <color indexed="16"/>
      </right>
      <top style="medium">
        <color auto="1"/>
      </top>
      <bottom style="thin">
        <color auto="1"/>
      </bottom>
      <diagonal/>
    </border>
    <border>
      <left style="medium">
        <color auto="1"/>
      </left>
      <right/>
      <top/>
      <bottom style="thin">
        <color auto="1"/>
      </bottom>
      <diagonal/>
    </border>
    <border>
      <left style="thin">
        <color indexed="16"/>
      </left>
      <right style="thin">
        <color indexed="16"/>
      </right>
      <top style="thin">
        <color indexed="16"/>
      </top>
      <bottom/>
      <diagonal/>
    </border>
    <border>
      <left style="thin">
        <color auto="1"/>
      </left>
      <right style="thin">
        <color auto="1"/>
      </right>
      <top style="thin">
        <color auto="1"/>
      </top>
      <bottom style="medium">
        <color indexed="16"/>
      </bottom>
      <diagonal/>
    </border>
    <border>
      <left style="thin">
        <color auto="1"/>
      </left>
      <right style="medium">
        <color indexed="60"/>
      </right>
      <top style="thin">
        <color auto="1"/>
      </top>
      <bottom style="thin">
        <color auto="1"/>
      </bottom>
      <diagonal/>
    </border>
    <border>
      <left style="thin">
        <color auto="1"/>
      </left>
      <right style="medium">
        <color indexed="60"/>
      </right>
      <top style="thin">
        <color auto="1"/>
      </top>
      <bottom style="medium">
        <color indexed="60"/>
      </bottom>
      <diagonal/>
    </border>
    <border>
      <left style="thin">
        <color indexed="16"/>
      </left>
      <right style="thin">
        <color indexed="16"/>
      </right>
      <top style="medium">
        <color indexed="51"/>
      </top>
      <bottom style="thin">
        <color auto="1"/>
      </bottom>
      <diagonal/>
    </border>
    <border>
      <left style="thin">
        <color indexed="16"/>
      </left>
      <right style="medium">
        <color indexed="51"/>
      </right>
      <top style="medium">
        <color indexed="51"/>
      </top>
      <bottom style="thin">
        <color auto="1"/>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auto="1"/>
      </left>
      <right style="thin">
        <color auto="1"/>
      </right>
      <top/>
      <bottom/>
      <diagonal/>
    </border>
    <border>
      <left/>
      <right style="medium">
        <color indexed="60"/>
      </right>
      <top style="medium">
        <color indexed="60"/>
      </top>
      <bottom/>
      <diagonal/>
    </border>
    <border>
      <left style="thin">
        <color auto="1"/>
      </left>
      <right style="thin">
        <color auto="1"/>
      </right>
      <top style="thin">
        <color auto="1"/>
      </top>
      <bottom style="medium">
        <color indexed="51"/>
      </bottom>
      <diagonal/>
    </border>
    <border>
      <left/>
      <right style="medium">
        <color auto="1"/>
      </right>
      <top style="thin">
        <color auto="1"/>
      </top>
      <bottom style="thin">
        <color auto="1"/>
      </bottom>
      <diagonal/>
    </border>
    <border>
      <left style="medium">
        <color indexed="60"/>
      </left>
      <right style="dotted">
        <color auto="1"/>
      </right>
      <top style="medium">
        <color indexed="60"/>
      </top>
      <bottom style="hair">
        <color auto="1"/>
      </bottom>
      <diagonal/>
    </border>
    <border>
      <left style="medium">
        <color indexed="60"/>
      </left>
      <right style="dotted">
        <color auto="1"/>
      </right>
      <top style="hair">
        <color auto="1"/>
      </top>
      <bottom style="hair">
        <color auto="1"/>
      </bottom>
      <diagonal/>
    </border>
    <border>
      <left style="medium">
        <color indexed="60"/>
      </left>
      <right style="dotted">
        <color auto="1"/>
      </right>
      <top style="hair">
        <color auto="1"/>
      </top>
      <bottom style="medium">
        <color indexed="60"/>
      </bottom>
      <diagonal/>
    </border>
    <border>
      <left style="medium">
        <color indexed="62"/>
      </left>
      <right/>
      <top style="medium">
        <color indexed="62"/>
      </top>
      <bottom style="hair">
        <color auto="1"/>
      </bottom>
      <diagonal/>
    </border>
    <border>
      <left style="medium">
        <color indexed="62"/>
      </left>
      <right/>
      <top style="hair">
        <color auto="1"/>
      </top>
      <bottom style="hair">
        <color auto="1"/>
      </bottom>
      <diagonal/>
    </border>
    <border>
      <left style="medium">
        <color indexed="62"/>
      </left>
      <right/>
      <top style="hair">
        <color auto="1"/>
      </top>
      <bottom style="medium">
        <color indexed="62"/>
      </bottom>
      <diagonal/>
    </border>
    <border>
      <left style="medium">
        <color indexed="51"/>
      </left>
      <right style="hair">
        <color auto="1"/>
      </right>
      <top style="medium">
        <color indexed="51"/>
      </top>
      <bottom style="hair">
        <color auto="1"/>
      </bottom>
      <diagonal/>
    </border>
    <border>
      <left style="medium">
        <color indexed="51"/>
      </left>
      <right style="hair">
        <color auto="1"/>
      </right>
      <top style="hair">
        <color auto="1"/>
      </top>
      <bottom style="hair">
        <color auto="1"/>
      </bottom>
      <diagonal/>
    </border>
    <border>
      <left style="medium">
        <color indexed="51"/>
      </left>
      <right/>
      <top/>
      <bottom style="hair">
        <color auto="1"/>
      </bottom>
      <diagonal/>
    </border>
    <border>
      <left style="medium">
        <color indexed="51"/>
      </left>
      <right/>
      <top/>
      <bottom style="thin">
        <color auto="1"/>
      </bottom>
      <diagonal/>
    </border>
    <border>
      <left/>
      <right/>
      <top/>
      <bottom style="thin">
        <color auto="1"/>
      </bottom>
      <diagonal/>
    </border>
    <border>
      <left style="medium">
        <color indexed="51"/>
      </left>
      <right style="medium">
        <color indexed="5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indexed="51"/>
      </right>
      <top/>
      <bottom style="thin">
        <color auto="1"/>
      </bottom>
      <diagonal/>
    </border>
    <border>
      <left style="thin">
        <color auto="1"/>
      </left>
      <right style="medium">
        <color indexed="51"/>
      </right>
      <top style="thin">
        <color auto="1"/>
      </top>
      <bottom style="medium">
        <color indexed="5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style="thin">
        <color auto="1"/>
      </right>
      <top/>
      <bottom style="thin">
        <color auto="1"/>
      </bottom>
      <diagonal/>
    </border>
    <border>
      <left style="medium">
        <color indexed="51"/>
      </left>
      <right style="thin">
        <color auto="1"/>
      </right>
      <top style="thin">
        <color auto="1"/>
      </top>
      <bottom style="thin">
        <color auto="1"/>
      </bottom>
      <diagonal/>
    </border>
    <border>
      <left style="medium">
        <color indexed="16"/>
      </left>
      <right/>
      <top style="medium">
        <color indexed="16"/>
      </top>
      <bottom style="thin">
        <color auto="1"/>
      </bottom>
      <diagonal/>
    </border>
    <border>
      <left/>
      <right/>
      <top style="medium">
        <color indexed="16"/>
      </top>
      <bottom style="thin">
        <color auto="1"/>
      </bottom>
      <diagonal/>
    </border>
    <border>
      <left/>
      <right style="medium">
        <color indexed="16"/>
      </right>
      <top style="medium">
        <color indexed="16"/>
      </top>
      <bottom style="thin">
        <color auto="1"/>
      </bottom>
      <diagonal/>
    </border>
    <border>
      <left style="medium">
        <color indexed="51"/>
      </left>
      <right style="thin">
        <color auto="1"/>
      </right>
      <top style="thin">
        <color auto="1"/>
      </top>
      <bottom/>
      <diagonal/>
    </border>
    <border>
      <left style="medium">
        <color indexed="51"/>
      </left>
      <right style="medium">
        <color indexed="51"/>
      </right>
      <top style="thin">
        <color auto="1"/>
      </top>
      <bottom style="thin">
        <color auto="1"/>
      </bottom>
      <diagonal/>
    </border>
    <border>
      <left style="medium">
        <color indexed="51"/>
      </left>
      <right/>
      <top style="medium">
        <color indexed="51"/>
      </top>
      <bottom style="thin">
        <color auto="1"/>
      </bottom>
      <diagonal/>
    </border>
    <border>
      <left/>
      <right/>
      <top style="medium">
        <color indexed="51"/>
      </top>
      <bottom style="thin">
        <color auto="1"/>
      </bottom>
      <diagonal/>
    </border>
    <border>
      <left/>
      <right style="medium">
        <color indexed="51"/>
      </right>
      <top style="medium">
        <color indexed="51"/>
      </top>
      <bottom style="thin">
        <color auto="1"/>
      </bottom>
      <diagonal/>
    </border>
    <border>
      <left/>
      <right style="thin">
        <color auto="1"/>
      </right>
      <top/>
      <bottom/>
      <diagonal/>
    </border>
    <border>
      <left style="medium">
        <color indexed="51"/>
      </left>
      <right/>
      <top style="thin">
        <color auto="1"/>
      </top>
      <bottom style="thin">
        <color auto="1"/>
      </bottom>
      <diagonal/>
    </border>
    <border>
      <left/>
      <right style="medium">
        <color indexed="51"/>
      </right>
      <top style="thin">
        <color auto="1"/>
      </top>
      <bottom style="thin">
        <color auto="1"/>
      </bottom>
      <diagonal/>
    </border>
    <border>
      <left style="medium">
        <color indexed="48"/>
      </left>
      <right style="thin">
        <color auto="1"/>
      </right>
      <top style="medium">
        <color indexed="48"/>
      </top>
      <bottom style="thin">
        <color auto="1"/>
      </bottom>
      <diagonal/>
    </border>
    <border>
      <left/>
      <right/>
      <top style="medium">
        <color indexed="60"/>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indexed="51"/>
      </left>
      <right/>
      <top style="thin">
        <color auto="1"/>
      </top>
      <bottom style="medium">
        <color indexed="51"/>
      </bottom>
      <diagonal/>
    </border>
    <border>
      <left/>
      <right/>
      <top style="thin">
        <color auto="1"/>
      </top>
      <bottom style="medium">
        <color indexed="51"/>
      </bottom>
      <diagonal/>
    </border>
    <border>
      <left/>
      <right style="medium">
        <color indexed="51"/>
      </right>
      <top style="thin">
        <color auto="1"/>
      </top>
      <bottom style="medium">
        <color indexed="51"/>
      </bottom>
      <diagonal/>
    </border>
    <border>
      <left style="medium">
        <color indexed="51"/>
      </left>
      <right style="thin">
        <color auto="1"/>
      </right>
      <top style="thin">
        <color auto="1"/>
      </top>
      <bottom style="medium">
        <color indexed="51"/>
      </bottom>
      <diagonal/>
    </border>
    <border>
      <left style="medium">
        <color indexed="51"/>
      </left>
      <right style="medium">
        <color indexed="51"/>
      </right>
      <top style="thin">
        <color auto="1"/>
      </top>
      <bottom style="medium">
        <color indexed="51"/>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medium">
        <color indexed="5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ck">
        <color indexed="9"/>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indexed="51"/>
      </right>
      <top style="hair">
        <color auto="1"/>
      </top>
      <bottom style="hair">
        <color auto="1"/>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auto="1"/>
      </left>
      <right/>
      <top style="medium">
        <color indexed="51"/>
      </top>
      <bottom style="hair">
        <color auto="1"/>
      </bottom>
      <diagonal/>
    </border>
    <border>
      <left/>
      <right/>
      <top style="medium">
        <color indexed="51"/>
      </top>
      <bottom style="hair">
        <color auto="1"/>
      </bottom>
      <diagonal/>
    </border>
    <border>
      <left/>
      <right style="medium">
        <color indexed="51"/>
      </right>
      <top style="medium">
        <color indexed="51"/>
      </top>
      <bottom style="hair">
        <color auto="1"/>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hair">
        <color indexed="23"/>
      </bottom>
      <diagonal/>
    </border>
    <border>
      <left/>
      <right style="medium">
        <color indexed="62"/>
      </right>
      <top style="hair">
        <color indexed="23"/>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right style="medium">
        <color indexed="52"/>
      </right>
      <top/>
      <bottom style="medium">
        <color indexed="52"/>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style="medium">
        <color indexed="60"/>
      </right>
      <top style="hair">
        <color indexed="23"/>
      </top>
      <bottom style="hair">
        <color indexed="23"/>
      </bottom>
      <diagonal/>
    </border>
    <border>
      <left style="medium">
        <color indexed="60"/>
      </left>
      <right/>
      <top style="hair">
        <color auto="1"/>
      </top>
      <bottom style="hair">
        <color auto="1"/>
      </bottom>
      <diagonal/>
    </border>
    <border>
      <left/>
      <right style="medium">
        <color indexed="60"/>
      </right>
      <top style="hair">
        <color auto="1"/>
      </top>
      <bottom style="hair">
        <color auto="1"/>
      </bottom>
      <diagonal/>
    </border>
    <border>
      <left style="medium">
        <color indexed="60"/>
      </left>
      <right/>
      <top/>
      <bottom style="hair">
        <color auto="1"/>
      </bottom>
      <diagonal/>
    </border>
    <border>
      <left/>
      <right/>
      <top/>
      <bottom style="hair">
        <color auto="1"/>
      </bottom>
      <diagonal/>
    </border>
    <border>
      <left/>
      <right style="medium">
        <color indexed="60"/>
      </right>
      <top/>
      <bottom style="hair">
        <color auto="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right/>
      <top/>
      <bottom style="medium">
        <color indexed="52"/>
      </bottom>
      <diagonal/>
    </border>
    <border>
      <left style="medium">
        <color indexed="60"/>
      </left>
      <right/>
      <top/>
      <bottom style="medium">
        <color indexed="60"/>
      </bottom>
      <diagonal/>
    </border>
    <border>
      <left/>
      <right style="medium">
        <color indexed="60"/>
      </right>
      <top/>
      <bottom style="medium">
        <color indexed="60"/>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hair">
        <color indexed="57"/>
      </left>
      <right style="medium">
        <color indexed="57"/>
      </right>
      <top style="medium">
        <color indexed="57"/>
      </top>
      <bottom style="medium">
        <color indexed="57"/>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medium">
        <color auto="1"/>
      </right>
      <top/>
      <bottom style="hair">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thin">
        <color auto="1"/>
      </left>
      <right style="thin">
        <color auto="1"/>
      </right>
      <top style="thin">
        <color auto="1"/>
      </top>
      <bottom/>
      <diagonal/>
    </border>
    <border>
      <left style="medium">
        <color auto="1"/>
      </left>
      <right style="hair">
        <color auto="1"/>
      </right>
      <top/>
      <bottom style="hair">
        <color auto="1"/>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style="hair">
        <color indexed="57"/>
      </right>
      <top style="medium">
        <color indexed="57"/>
      </top>
      <bottom style="medium">
        <color indexed="57"/>
      </bottom>
      <diagonal/>
    </border>
    <border>
      <left style="medium">
        <color auto="1"/>
      </left>
      <right/>
      <top style="medium">
        <color indexed="57"/>
      </top>
      <bottom/>
      <diagonal/>
    </border>
    <border>
      <left/>
      <right/>
      <top style="medium">
        <color indexed="57"/>
      </top>
      <bottom/>
      <diagonal/>
    </border>
    <border>
      <left/>
      <right style="medium">
        <color auto="1"/>
      </right>
      <top style="medium">
        <color indexed="57"/>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right/>
      <top style="medium">
        <color rgb="FFFFC000"/>
      </top>
      <bottom/>
      <diagonal/>
    </border>
    <border>
      <left style="thin">
        <color auto="1"/>
      </left>
      <right style="medium">
        <color indexed="51"/>
      </right>
      <top style="thin">
        <color auto="1"/>
      </top>
      <bottom style="medium">
        <color rgb="FFFFC000"/>
      </bottom>
      <diagonal/>
    </border>
  </borders>
  <cellStyleXfs count="153">
    <xf numFmtId="0" fontId="0" fillId="0" borderId="0"/>
    <xf numFmtId="3" fontId="132" fillId="2" borderId="0">
      <alignment horizontal="center"/>
    </xf>
    <xf numFmtId="9" fontId="132" fillId="2" borderId="0">
      <alignment horizontal="center"/>
    </xf>
    <xf numFmtId="3" fontId="133" fillId="0" borderId="0">
      <alignment horizontal="center" vertical="center"/>
      <protection locked="0"/>
    </xf>
    <xf numFmtId="175" fontId="133" fillId="0" borderId="0">
      <alignment horizontal="center" vertical="center"/>
      <protection locked="0"/>
    </xf>
    <xf numFmtId="49" fontId="134" fillId="0" borderId="0">
      <alignment horizontal="left"/>
    </xf>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135" fillId="7" borderId="0" applyNumberFormat="0" applyBorder="0" applyAlignment="0" applyProtection="0"/>
    <xf numFmtId="0" fontId="135" fillId="8" borderId="0" applyNumberFormat="0" applyBorder="0" applyAlignment="0" applyProtection="0"/>
    <xf numFmtId="0" fontId="135" fillId="9" borderId="0" applyNumberFormat="0" applyBorder="0" applyAlignment="0" applyProtection="0"/>
    <xf numFmtId="0" fontId="135" fillId="10" borderId="0" applyNumberFormat="0" applyBorder="0" applyAlignment="0" applyProtection="0"/>
    <xf numFmtId="0" fontId="135" fillId="6" borderId="0" applyNumberFormat="0" applyBorder="0" applyAlignment="0" applyProtection="0"/>
    <xf numFmtId="0" fontId="135" fillId="4"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4" borderId="0" applyNumberFormat="0" applyBorder="0" applyAlignment="0" applyProtection="0"/>
    <xf numFmtId="0" fontId="135" fillId="14" borderId="0" applyNumberFormat="0" applyBorder="0" applyAlignment="0" applyProtection="0"/>
    <xf numFmtId="0" fontId="135" fillId="12" borderId="0" applyNumberFormat="0" applyBorder="0" applyAlignment="0" applyProtection="0"/>
    <xf numFmtId="0" fontId="135" fillId="15" borderId="0" applyNumberFormat="0" applyBorder="0" applyAlignment="0" applyProtection="0"/>
    <xf numFmtId="0" fontId="135" fillId="10" borderId="0" applyNumberFormat="0" applyBorder="0" applyAlignment="0" applyProtection="0"/>
    <xf numFmtId="0" fontId="135" fillId="14" borderId="0" applyNumberFormat="0" applyBorder="0" applyAlignment="0" applyProtection="0"/>
    <xf numFmtId="0" fontId="13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1" borderId="0" applyNumberFormat="0" applyBorder="0" applyAlignment="0" applyProtection="0"/>
    <xf numFmtId="0" fontId="15" fillId="17" borderId="0" applyNumberFormat="0" applyBorder="0" applyAlignment="0" applyProtection="0"/>
    <xf numFmtId="0" fontId="15" fillId="4" borderId="0" applyNumberFormat="0" applyBorder="0" applyAlignment="0" applyProtection="0"/>
    <xf numFmtId="0" fontId="136" fillId="19" borderId="0" applyNumberFormat="0" applyBorder="0" applyAlignment="0" applyProtection="0"/>
    <xf numFmtId="0" fontId="136" fillId="12" borderId="0" applyNumberFormat="0" applyBorder="0" applyAlignment="0" applyProtection="0"/>
    <xf numFmtId="0" fontId="136" fillId="15" borderId="0" applyNumberFormat="0" applyBorder="0" applyAlignment="0" applyProtection="0"/>
    <xf numFmtId="0" fontId="136" fillId="20" borderId="0" applyNumberFormat="0" applyBorder="0" applyAlignment="0" applyProtection="0"/>
    <xf numFmtId="0" fontId="136" fillId="17" borderId="0" applyNumberFormat="0" applyBorder="0" applyAlignment="0" applyProtection="0"/>
    <xf numFmtId="0" fontId="136" fillId="21" borderId="0" applyNumberFormat="0" applyBorder="0" applyAlignment="0" applyProtection="0"/>
    <xf numFmtId="0" fontId="15" fillId="17"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17" borderId="0" applyNumberFormat="0" applyBorder="0" applyAlignment="0" applyProtection="0"/>
    <xf numFmtId="0" fontId="15" fillId="25" borderId="0" applyNumberFormat="0" applyBorder="0" applyAlignment="0" applyProtection="0"/>
    <xf numFmtId="0" fontId="5" fillId="8" borderId="0" applyNumberFormat="0" applyBorder="0" applyAlignment="0" applyProtection="0"/>
    <xf numFmtId="0" fontId="9" fillId="3" borderId="1" applyNumberFormat="0" applyAlignment="0" applyProtection="0"/>
    <xf numFmtId="0" fontId="11" fillId="26" borderId="2" applyNumberFormat="0" applyAlignment="0" applyProtection="0"/>
    <xf numFmtId="43" fontId="3" fillId="0" borderId="0" applyFont="0" applyFill="0" applyBorder="0" applyAlignment="0" applyProtection="0"/>
    <xf numFmtId="164" fontId="2" fillId="0" borderId="0" applyFont="0" applyFill="0" applyBorder="0" applyAlignment="0" applyProtection="0"/>
    <xf numFmtId="164" fontId="137" fillId="0" borderId="0" applyFont="0" applyFill="0" applyBorder="0" applyAlignment="0" applyProtection="0"/>
    <xf numFmtId="165" fontId="138" fillId="0" borderId="0" applyFont="0" applyFill="0" applyBorder="0" applyAlignment="0" applyProtection="0"/>
    <xf numFmtId="43" fontId="156" fillId="0" borderId="0" applyFont="0" applyFill="0" applyBorder="0" applyAlignment="0" applyProtection="0"/>
    <xf numFmtId="165" fontId="2" fillId="0" borderId="0" applyFont="0" applyFill="0" applyBorder="0" applyAlignment="0" applyProtection="0"/>
    <xf numFmtId="43" fontId="156"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156" fillId="0" borderId="0" applyFont="0" applyFill="0" applyBorder="0" applyAlignment="0" applyProtection="0"/>
    <xf numFmtId="43" fontId="15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1" fontId="2" fillId="0" borderId="0" applyFont="0" applyFill="0" applyBorder="0" applyAlignment="0" applyProtection="0"/>
    <xf numFmtId="0" fontId="13" fillId="0" borderId="0" applyNumberFormat="0" applyFill="0" applyBorder="0" applyAlignment="0" applyProtection="0"/>
    <xf numFmtId="0" fontId="4" fillId="9"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139" fillId="0" borderId="0" applyNumberFormat="0" applyFill="0" applyBorder="0" applyAlignment="0" applyProtection="0"/>
    <xf numFmtId="0" fontId="140" fillId="0" borderId="0" applyNumberFormat="0" applyFill="0" applyBorder="0" applyAlignment="0" applyProtection="0">
      <alignment vertical="top"/>
      <protection locked="0"/>
    </xf>
    <xf numFmtId="0" fontId="7" fillId="4" borderId="1" applyNumberFormat="0" applyAlignment="0" applyProtection="0"/>
    <xf numFmtId="0" fontId="10" fillId="0" borderId="3" applyNumberFormat="0" applyFill="0" applyAlignment="0" applyProtection="0"/>
    <xf numFmtId="43" fontId="2" fillId="0" borderId="0" applyFill="0" applyBorder="0" applyAlignment="0" applyProtection="0"/>
    <xf numFmtId="0" fontId="156" fillId="0" borderId="0"/>
    <xf numFmtId="0" fontId="156" fillId="0" borderId="0"/>
    <xf numFmtId="0" fontId="157" fillId="0" borderId="0"/>
    <xf numFmtId="43" fontId="156" fillId="0" borderId="0"/>
    <xf numFmtId="0" fontId="2" fillId="0" borderId="0"/>
    <xf numFmtId="0" fontId="156" fillId="0" borderId="0"/>
    <xf numFmtId="0" fontId="2" fillId="0" borderId="0"/>
    <xf numFmtId="0" fontId="138" fillId="0" borderId="0"/>
    <xf numFmtId="0" fontId="2" fillId="0" borderId="0"/>
    <xf numFmtId="0" fontId="132" fillId="0" borderId="0"/>
    <xf numFmtId="0" fontId="2" fillId="0" borderId="0"/>
    <xf numFmtId="0" fontId="2" fillId="0" borderId="0"/>
    <xf numFmtId="0" fontId="2" fillId="0" borderId="0"/>
    <xf numFmtId="0" fontId="2" fillId="0" borderId="0"/>
    <xf numFmtId="43" fontId="1" fillId="0" borderId="0"/>
    <xf numFmtId="43" fontId="1" fillId="0" borderId="0"/>
    <xf numFmtId="43" fontId="156" fillId="0" borderId="0"/>
    <xf numFmtId="0" fontId="2" fillId="0" borderId="0"/>
    <xf numFmtId="0" fontId="156" fillId="0" borderId="0"/>
    <xf numFmtId="43" fontId="156" fillId="0" borderId="0"/>
    <xf numFmtId="0" fontId="156" fillId="0" borderId="0"/>
    <xf numFmtId="43" fontId="156" fillId="0" borderId="0"/>
    <xf numFmtId="0" fontId="156" fillId="0" borderId="0"/>
    <xf numFmtId="0" fontId="2" fillId="0" borderId="0"/>
    <xf numFmtId="0" fontId="156" fillId="0" borderId="0"/>
    <xf numFmtId="43" fontId="156" fillId="0" borderId="0"/>
    <xf numFmtId="0" fontId="156" fillId="0" borderId="0"/>
    <xf numFmtId="0" fontId="156" fillId="0" borderId="0"/>
    <xf numFmtId="0" fontId="137" fillId="0" borderId="0"/>
    <xf numFmtId="0" fontId="156" fillId="0" borderId="0"/>
    <xf numFmtId="0" fontId="156" fillId="0" borderId="0"/>
    <xf numFmtId="0" fontId="67" fillId="0" borderId="0"/>
    <xf numFmtId="0" fontId="2" fillId="5" borderId="7" applyNumberFormat="0" applyFont="0" applyAlignment="0" applyProtection="0"/>
    <xf numFmtId="0" fontId="8" fillId="3" borderId="8" applyNumberFormat="0" applyAlignment="0" applyProtection="0"/>
    <xf numFmtId="9" fontId="3" fillId="0" borderId="0" applyFont="0" applyFill="0" applyBorder="0" applyAlignment="0" applyProtection="0"/>
    <xf numFmtId="9" fontId="2" fillId="0" borderId="0" applyFont="0" applyFill="0" applyBorder="0" applyAlignment="0" applyProtection="0"/>
    <xf numFmtId="9" fontId="137" fillId="0" borderId="0" applyFont="0" applyFill="0" applyBorder="0" applyAlignment="0" applyProtection="0"/>
    <xf numFmtId="9" fontId="156" fillId="0" borderId="0" applyFont="0" applyFill="0" applyBorder="0" applyAlignment="0" applyProtection="0"/>
    <xf numFmtId="0" fontId="42" fillId="0" borderId="0" applyNumberFormat="0" applyFill="0" applyBorder="0" applyAlignment="0" applyProtection="0"/>
    <xf numFmtId="43" fontId="156" fillId="0" borderId="10" applyNumberFormat="0" applyFill="0" applyAlignment="0" applyProtection="0"/>
    <xf numFmtId="43" fontId="1" fillId="0" borderId="10" applyNumberFormat="0" applyFill="0" applyAlignment="0" applyProtection="0"/>
    <xf numFmtId="43" fontId="1" fillId="0" borderId="10" applyNumberFormat="0" applyFill="0" applyAlignment="0" applyProtection="0"/>
    <xf numFmtId="43" fontId="156" fillId="0" borderId="10" applyNumberFormat="0" applyFill="0" applyAlignment="0" applyProtection="0"/>
    <xf numFmtId="0" fontId="76" fillId="0" borderId="0" applyNumberFormat="0" applyFill="0" applyBorder="0" applyAlignment="0" applyProtection="0"/>
    <xf numFmtId="0" fontId="136" fillId="27" borderId="0" applyNumberFormat="0" applyBorder="0" applyAlignment="0" applyProtection="0"/>
    <xf numFmtId="0" fontId="136" fillId="18" borderId="0" applyNumberFormat="0" applyBorder="0" applyAlignment="0" applyProtection="0"/>
    <xf numFmtId="0" fontId="136" fillId="23" borderId="0" applyNumberFormat="0" applyBorder="0" applyAlignment="0" applyProtection="0"/>
    <xf numFmtId="0" fontId="136" fillId="20" borderId="0" applyNumberFormat="0" applyBorder="0" applyAlignment="0" applyProtection="0"/>
    <xf numFmtId="0" fontId="136" fillId="17" borderId="0" applyNumberFormat="0" applyBorder="0" applyAlignment="0" applyProtection="0"/>
    <xf numFmtId="0" fontId="136" fillId="22" borderId="0" applyNumberFormat="0" applyBorder="0" applyAlignment="0" applyProtection="0"/>
    <xf numFmtId="0" fontId="141" fillId="4" borderId="1" applyNumberFormat="0" applyAlignment="0" applyProtection="0"/>
    <xf numFmtId="0" fontId="142" fillId="11" borderId="8" applyNumberFormat="0" applyAlignment="0" applyProtection="0"/>
    <xf numFmtId="0" fontId="143" fillId="11" borderId="1" applyNumberFormat="0" applyAlignment="0" applyProtection="0"/>
    <xf numFmtId="0" fontId="144" fillId="0" borderId="9" applyNumberFormat="0" applyFill="0" applyAlignment="0" applyProtection="0"/>
    <xf numFmtId="0" fontId="145" fillId="0" borderId="5" applyNumberFormat="0" applyFill="0" applyAlignment="0" applyProtection="0"/>
    <xf numFmtId="0" fontId="146" fillId="0" borderId="10" applyNumberFormat="0" applyFill="0" applyAlignment="0" applyProtection="0"/>
    <xf numFmtId="0" fontId="146" fillId="0" borderId="0" applyNumberFormat="0" applyFill="0" applyBorder="0" applyAlignment="0" applyProtection="0"/>
    <xf numFmtId="0" fontId="147" fillId="0" borderId="11" applyNumberFormat="0" applyFill="0" applyAlignment="0" applyProtection="0"/>
    <xf numFmtId="0" fontId="148" fillId="26" borderId="2" applyNumberFormat="0" applyAlignment="0" applyProtection="0"/>
    <xf numFmtId="0" fontId="149" fillId="0" borderId="0" applyNumberFormat="0" applyFill="0" applyBorder="0" applyAlignment="0" applyProtection="0"/>
    <xf numFmtId="0" fontId="150" fillId="13" borderId="0" applyNumberFormat="0" applyBorder="0" applyAlignment="0" applyProtection="0"/>
    <xf numFmtId="0" fontId="138" fillId="0" borderId="0"/>
    <xf numFmtId="0" fontId="138" fillId="0" borderId="0"/>
    <xf numFmtId="0" fontId="137" fillId="0" borderId="0"/>
    <xf numFmtId="0" fontId="151" fillId="8" borderId="0" applyNumberFormat="0" applyBorder="0" applyAlignment="0" applyProtection="0"/>
    <xf numFmtId="0" fontId="152" fillId="0" borderId="0" applyNumberFormat="0" applyFill="0" applyBorder="0" applyAlignment="0" applyProtection="0"/>
    <xf numFmtId="0" fontId="137" fillId="5" borderId="7" applyNumberFormat="0" applyFont="0" applyAlignment="0" applyProtection="0"/>
    <xf numFmtId="0" fontId="153" fillId="0" borderId="3" applyNumberFormat="0" applyFill="0" applyAlignment="0" applyProtection="0"/>
    <xf numFmtId="0" fontId="154" fillId="0" borderId="0" applyNumberFormat="0" applyFill="0" applyBorder="0" applyAlignment="0" applyProtection="0"/>
    <xf numFmtId="164" fontId="2" fillId="0" borderId="0" applyFont="0" applyFill="0" applyBorder="0" applyAlignment="0" applyProtection="0"/>
    <xf numFmtId="0" fontId="155" fillId="9" borderId="0" applyNumberFormat="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cellStyleXfs>
  <cellXfs count="902">
    <xf numFmtId="0" fontId="0" fillId="0" borderId="0" xfId="0"/>
    <xf numFmtId="43" fontId="16" fillId="0" borderId="0" xfId="81" applyFont="1" applyFill="1" applyAlignment="1">
      <alignment vertical="center"/>
    </xf>
    <xf numFmtId="0" fontId="0" fillId="0" borderId="0" xfId="0" applyBorder="1" applyProtection="1"/>
    <xf numFmtId="0" fontId="0" fillId="0" borderId="0" xfId="0" applyProtection="1"/>
    <xf numFmtId="43" fontId="22" fillId="0" borderId="0" xfId="81" applyFont="1" applyFill="1" applyAlignment="1" applyProtection="1">
      <alignment vertical="center"/>
    </xf>
    <xf numFmtId="0" fontId="21" fillId="0" borderId="0" xfId="0" applyFont="1" applyProtection="1"/>
    <xf numFmtId="43" fontId="19" fillId="0" borderId="0" xfId="97" applyFont="1" applyFill="1" applyAlignment="1" applyProtection="1"/>
    <xf numFmtId="43" fontId="19" fillId="0" borderId="0" xfId="97" applyFont="1" applyFill="1" applyAlignment="1" applyProtection="1">
      <alignment horizontal="center"/>
    </xf>
    <xf numFmtId="43" fontId="19" fillId="0" borderId="0" xfId="97" applyFont="1" applyFill="1" applyAlignment="1" applyProtection="1">
      <alignment horizontal="right"/>
    </xf>
    <xf numFmtId="43" fontId="19" fillId="0" borderId="0" xfId="97" applyFont="1" applyFill="1" applyBorder="1" applyAlignment="1" applyProtection="1">
      <alignment horizontal="center"/>
    </xf>
    <xf numFmtId="43" fontId="156" fillId="0" borderId="0" xfId="94" applyProtection="1"/>
    <xf numFmtId="43" fontId="15" fillId="0" borderId="0" xfId="94" applyFont="1" applyProtection="1"/>
    <xf numFmtId="0" fontId="18" fillId="0" borderId="0" xfId="94" applyNumberFormat="1" applyFont="1" applyBorder="1" applyProtection="1"/>
    <xf numFmtId="43" fontId="156" fillId="0" borderId="0" xfId="99" applyProtection="1"/>
    <xf numFmtId="43" fontId="156" fillId="0" borderId="0" xfId="99" applyFill="1" applyBorder="1" applyAlignment="1" applyProtection="1">
      <alignment horizontal="left"/>
    </xf>
    <xf numFmtId="0" fontId="0" fillId="0" borderId="0" xfId="0" applyFill="1" applyBorder="1" applyProtection="1"/>
    <xf numFmtId="43" fontId="156" fillId="0" borderId="0" xfId="99" applyFill="1" applyBorder="1" applyProtection="1"/>
    <xf numFmtId="0" fontId="15" fillId="0" borderId="0" xfId="0" applyFont="1" applyProtection="1"/>
    <xf numFmtId="43" fontId="15" fillId="0" borderId="0" xfId="99"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43" fontId="28" fillId="0" borderId="0" xfId="0" applyNumberFormat="1" applyFont="1"/>
    <xf numFmtId="43" fontId="28" fillId="0" borderId="0" xfId="0" applyNumberFormat="1" applyFont="1" applyAlignment="1">
      <alignment horizontal="right"/>
    </xf>
    <xf numFmtId="167" fontId="28" fillId="0" borderId="0" xfId="51" applyNumberFormat="1" applyFont="1" applyAlignment="1">
      <alignment horizontal="left"/>
    </xf>
    <xf numFmtId="43" fontId="16" fillId="0" borderId="0" xfId="93" applyFont="1" applyFill="1" applyAlignment="1">
      <alignment vertical="center"/>
    </xf>
    <xf numFmtId="0" fontId="0" fillId="0" borderId="12"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112" applyNumberFormat="1" applyFont="1" applyFill="1" applyBorder="1" applyAlignment="1">
      <alignment horizontal="center"/>
    </xf>
    <xf numFmtId="10" fontId="6" fillId="0" borderId="0" xfId="112" applyNumberFormat="1" applyFont="1" applyFill="1" applyBorder="1" applyAlignment="1" applyProtection="1">
      <alignment horizontal="center"/>
      <protection locked="0"/>
    </xf>
    <xf numFmtId="43" fontId="28" fillId="0" borderId="0" xfId="0" applyNumberFormat="1" applyFont="1" applyFill="1" applyBorder="1" applyAlignment="1"/>
    <xf numFmtId="43" fontId="156" fillId="0" borderId="0" xfId="120" applyFill="1" applyBorder="1" applyAlignment="1" applyProtection="1">
      <alignment vertical="center"/>
      <protection locked="0"/>
    </xf>
    <xf numFmtId="166"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43" fontId="39" fillId="0" borderId="0" xfId="120" applyFont="1" applyFill="1" applyBorder="1" applyAlignment="1" applyProtection="1">
      <alignment vertical="center"/>
      <protection locked="0"/>
    </xf>
    <xf numFmtId="0" fontId="0" fillId="0" borderId="12"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56" fillId="0" borderId="0" xfId="117"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43" fontId="69" fillId="0" borderId="0" xfId="94" applyFont="1" applyProtection="1"/>
    <xf numFmtId="43" fontId="69" fillId="0" borderId="0" xfId="99" applyFont="1" applyProtection="1"/>
    <xf numFmtId="0" fontId="69" fillId="0" borderId="12" xfId="0" applyFont="1" applyFill="1" applyBorder="1" applyAlignment="1" applyProtection="1">
      <alignment horizontal="center"/>
    </xf>
    <xf numFmtId="0" fontId="69" fillId="0" borderId="12" xfId="0" applyFont="1" applyFill="1" applyBorder="1" applyProtection="1"/>
    <xf numFmtId="43" fontId="69" fillId="0" borderId="12" xfId="99" applyFont="1" applyBorder="1" applyProtection="1"/>
    <xf numFmtId="0" fontId="70" fillId="0" borderId="12" xfId="0" applyFont="1" applyBorder="1" applyAlignment="1" applyProtection="1">
      <alignment horizontal="left" indent="1"/>
    </xf>
    <xf numFmtId="0" fontId="71" fillId="0" borderId="12" xfId="0" applyFont="1" applyBorder="1"/>
    <xf numFmtId="0" fontId="72" fillId="28" borderId="12" xfId="0" applyFont="1" applyFill="1" applyBorder="1" applyAlignment="1" applyProtection="1">
      <alignment horizontal="center"/>
    </xf>
    <xf numFmtId="0" fontId="72" fillId="28" borderId="12" xfId="0" applyFont="1" applyFill="1" applyBorder="1" applyAlignment="1">
      <alignment horizontal="center"/>
    </xf>
    <xf numFmtId="0" fontId="21" fillId="0" borderId="0" xfId="0" applyFont="1"/>
    <xf numFmtId="3" fontId="15" fillId="29" borderId="13" xfId="0" applyNumberFormat="1" applyFont="1" applyFill="1" applyBorder="1" applyAlignment="1">
      <alignment horizontal="right"/>
    </xf>
    <xf numFmtId="3" fontId="15" fillId="29" borderId="13" xfId="51" applyNumberFormat="1" applyFont="1" applyFill="1" applyBorder="1"/>
    <xf numFmtId="9" fontId="15" fillId="29" borderId="13" xfId="112" applyFont="1" applyFill="1" applyBorder="1"/>
    <xf numFmtId="9" fontId="15" fillId="29" borderId="13" xfId="112" applyNumberFormat="1" applyFont="1" applyFill="1" applyBorder="1"/>
    <xf numFmtId="0" fontId="15" fillId="29" borderId="13" xfId="0" applyFont="1" applyFill="1" applyBorder="1"/>
    <xf numFmtId="9" fontId="15" fillId="29" borderId="13" xfId="112" applyFont="1" applyFill="1" applyBorder="1" applyAlignment="1">
      <alignment horizontal="center"/>
    </xf>
    <xf numFmtId="0" fontId="15" fillId="0" borderId="0" xfId="0" applyFont="1"/>
    <xf numFmtId="0" fontId="33" fillId="0" borderId="0" xfId="0" applyFont="1" applyAlignment="1">
      <alignment horizontal="center"/>
    </xf>
    <xf numFmtId="43" fontId="61" fillId="0" borderId="0" xfId="93" applyFont="1" applyFill="1" applyAlignment="1">
      <alignment vertical="center"/>
    </xf>
    <xf numFmtId="0" fontId="14" fillId="0" borderId="0" xfId="0" applyFont="1"/>
    <xf numFmtId="0" fontId="46" fillId="0" borderId="0" xfId="0" applyFont="1" applyFill="1"/>
    <xf numFmtId="0" fontId="79" fillId="28" borderId="14" xfId="0" applyFont="1" applyFill="1" applyBorder="1" applyAlignment="1">
      <alignment vertical="center"/>
    </xf>
    <xf numFmtId="0" fontId="77" fillId="0" borderId="0" xfId="109" applyNumberFormat="1" applyFont="1" applyFill="1" applyBorder="1" applyAlignment="1">
      <alignment horizontal="center" vertical="center" wrapText="1"/>
    </xf>
    <xf numFmtId="0" fontId="77" fillId="30" borderId="15" xfId="109"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9"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43" fontId="39" fillId="0" borderId="0" xfId="120" applyFont="1" applyFill="1" applyBorder="1" applyAlignment="1" applyProtection="1">
      <alignment horizontal="center" vertical="center"/>
      <protection locked="0"/>
    </xf>
    <xf numFmtId="15" fontId="0" fillId="0" borderId="0" xfId="0" applyNumberFormat="1"/>
    <xf numFmtId="0" fontId="0" fillId="0" borderId="12" xfId="0" quotePrefix="1" applyNumberFormat="1" applyBorder="1"/>
    <xf numFmtId="43" fontId="31" fillId="0" borderId="16" xfId="120" applyFont="1" applyBorder="1" applyAlignment="1" applyProtection="1"/>
    <xf numFmtId="43" fontId="156" fillId="0" borderId="16" xfId="120" applyFill="1" applyBorder="1" applyAlignment="1" applyProtection="1">
      <alignment vertical="center"/>
    </xf>
    <xf numFmtId="43" fontId="3" fillId="0" borderId="16" xfId="120" applyFont="1" applyFill="1" applyBorder="1" applyAlignment="1" applyProtection="1">
      <alignment vertical="center"/>
    </xf>
    <xf numFmtId="43" fontId="31" fillId="0" borderId="0" xfId="120" applyFont="1" applyBorder="1" applyAlignment="1" applyProtection="1"/>
    <xf numFmtId="43" fontId="156" fillId="0" borderId="0" xfId="120" applyFill="1" applyBorder="1" applyAlignment="1" applyProtection="1">
      <alignment vertical="center"/>
    </xf>
    <xf numFmtId="43" fontId="3" fillId="0" borderId="0" xfId="120" applyFont="1" applyFill="1" applyBorder="1" applyAlignment="1" applyProtection="1">
      <alignment vertical="center"/>
    </xf>
    <xf numFmtId="0" fontId="32" fillId="0" borderId="17" xfId="0" applyFont="1" applyBorder="1" applyAlignment="1" applyProtection="1">
      <alignment horizontal="center"/>
    </xf>
    <xf numFmtId="15" fontId="32" fillId="0" borderId="18" xfId="0" applyNumberFormat="1" applyFont="1" applyBorder="1" applyAlignment="1" applyProtection="1">
      <alignment horizontal="center"/>
    </xf>
    <xf numFmtId="0" fontId="32" fillId="0" borderId="19" xfId="0" applyFont="1" applyBorder="1" applyAlignment="1" applyProtection="1">
      <alignment horizontal="center"/>
    </xf>
    <xf numFmtId="167"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112"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20" xfId="0" applyNumberFormat="1" applyFont="1" applyFill="1" applyBorder="1" applyAlignment="1" applyProtection="1"/>
    <xf numFmtId="0" fontId="26" fillId="0" borderId="20" xfId="0" applyFont="1" applyFill="1" applyBorder="1" applyProtection="1"/>
    <xf numFmtId="0" fontId="26" fillId="0" borderId="21" xfId="0" applyFont="1" applyFill="1" applyBorder="1" applyProtection="1"/>
    <xf numFmtId="43" fontId="38" fillId="0" borderId="22" xfId="120" applyFont="1" applyBorder="1" applyAlignment="1" applyProtection="1"/>
    <xf numFmtId="43" fontId="39" fillId="0" borderId="22" xfId="120" applyFont="1" applyFill="1" applyBorder="1" applyAlignment="1" applyProtection="1">
      <alignment vertical="center"/>
    </xf>
    <xf numFmtId="43" fontId="39" fillId="0" borderId="22" xfId="120" applyFont="1" applyFill="1" applyBorder="1" applyAlignment="1" applyProtection="1">
      <alignment horizontal="center" vertical="center"/>
    </xf>
    <xf numFmtId="43" fontId="39" fillId="0" borderId="0" xfId="120" applyFont="1" applyFill="1" applyBorder="1" applyAlignment="1" applyProtection="1">
      <alignment vertical="center"/>
    </xf>
    <xf numFmtId="43" fontId="38" fillId="0" borderId="0" xfId="120" applyFont="1" applyBorder="1" applyAlignment="1" applyProtection="1"/>
    <xf numFmtId="43" fontId="40" fillId="0" borderId="0" xfId="120" applyFont="1" applyFill="1" applyBorder="1" applyAlignment="1" applyProtection="1">
      <alignment vertical="center"/>
    </xf>
    <xf numFmtId="0" fontId="14" fillId="0" borderId="0" xfId="0" applyFont="1" applyBorder="1" applyAlignment="1" applyProtection="1">
      <alignment horizontal="center"/>
    </xf>
    <xf numFmtId="0" fontId="0" fillId="0" borderId="23" xfId="0" applyBorder="1" applyAlignment="1" applyProtection="1">
      <alignment horizontal="center"/>
    </xf>
    <xf numFmtId="0" fontId="14" fillId="0" borderId="23" xfId="0" applyFont="1" applyBorder="1" applyAlignment="1" applyProtection="1">
      <alignment horizontal="center"/>
    </xf>
    <xf numFmtId="0" fontId="14" fillId="0" borderId="23" xfId="0" applyFont="1" applyBorder="1" applyAlignment="1" applyProtection="1">
      <alignment horizontal="center" wrapText="1"/>
    </xf>
    <xf numFmtId="0" fontId="14" fillId="0" borderId="24" xfId="0" applyFont="1" applyBorder="1" applyAlignment="1" applyProtection="1">
      <alignment horizontal="center"/>
    </xf>
    <xf numFmtId="0" fontId="14" fillId="0" borderId="25" xfId="0" applyFont="1" applyBorder="1" applyAlignment="1" applyProtection="1">
      <alignment horizontal="center"/>
    </xf>
    <xf numFmtId="1" fontId="21" fillId="29" borderId="26" xfId="0" applyNumberFormat="1" applyFont="1" applyFill="1" applyBorder="1" applyAlignment="1" applyProtection="1">
      <alignment horizontal="center"/>
    </xf>
    <xf numFmtId="0" fontId="14" fillId="0" borderId="27" xfId="0" applyFont="1" applyBorder="1" applyAlignment="1" applyProtection="1">
      <alignment horizontal="center"/>
    </xf>
    <xf numFmtId="1" fontId="21" fillId="29" borderId="28" xfId="0" applyNumberFormat="1" applyFont="1" applyFill="1" applyBorder="1" applyAlignment="1" applyProtection="1">
      <alignment horizontal="center"/>
    </xf>
    <xf numFmtId="0" fontId="0" fillId="0" borderId="29" xfId="0" applyBorder="1" applyProtection="1"/>
    <xf numFmtId="0" fontId="0" fillId="0" borderId="24" xfId="0" applyBorder="1" applyAlignment="1" applyProtection="1">
      <alignment horizontal="center"/>
    </xf>
    <xf numFmtId="0" fontId="0" fillId="0" borderId="27" xfId="0" applyBorder="1" applyAlignment="1" applyProtection="1">
      <alignment horizontal="center"/>
    </xf>
    <xf numFmtId="0" fontId="32" fillId="0" borderId="23" xfId="0" applyFont="1" applyBorder="1" applyAlignment="1" applyProtection="1">
      <alignment horizontal="center"/>
    </xf>
    <xf numFmtId="0" fontId="32" fillId="0" borderId="24" xfId="0" applyFont="1" applyBorder="1" applyAlignment="1" applyProtection="1">
      <alignment horizontal="center"/>
    </xf>
    <xf numFmtId="0" fontId="0" fillId="0" borderId="0" xfId="0" applyFill="1" applyBorder="1" applyAlignment="1" applyProtection="1">
      <alignment horizontal="center" wrapText="1"/>
    </xf>
    <xf numFmtId="43" fontId="101" fillId="0" borderId="0" xfId="51" applyFont="1" applyFill="1" applyBorder="1" applyProtection="1"/>
    <xf numFmtId="43" fontId="0" fillId="0" borderId="0" xfId="0" applyNumberFormat="1" applyFill="1" applyBorder="1" applyProtection="1"/>
    <xf numFmtId="43" fontId="68" fillId="0" borderId="30" xfId="120" applyFont="1" applyFill="1" applyBorder="1" applyAlignment="1" applyProtection="1"/>
    <xf numFmtId="43" fontId="39" fillId="0" borderId="30" xfId="120" applyFont="1" applyFill="1" applyBorder="1" applyAlignment="1" applyProtection="1">
      <alignment vertical="center"/>
    </xf>
    <xf numFmtId="0" fontId="67" fillId="0" borderId="31" xfId="0" applyFont="1" applyFill="1" applyBorder="1" applyProtection="1"/>
    <xf numFmtId="0" fontId="67" fillId="0" borderId="32" xfId="0" applyFont="1" applyFill="1" applyBorder="1" applyProtection="1"/>
    <xf numFmtId="3" fontId="67" fillId="31" borderId="12" xfId="0" applyNumberFormat="1" applyFont="1" applyFill="1" applyBorder="1" applyAlignment="1" applyProtection="1">
      <alignment vertical="center"/>
      <protection locked="0"/>
    </xf>
    <xf numFmtId="3" fontId="67" fillId="31" borderId="33" xfId="0" applyNumberFormat="1" applyFont="1" applyFill="1" applyBorder="1" applyAlignment="1" applyProtection="1">
      <alignment vertical="center"/>
      <protection locked="0"/>
    </xf>
    <xf numFmtId="43" fontId="28" fillId="0" borderId="0" xfId="0" applyNumberFormat="1" applyFont="1" applyAlignment="1" applyProtection="1">
      <alignment horizontal="right"/>
    </xf>
    <xf numFmtId="167" fontId="28" fillId="0" borderId="0" xfId="51"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43" fontId="28" fillId="0" borderId="0" xfId="0" applyNumberFormat="1" applyFont="1" applyProtection="1"/>
    <xf numFmtId="43" fontId="28" fillId="0" borderId="0" xfId="0" applyNumberFormat="1" applyFont="1" applyBorder="1" applyProtection="1"/>
    <xf numFmtId="43" fontId="28" fillId="0" borderId="0" xfId="0" applyNumberFormat="1" applyFont="1" applyBorder="1" applyAlignment="1" applyProtection="1">
      <alignment horizontal="right"/>
    </xf>
    <xf numFmtId="167" fontId="28" fillId="0" borderId="0" xfId="51"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2" xfId="0" applyFont="1" applyBorder="1" applyAlignment="1" applyProtection="1">
      <alignment horizontal="center" vertical="center" wrapText="1"/>
    </xf>
    <xf numFmtId="3" fontId="28" fillId="0" borderId="12" xfId="0" applyNumberFormat="1" applyFont="1" applyBorder="1" applyAlignment="1" applyProtection="1">
      <alignment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4"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68"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9"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9" borderId="0" xfId="0" applyFont="1" applyFill="1" applyBorder="1" applyAlignment="1" applyProtection="1">
      <alignment horizontal="left" vertical="center"/>
    </xf>
    <xf numFmtId="170" fontId="52" fillId="29" borderId="0" xfId="0" applyNumberFormat="1" applyFont="1" applyFill="1" applyBorder="1" applyAlignment="1" applyProtection="1">
      <alignment vertical="center"/>
    </xf>
    <xf numFmtId="0" fontId="53" fillId="29" borderId="0" xfId="0" applyNumberFormat="1" applyFont="1" applyFill="1" applyBorder="1" applyAlignment="1" applyProtection="1">
      <alignment horizontal="right"/>
    </xf>
    <xf numFmtId="0" fontId="63" fillId="29" borderId="0" xfId="0" applyFont="1" applyFill="1" applyBorder="1" applyAlignment="1" applyProtection="1">
      <alignment horizontal="center" vertical="center"/>
    </xf>
    <xf numFmtId="0" fontId="54" fillId="29" borderId="0" xfId="0" applyFont="1" applyFill="1" applyBorder="1" applyAlignment="1" applyProtection="1">
      <alignment horizontal="center" vertical="center"/>
    </xf>
    <xf numFmtId="169" fontId="52" fillId="29" borderId="0" xfId="112" applyNumberFormat="1" applyFont="1" applyFill="1" applyBorder="1" applyAlignment="1" applyProtection="1">
      <alignment horizontal="right"/>
    </xf>
    <xf numFmtId="9" fontId="55" fillId="29" borderId="0" xfId="0" applyNumberFormat="1" applyFont="1" applyFill="1" applyBorder="1" applyProtection="1"/>
    <xf numFmtId="0" fontId="56" fillId="29" borderId="0" xfId="0" applyFont="1" applyFill="1" applyBorder="1" applyAlignment="1" applyProtection="1">
      <alignment horizontal="center" vertical="center"/>
    </xf>
    <xf numFmtId="9" fontId="55" fillId="29"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4" xfId="0" applyNumberFormat="1" applyFont="1" applyFill="1" applyBorder="1" applyAlignment="1" applyProtection="1">
      <alignment horizontal="right"/>
    </xf>
    <xf numFmtId="0" fontId="53" fillId="0" borderId="35" xfId="0" applyNumberFormat="1" applyFont="1" applyFill="1" applyBorder="1" applyAlignment="1" applyProtection="1">
      <alignment horizontal="right"/>
    </xf>
    <xf numFmtId="0" fontId="53" fillId="0" borderId="36"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7" xfId="0" applyNumberFormat="1" applyFont="1" applyFill="1" applyBorder="1" applyAlignment="1" applyProtection="1">
      <alignment horizontal="right"/>
    </xf>
    <xf numFmtId="9" fontId="55" fillId="0" borderId="0" xfId="0" applyNumberFormat="1" applyFont="1" applyFill="1" applyBorder="1" applyProtection="1"/>
    <xf numFmtId="0" fontId="53" fillId="0" borderId="38" xfId="0" applyNumberFormat="1" applyFont="1" applyFill="1" applyBorder="1" applyAlignment="1" applyProtection="1">
      <alignment horizontal="right"/>
    </xf>
    <xf numFmtId="0" fontId="53" fillId="0" borderId="39" xfId="0" applyNumberFormat="1" applyFont="1" applyFill="1" applyBorder="1" applyAlignment="1" applyProtection="1">
      <alignment horizontal="right"/>
    </xf>
    <xf numFmtId="0" fontId="34" fillId="0" borderId="40" xfId="0" applyNumberFormat="1" applyFont="1" applyFill="1" applyBorder="1" applyAlignment="1" applyProtection="1">
      <alignment vertical="center"/>
    </xf>
    <xf numFmtId="0" fontId="34" fillId="0" borderId="41" xfId="0" applyNumberFormat="1" applyFont="1" applyFill="1" applyBorder="1" applyAlignment="1" applyProtection="1">
      <alignment vertical="center"/>
    </xf>
    <xf numFmtId="0" fontId="34" fillId="0" borderId="42"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43"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43" fontId="0" fillId="0" borderId="0" xfId="0" applyNumberFormat="1" applyAlignment="1" applyProtection="1">
      <alignment horizontal="right"/>
    </xf>
    <xf numFmtId="3" fontId="0" fillId="0" borderId="0" xfId="0" applyNumberFormat="1" applyProtection="1"/>
    <xf numFmtId="43" fontId="37" fillId="0" borderId="0" xfId="0" applyNumberFormat="1" applyFont="1" applyBorder="1" applyProtection="1"/>
    <xf numFmtId="43" fontId="37" fillId="0" borderId="0" xfId="0" applyNumberFormat="1" applyFont="1" applyProtection="1"/>
    <xf numFmtId="167" fontId="6" fillId="0" borderId="0" xfId="51" applyNumberFormat="1" applyFont="1" applyFill="1" applyBorder="1" applyAlignment="1" applyProtection="1">
      <protection locked="0"/>
    </xf>
    <xf numFmtId="167" fontId="6" fillId="0" borderId="0" xfId="51" applyNumberFormat="1" applyFont="1" applyFill="1" applyBorder="1" applyProtection="1">
      <protection locked="0"/>
    </xf>
    <xf numFmtId="0" fontId="0" fillId="0" borderId="0" xfId="0" applyBorder="1" applyAlignment="1">
      <alignment horizontal="center"/>
    </xf>
    <xf numFmtId="0" fontId="15" fillId="29" borderId="0" xfId="0" applyFont="1" applyFill="1"/>
    <xf numFmtId="166" fontId="15" fillId="29" borderId="0" xfId="0" applyNumberFormat="1" applyFont="1" applyFill="1"/>
    <xf numFmtId="167" fontId="15" fillId="29" borderId="0" xfId="0" applyNumberFormat="1" applyFont="1" applyFill="1"/>
    <xf numFmtId="3" fontId="15" fillId="29" borderId="0" xfId="0" applyNumberFormat="1" applyFont="1" applyFill="1" applyProtection="1"/>
    <xf numFmtId="166" fontId="15" fillId="29"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9" borderId="0" xfId="0" applyFill="1" applyBorder="1" applyAlignment="1">
      <alignment horizontal="center"/>
    </xf>
    <xf numFmtId="0" fontId="28" fillId="0" borderId="43" xfId="0" applyFont="1" applyFill="1" applyBorder="1" applyAlignment="1" applyProtection="1">
      <alignment horizontal="center" wrapText="1"/>
    </xf>
    <xf numFmtId="0" fontId="28" fillId="0" borderId="44" xfId="0" applyFont="1" applyFill="1" applyBorder="1" applyAlignment="1" applyProtection="1">
      <alignment horizontal="center" wrapText="1"/>
    </xf>
    <xf numFmtId="0" fontId="0" fillId="0" borderId="44" xfId="0" applyBorder="1" applyProtection="1"/>
    <xf numFmtId="43" fontId="17" fillId="0" borderId="0" xfId="92" applyFont="1" applyFill="1" applyAlignment="1" applyProtection="1">
      <alignment horizontal="center" vertical="center"/>
    </xf>
    <xf numFmtId="43" fontId="16" fillId="0" borderId="0" xfId="92" applyFont="1" applyFill="1" applyAlignment="1" applyProtection="1">
      <alignment vertical="center"/>
    </xf>
    <xf numFmtId="0" fontId="84" fillId="0" borderId="0" xfId="0" applyFont="1"/>
    <xf numFmtId="43" fontId="14" fillId="0" borderId="0" xfId="0" applyNumberFormat="1" applyFont="1" applyAlignment="1" applyProtection="1">
      <alignment horizontal="center"/>
    </xf>
    <xf numFmtId="43" fontId="20" fillId="0" borderId="45" xfId="117" applyFont="1" applyBorder="1" applyAlignment="1" applyProtection="1">
      <alignment horizontal="right"/>
    </xf>
    <xf numFmtId="0" fontId="12" fillId="0" borderId="0" xfId="0" applyFont="1"/>
    <xf numFmtId="0" fontId="0" fillId="29" borderId="0" xfId="0" applyFill="1" applyProtection="1"/>
    <xf numFmtId="0" fontId="0" fillId="29" borderId="46" xfId="0" applyFill="1" applyBorder="1" applyProtection="1"/>
    <xf numFmtId="43" fontId="90" fillId="0" borderId="0" xfId="0" applyNumberFormat="1" applyFont="1"/>
    <xf numFmtId="0" fontId="90" fillId="0" borderId="0" xfId="0" applyFont="1"/>
    <xf numFmtId="43" fontId="0" fillId="0" borderId="0" xfId="0" quotePrefix="1" applyNumberFormat="1"/>
    <xf numFmtId="43" fontId="0" fillId="0" borderId="0" xfId="0" applyNumberFormat="1"/>
    <xf numFmtId="0" fontId="34" fillId="0" borderId="47" xfId="0" applyNumberFormat="1" applyFont="1" applyFill="1" applyBorder="1" applyAlignment="1" applyProtection="1">
      <alignment vertical="center"/>
    </xf>
    <xf numFmtId="43" fontId="156" fillId="0" borderId="0" xfId="103" applyFill="1" applyBorder="1" applyAlignment="1" applyProtection="1">
      <alignment horizontal="center"/>
    </xf>
    <xf numFmtId="0" fontId="34" fillId="0" borderId="0" xfId="0" quotePrefix="1" applyFont="1" applyProtection="1"/>
    <xf numFmtId="0" fontId="63" fillId="0" borderId="31" xfId="0" applyFont="1" applyBorder="1" applyAlignment="1">
      <alignment horizontal="justify" vertical="center" wrapText="1"/>
    </xf>
    <xf numFmtId="0" fontId="63" fillId="0" borderId="48" xfId="0" applyFont="1" applyBorder="1" applyAlignment="1">
      <alignment horizontal="justify" vertical="center" wrapText="1"/>
    </xf>
    <xf numFmtId="0" fontId="63" fillId="0" borderId="49" xfId="0" applyFont="1" applyBorder="1" applyAlignment="1">
      <alignment horizontal="justify" vertical="center" wrapText="1"/>
    </xf>
    <xf numFmtId="0" fontId="89" fillId="0" borderId="48" xfId="0" applyFont="1" applyBorder="1" applyAlignment="1">
      <alignment horizontal="justify" vertical="center" wrapText="1"/>
    </xf>
    <xf numFmtId="43" fontId="92" fillId="0" borderId="30" xfId="120" applyFont="1" applyFill="1" applyBorder="1" applyAlignment="1" applyProtection="1"/>
    <xf numFmtId="43" fontId="9" fillId="0" borderId="30" xfId="120" applyFont="1" applyFill="1" applyBorder="1" applyAlignment="1" applyProtection="1">
      <alignment vertical="center"/>
    </xf>
    <xf numFmtId="3" fontId="67" fillId="32" borderId="12" xfId="0" applyNumberFormat="1" applyFont="1" applyFill="1" applyBorder="1" applyAlignment="1" applyProtection="1">
      <alignment vertical="center"/>
      <protection locked="0"/>
    </xf>
    <xf numFmtId="0" fontId="88" fillId="0" borderId="31" xfId="0" applyFont="1" applyBorder="1" applyAlignment="1">
      <alignment vertical="center" wrapText="1"/>
    </xf>
    <xf numFmtId="0" fontId="88" fillId="0" borderId="48" xfId="0" applyFont="1" applyBorder="1" applyAlignment="1">
      <alignment vertical="center" wrapText="1"/>
    </xf>
    <xf numFmtId="0" fontId="2" fillId="0" borderId="50" xfId="0" applyFont="1" applyFill="1" applyBorder="1" applyAlignment="1" applyProtection="1">
      <alignment horizontal="center"/>
    </xf>
    <xf numFmtId="0" fontId="67" fillId="0" borderId="12" xfId="0" applyFont="1" applyFill="1" applyBorder="1" applyAlignment="1" applyProtection="1">
      <alignment horizontal="center"/>
    </xf>
    <xf numFmtId="0" fontId="1" fillId="0" borderId="0" xfId="0" applyFont="1"/>
    <xf numFmtId="0" fontId="95" fillId="0" borderId="0" xfId="0" applyFont="1"/>
    <xf numFmtId="0" fontId="63" fillId="31" borderId="31" xfId="0" applyFont="1" applyFill="1" applyBorder="1" applyAlignment="1">
      <alignment horizontal="justify" vertical="center" wrapText="1"/>
    </xf>
    <xf numFmtId="0" fontId="89" fillId="31" borderId="48" xfId="0" applyFont="1" applyFill="1" applyBorder="1" applyAlignment="1">
      <alignment horizontal="justify" vertical="center" wrapText="1"/>
    </xf>
    <xf numFmtId="0" fontId="89" fillId="31" borderId="49" xfId="0" applyFont="1" applyFill="1" applyBorder="1" applyAlignment="1">
      <alignment horizontal="justify" vertical="center" wrapText="1"/>
    </xf>
    <xf numFmtId="0" fontId="63" fillId="0" borderId="31" xfId="0" applyFont="1" applyBorder="1" applyAlignment="1" applyProtection="1">
      <alignment horizontal="justify" vertical="center" wrapText="1"/>
      <protection locked="0"/>
    </xf>
    <xf numFmtId="0" fontId="89" fillId="0" borderId="48" xfId="0" applyFont="1" applyBorder="1" applyAlignment="1" applyProtection="1">
      <alignment horizontal="justify" vertical="center" wrapText="1"/>
      <protection locked="0"/>
    </xf>
    <xf numFmtId="0" fontId="89" fillId="0" borderId="49" xfId="0" applyFont="1" applyBorder="1" applyAlignment="1" applyProtection="1">
      <alignment horizontal="justify" vertical="center" wrapText="1"/>
      <protection locked="0"/>
    </xf>
    <xf numFmtId="43" fontId="97" fillId="0" borderId="30" xfId="120" applyFont="1" applyFill="1" applyBorder="1" applyAlignment="1" applyProtection="1">
      <alignment vertical="center"/>
    </xf>
    <xf numFmtId="0" fontId="96" fillId="0" borderId="0" xfId="0" applyFont="1" applyFill="1"/>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33" borderId="12" xfId="0" applyNumberFormat="1" applyFont="1" applyFill="1" applyBorder="1" applyAlignment="1" applyProtection="1">
      <alignment horizontal="center"/>
      <protection locked="0"/>
    </xf>
    <xf numFmtId="1" fontId="21" fillId="33" borderId="51" xfId="0" applyNumberFormat="1" applyFont="1" applyFill="1" applyBorder="1" applyAlignment="1" applyProtection="1">
      <alignment horizontal="center"/>
      <protection locked="0"/>
    </xf>
    <xf numFmtId="1" fontId="0" fillId="33" borderId="12" xfId="0" applyNumberFormat="1" applyFill="1" applyBorder="1" applyAlignment="1" applyProtection="1">
      <alignment horizontal="center"/>
      <protection locked="0"/>
    </xf>
    <xf numFmtId="167" fontId="0" fillId="0" borderId="0" xfId="0" applyNumberFormat="1" applyProtection="1"/>
    <xf numFmtId="0" fontId="63" fillId="0" borderId="31" xfId="0" applyFont="1" applyBorder="1" applyAlignment="1" applyProtection="1">
      <alignment horizontal="left" vertical="center" wrapText="1"/>
      <protection locked="0"/>
    </xf>
    <xf numFmtId="0" fontId="63" fillId="0" borderId="48" xfId="0" applyFont="1" applyBorder="1" applyAlignment="1" applyProtection="1">
      <alignment horizontal="left" vertical="center" wrapText="1"/>
      <protection locked="0"/>
    </xf>
    <xf numFmtId="0" fontId="63" fillId="0" borderId="49" xfId="0" applyFont="1" applyBorder="1" applyAlignment="1" applyProtection="1">
      <alignment horizontal="left" vertical="center" wrapText="1"/>
      <protection locked="0"/>
    </xf>
    <xf numFmtId="43" fontId="20" fillId="0" borderId="0" xfId="97" applyFont="1" applyFill="1" applyAlignment="1" applyProtection="1">
      <alignment horizontal="right" vertical="center"/>
    </xf>
    <xf numFmtId="0" fontId="103" fillId="0" borderId="0" xfId="0" applyFont="1" applyFill="1" applyBorder="1" applyAlignment="1" applyProtection="1">
      <alignment horizontal="right"/>
    </xf>
    <xf numFmtId="0" fontId="63" fillId="31" borderId="31" xfId="0" applyFont="1" applyFill="1" applyBorder="1" applyAlignment="1">
      <alignment horizontal="left" vertical="center" wrapText="1"/>
    </xf>
    <xf numFmtId="0" fontId="63" fillId="31" borderId="48" xfId="0" applyFont="1" applyFill="1" applyBorder="1" applyAlignment="1">
      <alignment horizontal="left" vertical="center" wrapText="1"/>
    </xf>
    <xf numFmtId="0" fontId="63" fillId="31" borderId="49" xfId="0" applyFont="1" applyFill="1" applyBorder="1" applyAlignment="1">
      <alignment horizontal="left" vertical="center" wrapText="1"/>
    </xf>
    <xf numFmtId="43" fontId="104" fillId="0" borderId="16" xfId="120" applyFont="1" applyFill="1" applyBorder="1" applyAlignment="1" applyProtection="1">
      <alignment horizontal="left" vertical="center"/>
    </xf>
    <xf numFmtId="0" fontId="105" fillId="0" borderId="0" xfId="0" applyFont="1" applyFill="1" applyBorder="1" applyProtection="1"/>
    <xf numFmtId="0" fontId="103" fillId="0" borderId="0" xfId="0" applyFont="1" applyBorder="1" applyProtection="1"/>
    <xf numFmtId="3" fontId="6" fillId="0" borderId="0" xfId="0" applyNumberFormat="1" applyFont="1" applyAlignment="1" applyProtection="1">
      <alignment horizontal="right"/>
    </xf>
    <xf numFmtId="15" fontId="102" fillId="0" borderId="0" xfId="0" applyNumberFormat="1" applyFont="1" applyFill="1" applyBorder="1" applyAlignment="1" applyProtection="1">
      <alignment horizontal="left"/>
    </xf>
    <xf numFmtId="0" fontId="109" fillId="0" borderId="0" xfId="0" applyFont="1" applyFill="1" applyBorder="1" applyAlignment="1" applyProtection="1">
      <alignment horizontal="center" wrapText="1"/>
    </xf>
    <xf numFmtId="0" fontId="103" fillId="0" borderId="0" xfId="0" applyFont="1" applyFill="1" applyBorder="1" applyAlignment="1" applyProtection="1">
      <alignment horizontal="center"/>
    </xf>
    <xf numFmtId="3" fontId="2" fillId="31" borderId="12" xfId="0" applyNumberFormat="1" applyFont="1" applyFill="1" applyBorder="1" applyAlignment="1" applyProtection="1">
      <alignment vertical="center"/>
      <protection locked="0"/>
    </xf>
    <xf numFmtId="3" fontId="2" fillId="32" borderId="12" xfId="0" applyNumberFormat="1" applyFont="1" applyFill="1" applyBorder="1" applyAlignment="1" applyProtection="1">
      <alignment vertical="center"/>
      <protection locked="0"/>
    </xf>
    <xf numFmtId="0" fontId="0" fillId="0" borderId="0" xfId="0" quotePrefix="1" applyProtection="1"/>
    <xf numFmtId="15" fontId="32" fillId="0" borderId="52"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77" fillId="0" borderId="53" xfId="0" applyFont="1" applyFill="1" applyBorder="1" applyAlignment="1" applyProtection="1">
      <alignment horizontal="center" vertical="center"/>
    </xf>
    <xf numFmtId="0" fontId="115" fillId="0" borderId="0" xfId="0" applyFont="1" applyBorder="1" applyAlignment="1" applyProtection="1">
      <alignment horizontal="right"/>
    </xf>
    <xf numFmtId="0" fontId="115" fillId="0" borderId="0" xfId="0" applyFont="1" applyAlignment="1" applyProtection="1">
      <alignment horizontal="right"/>
    </xf>
    <xf numFmtId="0" fontId="115" fillId="0" borderId="54" xfId="0" applyFont="1" applyBorder="1" applyAlignment="1" applyProtection="1">
      <alignment horizontal="right"/>
    </xf>
    <xf numFmtId="43" fontId="114" fillId="0" borderId="0" xfId="81" applyFont="1" applyFill="1" applyAlignment="1" applyProtection="1">
      <alignment vertical="center"/>
    </xf>
    <xf numFmtId="0" fontId="115" fillId="0" borderId="0" xfId="0" applyFont="1" applyProtection="1"/>
    <xf numFmtId="0" fontId="115" fillId="0" borderId="0" xfId="0" applyFont="1" applyBorder="1" applyProtection="1"/>
    <xf numFmtId="15" fontId="1" fillId="0" borderId="12" xfId="117"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0" fontId="0" fillId="0" borderId="0" xfId="0" applyFill="1" applyBorder="1" applyProtection="1">
      <protection locked="0"/>
    </xf>
    <xf numFmtId="0" fontId="100" fillId="0" borderId="0" xfId="0" applyFont="1" applyFill="1" applyBorder="1" applyAlignment="1" applyProtection="1">
      <alignment horizontal="center" vertical="center"/>
    </xf>
    <xf numFmtId="0" fontId="6" fillId="0" borderId="55" xfId="0" applyFont="1" applyBorder="1" applyAlignment="1" applyProtection="1"/>
    <xf numFmtId="0" fontId="6" fillId="0" borderId="56" xfId="0" applyFont="1" applyBorder="1" applyAlignment="1" applyProtection="1"/>
    <xf numFmtId="0" fontId="25" fillId="0" borderId="57" xfId="0" applyFont="1" applyBorder="1" applyAlignment="1" applyProtection="1">
      <alignment vertical="distributed"/>
    </xf>
    <xf numFmtId="15" fontId="27" fillId="0" borderId="58"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10" fillId="0" borderId="0" xfId="0" applyFont="1" applyFill="1" applyBorder="1" applyAlignment="1" applyProtection="1">
      <alignment horizontal="left"/>
      <protection locked="0"/>
    </xf>
    <xf numFmtId="0" fontId="26" fillId="0" borderId="59" xfId="0" applyFont="1" applyFill="1" applyBorder="1" applyAlignment="1" applyProtection="1"/>
    <xf numFmtId="15" fontId="26" fillId="0" borderId="12" xfId="0" applyNumberFormat="1" applyFont="1" applyFill="1" applyBorder="1" applyAlignment="1" applyProtection="1">
      <alignment horizontal="center"/>
    </xf>
    <xf numFmtId="15" fontId="26" fillId="0" borderId="60" xfId="0" applyNumberFormat="1" applyFont="1" applyFill="1" applyBorder="1" applyAlignment="1" applyProtection="1">
      <alignment horizontal="center"/>
    </xf>
    <xf numFmtId="0" fontId="32" fillId="34" borderId="61" xfId="0" applyFont="1" applyFill="1" applyBorder="1" applyAlignment="1" applyProtection="1">
      <alignment horizontal="centerContinuous"/>
    </xf>
    <xf numFmtId="15" fontId="111" fillId="0" borderId="44" xfId="0" applyNumberFormat="1" applyFont="1" applyFill="1" applyBorder="1" applyAlignment="1" applyProtection="1">
      <alignment horizontal="center" wrapText="1"/>
    </xf>
    <xf numFmtId="15" fontId="111" fillId="0" borderId="62" xfId="0" applyNumberFormat="1" applyFont="1" applyFill="1" applyBorder="1" applyAlignment="1" applyProtection="1">
      <alignment horizontal="center" wrapText="1"/>
    </xf>
    <xf numFmtId="0" fontId="37" fillId="0" borderId="59" xfId="0" applyFont="1" applyFill="1" applyBorder="1" applyAlignment="1" applyProtection="1">
      <alignment horizontal="center"/>
    </xf>
    <xf numFmtId="0" fontId="37" fillId="0" borderId="63" xfId="0" applyFont="1" applyFill="1" applyBorder="1" applyAlignment="1" applyProtection="1">
      <alignment horizontal="center"/>
    </xf>
    <xf numFmtId="0" fontId="32" fillId="34" borderId="64"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2" fillId="0" borderId="0" xfId="0" applyFont="1" applyFill="1" applyBorder="1" applyAlignment="1" applyProtection="1">
      <alignment horizontal="center"/>
    </xf>
    <xf numFmtId="0" fontId="108"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 fontId="0" fillId="0" borderId="26" xfId="0" applyNumberFormat="1" applyFill="1" applyBorder="1" applyAlignment="1" applyProtection="1">
      <alignment horizontal="center"/>
    </xf>
    <xf numFmtId="1" fontId="0" fillId="33" borderId="51" xfId="0" applyNumberFormat="1" applyFill="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65" xfId="0" applyBorder="1" applyAlignment="1" applyProtection="1">
      <alignment horizontal="center"/>
    </xf>
    <xf numFmtId="0" fontId="0" fillId="0" borderId="44" xfId="0" applyFill="1" applyBorder="1" applyAlignment="1" applyProtection="1">
      <alignment horizontal="center"/>
    </xf>
    <xf numFmtId="0" fontId="1" fillId="0" borderId="43" xfId="0" applyFont="1" applyFill="1" applyBorder="1" applyAlignment="1" applyProtection="1">
      <alignment horizontal="center" wrapText="1"/>
    </xf>
    <xf numFmtId="0" fontId="0" fillId="0" borderId="43" xfId="0" applyBorder="1" applyAlignment="1">
      <alignment horizontal="center" wrapText="1"/>
    </xf>
    <xf numFmtId="0" fontId="28" fillId="0" borderId="43" xfId="0" applyFont="1" applyBorder="1" applyAlignment="1">
      <alignment horizontal="center" wrapText="1"/>
    </xf>
    <xf numFmtId="0" fontId="1" fillId="0" borderId="62" xfId="0" applyFont="1" applyFill="1" applyBorder="1" applyAlignment="1" applyProtection="1">
      <alignment horizontal="center" wrapText="1"/>
    </xf>
    <xf numFmtId="3" fontId="67" fillId="32" borderId="33" xfId="0" applyNumberFormat="1" applyFont="1" applyFill="1" applyBorder="1" applyAlignment="1" applyProtection="1">
      <alignment vertical="center"/>
      <protection locked="0"/>
    </xf>
    <xf numFmtId="3" fontId="67" fillId="32" borderId="12" xfId="0" applyNumberFormat="1" applyFont="1" applyFill="1" applyBorder="1" applyAlignment="1" applyProtection="1">
      <alignment horizontal="right" vertical="center"/>
      <protection locked="0"/>
    </xf>
    <xf numFmtId="3" fontId="2" fillId="32" borderId="12" xfId="0" applyNumberFormat="1" applyFont="1" applyFill="1" applyBorder="1" applyAlignment="1" applyProtection="1">
      <alignment horizontal="right" vertical="center"/>
      <protection locked="0"/>
    </xf>
    <xf numFmtId="0" fontId="77" fillId="0" borderId="66" xfId="0" applyFont="1" applyFill="1" applyBorder="1" applyAlignment="1" applyProtection="1">
      <alignment horizontal="center" vertical="center"/>
    </xf>
    <xf numFmtId="43" fontId="116" fillId="0" borderId="22" xfId="120" applyFont="1" applyFill="1" applyBorder="1" applyAlignment="1" applyProtection="1">
      <alignment vertical="center"/>
    </xf>
    <xf numFmtId="0" fontId="24" fillId="0" borderId="0" xfId="0" applyFont="1" applyProtection="1"/>
    <xf numFmtId="43" fontId="111" fillId="0" borderId="0" xfId="0" applyNumberFormat="1" applyFont="1" applyBorder="1" applyAlignment="1" applyProtection="1">
      <alignment vertical="center" wrapText="1"/>
    </xf>
    <xf numFmtId="0" fontId="111" fillId="0" borderId="0" xfId="0" applyFont="1" applyFill="1" applyBorder="1" applyAlignment="1" applyProtection="1">
      <alignment wrapText="1"/>
    </xf>
    <xf numFmtId="43" fontId="20" fillId="0" borderId="45" xfId="117" applyFont="1" applyFill="1" applyBorder="1" applyAlignment="1" applyProtection="1">
      <alignment horizontal="right"/>
    </xf>
    <xf numFmtId="0" fontId="28" fillId="0" borderId="67" xfId="0" applyFont="1" applyFill="1" applyBorder="1" applyAlignment="1" applyProtection="1">
      <alignment wrapText="1"/>
    </xf>
    <xf numFmtId="0" fontId="34" fillId="0" borderId="68" xfId="0" applyFont="1" applyFill="1" applyBorder="1" applyAlignment="1" applyProtection="1">
      <alignment horizontal="center" wrapText="1"/>
    </xf>
    <xf numFmtId="0" fontId="21" fillId="29" borderId="31" xfId="0" applyFont="1" applyFill="1" applyBorder="1" applyAlignment="1" applyProtection="1"/>
    <xf numFmtId="0" fontId="21" fillId="29" borderId="69" xfId="0" applyFont="1" applyFill="1" applyBorder="1" applyAlignment="1" applyProtection="1"/>
    <xf numFmtId="0" fontId="28" fillId="0" borderId="0" xfId="0" applyFont="1" applyFill="1" applyBorder="1" applyAlignment="1" applyProtection="1">
      <alignment wrapText="1"/>
    </xf>
    <xf numFmtId="9" fontId="113" fillId="35" borderId="12" xfId="112" applyFont="1" applyFill="1" applyBorder="1" applyAlignment="1" applyProtection="1">
      <alignment horizontal="center" vertical="center" wrapText="1"/>
    </xf>
    <xf numFmtId="43" fontId="28" fillId="0" borderId="0" xfId="0" applyNumberFormat="1" applyFont="1" applyAlignment="1" applyProtection="1"/>
    <xf numFmtId="15" fontId="28" fillId="0" borderId="0" xfId="0" applyNumberFormat="1" applyFont="1"/>
    <xf numFmtId="0" fontId="0" fillId="0" borderId="30" xfId="0" applyFill="1" applyBorder="1" applyProtection="1"/>
    <xf numFmtId="43" fontId="117" fillId="0" borderId="30" xfId="120" applyFont="1" applyFill="1" applyBorder="1" applyAlignment="1" applyProtection="1">
      <alignment vertical="center"/>
    </xf>
    <xf numFmtId="0" fontId="0" fillId="0" borderId="30" xfId="0" applyBorder="1" applyProtection="1"/>
    <xf numFmtId="0" fontId="0" fillId="0" borderId="30" xfId="0" applyBorder="1"/>
    <xf numFmtId="9" fontId="15" fillId="0" borderId="0" xfId="112" applyFont="1" applyProtection="1"/>
    <xf numFmtId="14" fontId="24" fillId="33" borderId="45" xfId="117" applyNumberFormat="1" applyFont="1" applyFill="1" applyBorder="1" applyAlignment="1" applyProtection="1">
      <alignment horizontal="center" vertical="center"/>
    </xf>
    <xf numFmtId="43" fontId="24" fillId="33" borderId="45" xfId="117" applyFont="1" applyFill="1" applyBorder="1" applyAlignment="1" applyProtection="1">
      <alignment horizontal="center" vertical="center"/>
    </xf>
    <xf numFmtId="15" fontId="24" fillId="33" borderId="45" xfId="117" applyNumberFormat="1" applyFont="1" applyFill="1" applyBorder="1" applyAlignment="1" applyProtection="1">
      <alignment horizontal="center" vertical="center"/>
    </xf>
    <xf numFmtId="173" fontId="24" fillId="33" borderId="45" xfId="117" applyNumberFormat="1" applyFont="1" applyFill="1" applyBorder="1" applyAlignment="1" applyProtection="1">
      <alignment horizontal="center"/>
    </xf>
    <xf numFmtId="3" fontId="24" fillId="33" borderId="45" xfId="117" applyNumberFormat="1" applyFont="1" applyFill="1" applyBorder="1" applyAlignment="1" applyProtection="1">
      <alignment horizontal="center"/>
    </xf>
    <xf numFmtId="43" fontId="24" fillId="33" borderId="45" xfId="117" applyFont="1" applyFill="1" applyBorder="1" applyAlignment="1" applyProtection="1">
      <alignment horizontal="center"/>
    </xf>
    <xf numFmtId="15" fontId="24" fillId="33" borderId="45" xfId="117" applyNumberFormat="1" applyFont="1" applyFill="1" applyBorder="1" applyAlignment="1" applyProtection="1">
      <alignment horizontal="center"/>
    </xf>
    <xf numFmtId="43" fontId="90" fillId="0" borderId="0" xfId="0" applyNumberFormat="1" applyFont="1" applyAlignment="1"/>
    <xf numFmtId="0" fontId="34" fillId="0" borderId="43" xfId="0" applyFont="1" applyFill="1" applyBorder="1" applyAlignment="1" applyProtection="1">
      <alignment horizontal="center" wrapText="1"/>
    </xf>
    <xf numFmtId="0" fontId="67" fillId="0" borderId="70" xfId="0" applyFont="1" applyFill="1" applyBorder="1" applyProtection="1"/>
    <xf numFmtId="0" fontId="30" fillId="31" borderId="0" xfId="0" applyFont="1" applyFill="1" applyBorder="1" applyAlignment="1" applyProtection="1">
      <alignment horizontal="left"/>
      <protection locked="0"/>
    </xf>
    <xf numFmtId="0" fontId="34" fillId="31" borderId="0" xfId="0" applyFont="1" applyFill="1" applyBorder="1" applyAlignment="1" applyProtection="1">
      <alignment horizontal="left"/>
      <protection locked="0"/>
    </xf>
    <xf numFmtId="0" fontId="34" fillId="31" borderId="0" xfId="0" applyFont="1" applyFill="1" applyAlignment="1" applyProtection="1">
      <alignment horizontal="left"/>
      <protection locked="0"/>
    </xf>
    <xf numFmtId="49" fontId="0" fillId="0" borderId="0" xfId="0" applyNumberFormat="1" applyProtection="1"/>
    <xf numFmtId="0" fontId="0" fillId="33" borderId="51" xfId="0" applyNumberFormat="1" applyFill="1" applyBorder="1" applyAlignment="1" applyProtection="1">
      <alignment horizontal="center"/>
      <protection locked="0"/>
    </xf>
    <xf numFmtId="0" fontId="0" fillId="0" borderId="28" xfId="0" applyNumberFormat="1" applyFill="1" applyBorder="1" applyAlignment="1" applyProtection="1">
      <alignment horizontal="center"/>
    </xf>
    <xf numFmtId="0" fontId="0" fillId="33" borderId="28" xfId="0" applyNumberFormat="1" applyFill="1" applyBorder="1" applyAlignment="1" applyProtection="1">
      <alignment horizontal="center"/>
      <protection locked="0"/>
    </xf>
    <xf numFmtId="3" fontId="0" fillId="33" borderId="12" xfId="0" applyNumberFormat="1" applyFill="1" applyBorder="1" applyAlignment="1" applyProtection="1">
      <alignment horizontal="right" wrapText="1"/>
      <protection locked="0"/>
    </xf>
    <xf numFmtId="3" fontId="0" fillId="0" borderId="12" xfId="0" applyNumberFormat="1" applyBorder="1" applyAlignment="1" applyProtection="1">
      <alignment horizontal="right" wrapText="1"/>
    </xf>
    <xf numFmtId="3" fontId="0" fillId="33" borderId="12" xfId="0" applyNumberFormat="1" applyFill="1" applyBorder="1" applyProtection="1">
      <protection locked="0"/>
    </xf>
    <xf numFmtId="3" fontId="0" fillId="0" borderId="12" xfId="0" applyNumberFormat="1" applyFill="1" applyBorder="1" applyProtection="1"/>
    <xf numFmtId="3" fontId="0" fillId="33" borderId="71" xfId="0" applyNumberFormat="1" applyFill="1" applyBorder="1" applyProtection="1">
      <protection locked="0"/>
    </xf>
    <xf numFmtId="172" fontId="21" fillId="29" borderId="0" xfId="0" applyNumberFormat="1" applyFont="1" applyFill="1"/>
    <xf numFmtId="4" fontId="0" fillId="0" borderId="0" xfId="0" applyNumberFormat="1" applyFill="1" applyBorder="1" applyProtection="1">
      <protection locked="0"/>
    </xf>
    <xf numFmtId="4" fontId="0" fillId="0" borderId="0" xfId="0" applyNumberFormat="1" applyProtection="1"/>
    <xf numFmtId="166" fontId="32" fillId="28" borderId="72" xfId="0" applyNumberFormat="1" applyFont="1" applyFill="1" applyBorder="1" applyAlignment="1" applyProtection="1">
      <alignment horizontal="center"/>
      <protection locked="0"/>
    </xf>
    <xf numFmtId="166" fontId="32" fillId="28" borderId="73" xfId="0" applyNumberFormat="1" applyFont="1" applyFill="1" applyBorder="1" applyAlignment="1" applyProtection="1">
      <alignment horizontal="center"/>
      <protection locked="0"/>
    </xf>
    <xf numFmtId="166" fontId="32" fillId="28" borderId="74" xfId="0" applyNumberFormat="1" applyFont="1" applyFill="1" applyBorder="1" applyAlignment="1" applyProtection="1">
      <alignment horizontal="center"/>
      <protection locked="0"/>
    </xf>
    <xf numFmtId="166" fontId="32" fillId="28" borderId="75" xfId="0" applyNumberFormat="1" applyFont="1" applyFill="1" applyBorder="1" applyAlignment="1" applyProtection="1">
      <alignment horizontal="center"/>
      <protection locked="0"/>
    </xf>
    <xf numFmtId="166" fontId="32" fillId="28" borderId="76" xfId="0" applyNumberFormat="1" applyFont="1" applyFill="1" applyBorder="1" applyAlignment="1" applyProtection="1">
      <alignment horizontal="center"/>
      <protection locked="0"/>
    </xf>
    <xf numFmtId="0" fontId="0" fillId="0" borderId="77" xfId="0" applyFill="1" applyBorder="1" applyAlignment="1" applyProtection="1">
      <alignment horizontal="center"/>
    </xf>
    <xf numFmtId="0" fontId="0" fillId="0" borderId="0" xfId="0" applyBorder="1" applyAlignment="1">
      <alignment horizontal="left" wrapText="1"/>
    </xf>
    <xf numFmtId="43" fontId="35" fillId="0" borderId="0" xfId="0" applyNumberFormat="1" applyFont="1"/>
    <xf numFmtId="0" fontId="0" fillId="0" borderId="0" xfId="0" applyBorder="1" applyAlignment="1">
      <alignment horizontal="left"/>
    </xf>
    <xf numFmtId="43" fontId="1" fillId="0" borderId="45" xfId="117" applyFont="1" applyBorder="1" applyAlignment="1" applyProtection="1">
      <alignment horizontal="right"/>
    </xf>
    <xf numFmtId="43" fontId="125" fillId="0" borderId="0" xfId="99" applyFont="1" applyFill="1" applyBorder="1" applyProtection="1"/>
    <xf numFmtId="3" fontId="28" fillId="34" borderId="72" xfId="0" applyNumberFormat="1" applyFont="1" applyFill="1" applyBorder="1" applyAlignment="1" applyProtection="1">
      <protection locked="0"/>
    </xf>
    <xf numFmtId="3" fontId="28" fillId="34" borderId="78" xfId="0" applyNumberFormat="1" applyFont="1" applyFill="1" applyBorder="1" applyAlignment="1" applyProtection="1">
      <protection locked="0"/>
    </xf>
    <xf numFmtId="3" fontId="28" fillId="0" borderId="12" xfId="0" applyNumberFormat="1" applyFont="1" applyFill="1" applyBorder="1" applyAlignment="1" applyProtection="1"/>
    <xf numFmtId="3" fontId="28" fillId="0" borderId="79" xfId="0" applyNumberFormat="1" applyFont="1" applyFill="1" applyBorder="1" applyAlignment="1" applyProtection="1"/>
    <xf numFmtId="3" fontId="6" fillId="0" borderId="80" xfId="51" applyNumberFormat="1" applyFont="1" applyFill="1" applyBorder="1" applyAlignment="1" applyProtection="1"/>
    <xf numFmtId="3" fontId="6" fillId="0" borderId="81" xfId="51" applyNumberFormat="1" applyFont="1" applyFill="1" applyBorder="1" applyAlignment="1" applyProtection="1"/>
    <xf numFmtId="166" fontId="14" fillId="28" borderId="82" xfId="0" applyNumberFormat="1" applyFont="1" applyFill="1" applyBorder="1" applyAlignment="1" applyProtection="1">
      <alignment horizontal="center"/>
      <protection locked="0"/>
    </xf>
    <xf numFmtId="166" fontId="14" fillId="28" borderId="83" xfId="0" applyNumberFormat="1" applyFont="1" applyFill="1" applyBorder="1" applyAlignment="1" applyProtection="1">
      <alignment horizontal="center"/>
      <protection locked="0"/>
    </xf>
    <xf numFmtId="0" fontId="0" fillId="34" borderId="12" xfId="0" applyFill="1" applyBorder="1" applyProtection="1"/>
    <xf numFmtId="0" fontId="0" fillId="33" borderId="12" xfId="0" applyFill="1" applyBorder="1" applyProtection="1"/>
    <xf numFmtId="3" fontId="1" fillId="34" borderId="84" xfId="51" applyNumberFormat="1" applyFont="1" applyFill="1" applyBorder="1" applyAlignment="1" applyProtection="1">
      <protection locked="0"/>
    </xf>
    <xf numFmtId="3" fontId="1" fillId="34" borderId="84" xfId="51" applyNumberFormat="1" applyFont="1" applyFill="1" applyBorder="1" applyProtection="1">
      <protection locked="0"/>
    </xf>
    <xf numFmtId="49" fontId="25" fillId="0" borderId="85" xfId="0" applyNumberFormat="1" applyFont="1" applyFill="1" applyBorder="1" applyAlignment="1" applyProtection="1">
      <alignment vertical="center" wrapText="1"/>
    </xf>
    <xf numFmtId="0" fontId="91" fillId="0" borderId="86" xfId="0" applyNumberFormat="1" applyFont="1" applyFill="1" applyBorder="1" applyAlignment="1" applyProtection="1">
      <alignment horizontal="center" vertical="center" wrapText="1"/>
    </xf>
    <xf numFmtId="0" fontId="91" fillId="0" borderId="87" xfId="0" applyNumberFormat="1" applyFont="1" applyFill="1" applyBorder="1" applyAlignment="1" applyProtection="1">
      <alignment horizontal="center" vertical="center" wrapText="1"/>
    </xf>
    <xf numFmtId="49" fontId="26" fillId="0" borderId="88" xfId="0" applyNumberFormat="1" applyFont="1" applyFill="1" applyBorder="1" applyAlignment="1" applyProtection="1">
      <alignment wrapText="1"/>
      <protection locked="0"/>
    </xf>
    <xf numFmtId="3" fontId="1" fillId="34" borderId="89" xfId="51" applyNumberFormat="1" applyFont="1" applyFill="1" applyBorder="1" applyProtection="1">
      <protection locked="0"/>
    </xf>
    <xf numFmtId="49" fontId="26" fillId="0" borderId="88" xfId="0" applyNumberFormat="1" applyFont="1" applyFill="1" applyBorder="1" applyAlignment="1" applyProtection="1">
      <protection locked="0"/>
    </xf>
    <xf numFmtId="0" fontId="26" fillId="0" borderId="88" xfId="0" applyFont="1" applyFill="1" applyBorder="1" applyAlignment="1" applyProtection="1">
      <alignment wrapText="1"/>
      <protection locked="0"/>
    </xf>
    <xf numFmtId="0" fontId="0" fillId="0" borderId="90" xfId="0" applyBorder="1" applyAlignment="1" applyProtection="1"/>
    <xf numFmtId="3" fontId="0" fillId="0" borderId="91" xfId="0" applyNumberFormat="1" applyBorder="1" applyProtection="1"/>
    <xf numFmtId="49" fontId="0" fillId="0" borderId="12" xfId="0" applyNumberFormat="1" applyBorder="1" applyAlignment="1" applyProtection="1">
      <alignment horizontal="center"/>
      <protection locked="0"/>
    </xf>
    <xf numFmtId="49" fontId="0" fillId="33" borderId="12" xfId="0" applyNumberFormat="1" applyFill="1" applyBorder="1" applyProtection="1">
      <protection locked="0"/>
    </xf>
    <xf numFmtId="0" fontId="0" fillId="33" borderId="12" xfId="0" applyNumberFormat="1" applyFill="1" applyBorder="1" applyProtection="1">
      <protection locked="0"/>
    </xf>
    <xf numFmtId="0" fontId="0" fillId="0" borderId="12" xfId="0" applyNumberFormat="1" applyFill="1" applyBorder="1" applyProtection="1"/>
    <xf numFmtId="0" fontId="0" fillId="33" borderId="12" xfId="0" applyNumberFormat="1" applyFill="1" applyBorder="1" applyAlignment="1" applyProtection="1">
      <alignment horizontal="center"/>
      <protection locked="0"/>
    </xf>
    <xf numFmtId="49" fontId="0" fillId="33" borderId="71" xfId="0" applyNumberFormat="1" applyFill="1" applyBorder="1" applyAlignment="1" applyProtection="1">
      <alignment horizontal="left"/>
      <protection locked="0"/>
    </xf>
    <xf numFmtId="0" fontId="0" fillId="33" borderId="71" xfId="0" applyNumberFormat="1" applyFill="1" applyBorder="1" applyProtection="1">
      <protection locked="0"/>
    </xf>
    <xf numFmtId="0" fontId="0" fillId="33" borderId="71" xfId="0" applyNumberFormat="1" applyFill="1" applyBorder="1" applyAlignment="1" applyProtection="1">
      <alignment horizontal="center"/>
      <protection locked="0"/>
    </xf>
    <xf numFmtId="43" fontId="156" fillId="34" borderId="92" xfId="120" applyFill="1" applyBorder="1" applyAlignment="1" applyProtection="1">
      <alignment vertical="center"/>
    </xf>
    <xf numFmtId="0" fontId="0" fillId="31" borderId="93" xfId="0" applyFill="1" applyBorder="1"/>
    <xf numFmtId="0" fontId="0" fillId="0" borderId="22" xfId="0" applyBorder="1" applyProtection="1"/>
    <xf numFmtId="43" fontId="39" fillId="33" borderId="94" xfId="120" applyFont="1" applyFill="1" applyBorder="1" applyAlignment="1" applyProtection="1">
      <alignment horizontal="center" vertical="center"/>
    </xf>
    <xf numFmtId="43" fontId="39" fillId="0" borderId="95" xfId="120" applyFont="1" applyFill="1" applyBorder="1" applyAlignment="1" applyProtection="1">
      <alignment vertical="center"/>
    </xf>
    <xf numFmtId="0" fontId="0" fillId="0" borderId="96" xfId="0" applyNumberFormat="1" applyFill="1" applyBorder="1"/>
    <xf numFmtId="15" fontId="27" fillId="0" borderId="97" xfId="0" applyNumberFormat="1" applyFont="1" applyFill="1" applyBorder="1" applyAlignment="1" applyProtection="1">
      <alignment horizontal="center" vertical="center" wrapText="1"/>
    </xf>
    <xf numFmtId="0" fontId="0" fillId="0" borderId="12" xfId="0" quotePrefix="1" applyNumberFormat="1" applyBorder="1" applyAlignment="1">
      <alignment horizontal="center"/>
    </xf>
    <xf numFmtId="3" fontId="67" fillId="0" borderId="12" xfId="0" applyNumberFormat="1" applyFont="1" applyFill="1" applyBorder="1" applyAlignment="1" applyProtection="1">
      <alignment vertical="center"/>
    </xf>
    <xf numFmtId="3" fontId="67" fillId="0" borderId="98" xfId="0" applyNumberFormat="1" applyFont="1" applyFill="1" applyBorder="1" applyAlignment="1" applyProtection="1">
      <alignment vertical="center"/>
    </xf>
    <xf numFmtId="169" fontId="0" fillId="0" borderId="12" xfId="0" applyNumberFormat="1" applyFill="1" applyBorder="1" applyAlignment="1" applyProtection="1">
      <alignment horizontal="center"/>
    </xf>
    <xf numFmtId="169" fontId="15" fillId="36" borderId="99" xfId="0" applyNumberFormat="1" applyFont="1" applyFill="1" applyBorder="1" applyAlignment="1" applyProtection="1">
      <alignment horizontal="center"/>
    </xf>
    <xf numFmtId="169" fontId="21" fillId="36" borderId="99" xfId="0" applyNumberFormat="1" applyFont="1" applyFill="1" applyBorder="1" applyAlignment="1" applyProtection="1">
      <alignment horizontal="center"/>
    </xf>
    <xf numFmtId="49" fontId="84" fillId="0" borderId="12" xfId="0" applyNumberFormat="1" applyFont="1" applyBorder="1" applyAlignment="1" applyProtection="1">
      <alignment horizontal="center"/>
      <protection locked="0"/>
    </xf>
    <xf numFmtId="43" fontId="69" fillId="0" borderId="12" xfId="99" applyFont="1" applyBorder="1" applyAlignment="1" applyProtection="1">
      <alignment horizontal="center"/>
    </xf>
    <xf numFmtId="0" fontId="69" fillId="0" borderId="12" xfId="0" applyFont="1" applyBorder="1" applyAlignment="1" applyProtection="1">
      <alignment horizontal="center"/>
    </xf>
    <xf numFmtId="0" fontId="77" fillId="0" borderId="100" xfId="0" applyFont="1" applyFill="1" applyBorder="1" applyAlignment="1" applyProtection="1">
      <alignment horizontal="center" vertical="center" wrapText="1"/>
    </xf>
    <xf numFmtId="0" fontId="77" fillId="0" borderId="101" xfId="0" applyFont="1" applyFill="1" applyBorder="1" applyAlignment="1" applyProtection="1">
      <alignment horizontal="center"/>
    </xf>
    <xf numFmtId="0" fontId="77" fillId="0" borderId="102" xfId="0" applyFont="1" applyFill="1" applyBorder="1" applyAlignment="1" applyProtection="1">
      <alignment horizontal="center"/>
    </xf>
    <xf numFmtId="0" fontId="77" fillId="0" borderId="103" xfId="0" applyNumberFormat="1" applyFont="1" applyFill="1" applyBorder="1" applyAlignment="1" applyProtection="1">
      <alignment horizontal="center"/>
    </xf>
    <xf numFmtId="0" fontId="77" fillId="0" borderId="104" xfId="0" applyNumberFormat="1" applyFont="1" applyFill="1" applyBorder="1" applyAlignment="1" applyProtection="1">
      <alignment horizontal="center"/>
    </xf>
    <xf numFmtId="0" fontId="77" fillId="0" borderId="104" xfId="0" applyNumberFormat="1" applyFont="1" applyFill="1" applyBorder="1" applyAlignment="1" applyProtection="1">
      <alignment horizontal="center" vertical="center"/>
    </xf>
    <xf numFmtId="0" fontId="77" fillId="0" borderId="105" xfId="0" applyNumberFormat="1" applyFont="1" applyFill="1" applyBorder="1" applyAlignment="1" applyProtection="1">
      <alignment horizontal="center" vertical="center"/>
    </xf>
    <xf numFmtId="0" fontId="81" fillId="0" borderId="106" xfId="0" applyNumberFormat="1" applyFont="1" applyFill="1" applyBorder="1" applyAlignment="1" applyProtection="1">
      <alignment horizontal="center" vertical="center"/>
    </xf>
    <xf numFmtId="0" fontId="81" fillId="0" borderId="107" xfId="0" applyNumberFormat="1" applyFont="1" applyFill="1" applyBorder="1" applyAlignment="1" applyProtection="1">
      <alignment horizontal="center" vertical="center"/>
    </xf>
    <xf numFmtId="0" fontId="81" fillId="0" borderId="108" xfId="0" applyNumberFormat="1" applyFont="1" applyFill="1" applyBorder="1" applyAlignment="1" applyProtection="1">
      <alignment horizontal="center" vertical="center"/>
    </xf>
    <xf numFmtId="0" fontId="77" fillId="0" borderId="109" xfId="0" applyFont="1" applyFill="1" applyBorder="1" applyAlignment="1" applyProtection="1">
      <alignment horizontal="center" vertical="center"/>
    </xf>
    <xf numFmtId="0" fontId="77" fillId="0" borderId="110" xfId="0" applyFont="1" applyFill="1" applyBorder="1" applyAlignment="1" applyProtection="1">
      <alignment horizontal="center" vertical="center"/>
    </xf>
    <xf numFmtId="0" fontId="77" fillId="0" borderId="111" xfId="0" applyFont="1" applyFill="1" applyBorder="1" applyAlignment="1" applyProtection="1">
      <alignment horizontal="center" vertical="center"/>
    </xf>
    <xf numFmtId="0" fontId="77" fillId="0" borderId="112" xfId="0" applyFont="1" applyFill="1" applyBorder="1" applyAlignment="1" applyProtection="1">
      <alignment horizontal="center" vertical="center"/>
    </xf>
    <xf numFmtId="0" fontId="2" fillId="0" borderId="113" xfId="0" applyFont="1" applyFill="1" applyBorder="1" applyAlignment="1" applyProtection="1">
      <alignment horizontal="center"/>
    </xf>
    <xf numFmtId="166" fontId="14" fillId="28" borderId="110" xfId="0" applyNumberFormat="1" applyFont="1" applyFill="1" applyBorder="1" applyAlignment="1" applyProtection="1">
      <alignment horizontal="center"/>
      <protection locked="0"/>
    </xf>
    <xf numFmtId="166" fontId="14" fillId="28" borderId="114" xfId="0" applyNumberFormat="1" applyFont="1" applyFill="1" applyBorder="1" applyAlignment="1" applyProtection="1">
      <alignment horizontal="center"/>
      <protection locked="0"/>
    </xf>
    <xf numFmtId="169" fontId="0" fillId="29" borderId="12" xfId="0" applyNumberFormat="1" applyFill="1" applyBorder="1" applyAlignment="1" applyProtection="1">
      <alignment horizontal="center"/>
    </xf>
    <xf numFmtId="169" fontId="0" fillId="0" borderId="12" xfId="0" applyNumberFormat="1" applyBorder="1" applyAlignment="1" applyProtection="1">
      <alignment horizontal="center"/>
    </xf>
    <xf numFmtId="169" fontId="0" fillId="29" borderId="71" xfId="0" applyNumberFormat="1" applyFill="1" applyBorder="1" applyAlignment="1" applyProtection="1">
      <alignment horizontal="center"/>
    </xf>
    <xf numFmtId="169" fontId="0" fillId="0" borderId="71" xfId="0" applyNumberFormat="1" applyBorder="1" applyAlignment="1" applyProtection="1">
      <alignment horizontal="center"/>
    </xf>
    <xf numFmtId="0" fontId="67" fillId="37" borderId="12" xfId="0" applyFont="1" applyFill="1" applyBorder="1" applyAlignment="1" applyProtection="1">
      <alignment horizontal="center"/>
    </xf>
    <xf numFmtId="0" fontId="67" fillId="38" borderId="12" xfId="0" applyFont="1" applyFill="1" applyBorder="1" applyAlignment="1" applyProtection="1">
      <alignment horizontal="center"/>
    </xf>
    <xf numFmtId="3" fontId="67" fillId="39" borderId="12" xfId="0" applyNumberFormat="1" applyFont="1" applyFill="1" applyBorder="1" applyAlignment="1" applyProtection="1">
      <alignment vertical="center"/>
      <protection locked="0"/>
    </xf>
    <xf numFmtId="3" fontId="2" fillId="39" borderId="12" xfId="0" applyNumberFormat="1" applyFont="1" applyFill="1" applyBorder="1" applyAlignment="1" applyProtection="1">
      <alignment vertical="center"/>
      <protection locked="0"/>
    </xf>
    <xf numFmtId="3" fontId="67" fillId="39" borderId="33" xfId="0" applyNumberFormat="1" applyFont="1" applyFill="1" applyBorder="1" applyAlignment="1" applyProtection="1">
      <alignment vertical="center"/>
      <protection locked="0"/>
    </xf>
    <xf numFmtId="3" fontId="67" fillId="32" borderId="33" xfId="0" applyNumberFormat="1" applyFont="1" applyFill="1" applyBorder="1" applyAlignment="1" applyProtection="1">
      <alignment horizontal="right" vertical="center"/>
      <protection locked="0"/>
    </xf>
    <xf numFmtId="0" fontId="67" fillId="37" borderId="98" xfId="0" applyFont="1" applyFill="1" applyBorder="1" applyAlignment="1" applyProtection="1">
      <alignment horizontal="center"/>
    </xf>
    <xf numFmtId="3" fontId="67" fillId="32" borderId="98" xfId="0" applyNumberFormat="1" applyFont="1" applyFill="1" applyBorder="1" applyAlignment="1" applyProtection="1">
      <alignment horizontal="right" vertical="center"/>
      <protection locked="0"/>
    </xf>
    <xf numFmtId="3" fontId="67" fillId="32" borderId="115" xfId="0" applyNumberFormat="1" applyFont="1" applyFill="1" applyBorder="1" applyAlignment="1" applyProtection="1">
      <alignment horizontal="right" vertical="center"/>
      <protection locked="0"/>
    </xf>
    <xf numFmtId="0" fontId="67" fillId="37" borderId="12" xfId="0" applyFont="1" applyFill="1" applyBorder="1" applyProtection="1"/>
    <xf numFmtId="3" fontId="67" fillId="37" borderId="12" xfId="0" applyNumberFormat="1" applyFont="1" applyFill="1" applyBorder="1" applyAlignment="1" applyProtection="1">
      <alignment vertical="center"/>
    </xf>
    <xf numFmtId="0" fontId="0" fillId="0" borderId="239" xfId="0" applyBorder="1"/>
    <xf numFmtId="0" fontId="0" fillId="0" borderId="71" xfId="0" applyNumberFormat="1" applyFill="1" applyBorder="1" applyProtection="1"/>
    <xf numFmtId="3" fontId="0" fillId="0" borderId="71" xfId="0" applyNumberFormat="1" applyFill="1" applyBorder="1" applyProtection="1"/>
    <xf numFmtId="169" fontId="0" fillId="0" borderId="71" xfId="0" applyNumberFormat="1" applyFill="1" applyBorder="1" applyAlignment="1" applyProtection="1">
      <alignment horizontal="center"/>
    </xf>
    <xf numFmtId="0" fontId="0" fillId="0" borderId="63" xfId="0" applyBorder="1" applyAlignment="1" applyProtection="1">
      <alignment horizontal="center" wrapText="1"/>
    </xf>
    <xf numFmtId="3" fontId="1" fillId="0" borderId="71" xfId="51" applyNumberFormat="1" applyFont="1" applyFill="1" applyBorder="1" applyAlignment="1" applyProtection="1">
      <alignment horizontal="right"/>
    </xf>
    <xf numFmtId="3" fontId="0" fillId="0" borderId="71" xfId="0" applyNumberFormat="1" applyBorder="1" applyAlignment="1" applyProtection="1">
      <alignment horizontal="right" wrapText="1"/>
    </xf>
    <xf numFmtId="0" fontId="0" fillId="46" borderId="28" xfId="0" applyNumberFormat="1" applyFill="1" applyBorder="1" applyAlignment="1" applyProtection="1">
      <alignment horizontal="center"/>
      <protection locked="0"/>
    </xf>
    <xf numFmtId="3" fontId="0" fillId="33" borderId="61" xfId="0" applyNumberFormat="1" applyFill="1" applyBorder="1" applyAlignment="1" applyProtection="1">
      <alignment horizontal="right" wrapText="1"/>
      <protection locked="0"/>
    </xf>
    <xf numFmtId="3" fontId="0" fillId="0" borderId="61" xfId="0" applyNumberFormat="1" applyBorder="1" applyAlignment="1" applyProtection="1">
      <alignment horizontal="right" wrapText="1"/>
    </xf>
    <xf numFmtId="3" fontId="0" fillId="0" borderId="64" xfId="0" applyNumberFormat="1" applyBorder="1" applyAlignment="1" applyProtection="1">
      <alignment horizontal="right" wrapText="1"/>
    </xf>
    <xf numFmtId="169" fontId="0" fillId="0" borderId="61" xfId="0" applyNumberFormat="1" applyFill="1" applyBorder="1" applyProtection="1"/>
    <xf numFmtId="169" fontId="0" fillId="0" borderId="64" xfId="0" applyNumberFormat="1" applyFill="1" applyBorder="1" applyProtection="1"/>
    <xf numFmtId="3" fontId="67" fillId="0" borderId="33" xfId="0" applyNumberFormat="1" applyFont="1" applyFill="1" applyBorder="1" applyAlignment="1" applyProtection="1">
      <alignment vertical="center"/>
    </xf>
    <xf numFmtId="3" fontId="67" fillId="37" borderId="33" xfId="0" applyNumberFormat="1" applyFont="1" applyFill="1" applyBorder="1" applyAlignment="1" applyProtection="1">
      <alignment vertical="center"/>
    </xf>
    <xf numFmtId="3" fontId="67" fillId="0" borderId="240" xfId="0" applyNumberFormat="1" applyFont="1" applyFill="1" applyBorder="1" applyAlignment="1" applyProtection="1">
      <alignment vertical="center"/>
    </xf>
    <xf numFmtId="0" fontId="34" fillId="31" borderId="0" xfId="0" applyFont="1" applyFill="1" applyBorder="1" applyAlignment="1" applyProtection="1">
      <alignment horizontal="left" vertical="top" wrapText="1"/>
      <protection locked="0"/>
    </xf>
    <xf numFmtId="0" fontId="0" fillId="0" borderId="0" xfId="0" applyAlignment="1" applyProtection="1">
      <alignment wrapText="1"/>
    </xf>
    <xf numFmtId="2" fontId="67" fillId="31" borderId="12" xfId="112" applyNumberFormat="1" applyFont="1" applyFill="1" applyBorder="1" applyAlignment="1" applyProtection="1">
      <alignment vertical="center"/>
      <protection locked="0"/>
    </xf>
    <xf numFmtId="0" fontId="6" fillId="0" borderId="0" xfId="0" applyFont="1" applyFill="1" applyBorder="1" applyAlignment="1" applyProtection="1">
      <alignment horizontal="center" vertical="center"/>
    </xf>
    <xf numFmtId="176" fontId="107" fillId="0" borderId="0" xfId="51" applyNumberFormat="1" applyFont="1" applyFill="1" applyBorder="1" applyAlignment="1" applyProtection="1">
      <alignment horizontal="center" vertical="center"/>
    </xf>
    <xf numFmtId="177" fontId="6" fillId="0" borderId="0" xfId="51" applyNumberFormat="1" applyFont="1" applyFill="1" applyBorder="1" applyAlignment="1" applyProtection="1">
      <protection locked="0"/>
    </xf>
    <xf numFmtId="178" fontId="67" fillId="31" borderId="12" xfId="0" applyNumberFormat="1" applyFont="1" applyFill="1" applyBorder="1" applyAlignment="1" applyProtection="1">
      <alignment vertical="center"/>
      <protection locked="0"/>
    </xf>
    <xf numFmtId="3" fontId="1" fillId="34" borderId="89" xfId="51" applyNumberFormat="1" applyFont="1" applyFill="1" applyBorder="1" applyAlignment="1" applyProtection="1">
      <alignment horizontal="right"/>
      <protection locked="0"/>
    </xf>
    <xf numFmtId="15" fontId="1" fillId="48" borderId="12" xfId="117" applyNumberFormat="1" applyFont="1" applyFill="1" applyBorder="1" applyAlignment="1" applyProtection="1">
      <alignment horizontal="center"/>
      <protection locked="0"/>
    </xf>
    <xf numFmtId="179" fontId="0" fillId="0" borderId="0" xfId="0" applyNumberFormat="1" applyFill="1" applyBorder="1" applyProtection="1">
      <protection locked="0"/>
    </xf>
    <xf numFmtId="3" fontId="21" fillId="34" borderId="89" xfId="51" applyNumberFormat="1" applyFont="1" applyFill="1" applyBorder="1" applyProtection="1">
      <protection locked="0"/>
    </xf>
    <xf numFmtId="43" fontId="17" fillId="40" borderId="0" xfId="81" applyFont="1" applyFill="1" applyBorder="1" applyAlignment="1">
      <alignment horizontal="center" vertical="center"/>
    </xf>
    <xf numFmtId="43" fontId="33" fillId="0" borderId="0" xfId="0" applyNumberFormat="1" applyFont="1" applyAlignment="1">
      <alignment horizontal="center"/>
    </xf>
    <xf numFmtId="0" fontId="0" fillId="0" borderId="0" xfId="0" applyAlignment="1"/>
    <xf numFmtId="0" fontId="130" fillId="0" borderId="0" xfId="0" applyFont="1" applyAlignment="1">
      <alignment horizontal="center"/>
    </xf>
    <xf numFmtId="0" fontId="131" fillId="0" borderId="0" xfId="0" applyFont="1" applyAlignment="1">
      <alignment horizontal="center"/>
    </xf>
    <xf numFmtId="0" fontId="63" fillId="0" borderId="31" xfId="0" applyFont="1" applyBorder="1" applyAlignment="1">
      <alignment horizontal="left" vertical="center" wrapText="1"/>
    </xf>
    <xf numFmtId="0" fontId="63" fillId="0" borderId="48" xfId="0" applyFont="1" applyBorder="1" applyAlignment="1">
      <alignment horizontal="left" vertical="center" wrapText="1"/>
    </xf>
    <xf numFmtId="0" fontId="63" fillId="0" borderId="49" xfId="0" applyFont="1" applyBorder="1" applyAlignment="1">
      <alignment horizontal="left" vertical="center" wrapText="1"/>
    </xf>
    <xf numFmtId="0" fontId="0" fillId="0" borderId="117" xfId="0" applyBorder="1" applyAlignment="1">
      <alignment horizontal="center" wrapText="1"/>
    </xf>
    <xf numFmtId="43" fontId="17" fillId="41" borderId="0" xfId="92" applyFont="1" applyFill="1" applyAlignment="1" applyProtection="1">
      <alignment horizontal="center" vertical="center"/>
    </xf>
    <xf numFmtId="0" fontId="86" fillId="0" borderId="0" xfId="0" applyFont="1" applyAlignment="1">
      <alignment horizontal="center"/>
    </xf>
    <xf numFmtId="0" fontId="87" fillId="34" borderId="31" xfId="0" applyFont="1" applyFill="1" applyBorder="1" applyAlignment="1">
      <alignment horizontal="center"/>
    </xf>
    <xf numFmtId="0" fontId="87" fillId="34" borderId="48" xfId="0" applyFont="1" applyFill="1" applyBorder="1" applyAlignment="1">
      <alignment horizontal="center"/>
    </xf>
    <xf numFmtId="0" fontId="87" fillId="34" borderId="49" xfId="0" applyFont="1" applyFill="1" applyBorder="1" applyAlignment="1">
      <alignment horizontal="center"/>
    </xf>
    <xf numFmtId="9" fontId="89" fillId="0" borderId="31" xfId="112" applyFont="1" applyBorder="1" applyAlignment="1">
      <alignment horizontal="justify" vertical="center" wrapText="1"/>
    </xf>
    <xf numFmtId="9" fontId="89" fillId="0" borderId="48" xfId="112" applyFont="1" applyBorder="1" applyAlignment="1">
      <alignment horizontal="justify" vertical="center" wrapText="1"/>
    </xf>
    <xf numFmtId="9" fontId="89" fillId="0" borderId="49" xfId="112" applyFont="1" applyBorder="1" applyAlignment="1">
      <alignment horizontal="justify" vertical="center" wrapText="1"/>
    </xf>
    <xf numFmtId="43" fontId="88" fillId="0" borderId="31" xfId="0" applyNumberFormat="1" applyFont="1" applyBorder="1" applyAlignment="1">
      <alignment horizontal="left" vertical="center" wrapText="1"/>
    </xf>
    <xf numFmtId="0" fontId="88" fillId="0" borderId="48" xfId="0" applyFont="1" applyBorder="1" applyAlignment="1">
      <alignment horizontal="left" vertical="center" wrapText="1"/>
    </xf>
    <xf numFmtId="0" fontId="88" fillId="0" borderId="49" xfId="0" applyFont="1" applyBorder="1" applyAlignment="1">
      <alignment horizontal="left" vertical="center" wrapText="1"/>
    </xf>
    <xf numFmtId="0" fontId="88" fillId="0" borderId="48" xfId="0" applyFont="1" applyBorder="1" applyAlignment="1">
      <alignment horizontal="left" vertical="center"/>
    </xf>
    <xf numFmtId="0" fontId="88" fillId="0" borderId="49" xfId="0" applyFont="1" applyBorder="1" applyAlignment="1">
      <alignment horizontal="left" vertical="center"/>
    </xf>
    <xf numFmtId="0" fontId="89" fillId="0" borderId="31" xfId="0" applyFont="1" applyBorder="1" applyAlignment="1">
      <alignment horizontal="justify" vertical="center" wrapText="1"/>
    </xf>
    <xf numFmtId="0" fontId="89" fillId="0" borderId="48" xfId="0" applyFont="1" applyBorder="1" applyAlignment="1">
      <alignment horizontal="justify" vertical="center" wrapText="1"/>
    </xf>
    <xf numFmtId="0" fontId="89" fillId="0" borderId="49" xfId="0" applyFont="1" applyBorder="1" applyAlignment="1">
      <alignment horizontal="justify" vertical="center" wrapText="1"/>
    </xf>
    <xf numFmtId="43" fontId="88" fillId="0" borderId="31" xfId="0" applyNumberFormat="1" applyFont="1" applyBorder="1" applyAlignment="1">
      <alignment horizontal="justify" vertical="center" wrapText="1"/>
    </xf>
    <xf numFmtId="0" fontId="88" fillId="0" borderId="48" xfId="0" applyFont="1" applyBorder="1" applyAlignment="1">
      <alignment horizontal="justify" vertical="center"/>
    </xf>
    <xf numFmtId="0" fontId="88" fillId="0" borderId="49" xfId="0" applyFont="1" applyBorder="1" applyAlignment="1">
      <alignment horizontal="justify" vertical="center"/>
    </xf>
    <xf numFmtId="0" fontId="98" fillId="0" borderId="31" xfId="0" applyFont="1" applyFill="1" applyBorder="1" applyAlignment="1" applyProtection="1">
      <alignment vertical="center" wrapText="1"/>
      <protection locked="0"/>
    </xf>
    <xf numFmtId="0" fontId="98" fillId="0" borderId="48" xfId="0" applyFont="1" applyFill="1" applyBorder="1" applyAlignment="1" applyProtection="1">
      <alignment vertical="center" wrapText="1"/>
      <protection locked="0"/>
    </xf>
    <xf numFmtId="0" fontId="98" fillId="0" borderId="49" xfId="0" applyFont="1" applyFill="1" applyBorder="1" applyAlignment="1" applyProtection="1">
      <alignment vertical="center" wrapText="1"/>
      <protection locked="0"/>
    </xf>
    <xf numFmtId="0" fontId="63" fillId="0" borderId="31" xfId="0" applyFont="1" applyBorder="1" applyAlignment="1" applyProtection="1">
      <alignment horizontal="justify" vertical="center" wrapText="1"/>
      <protection locked="0"/>
    </xf>
    <xf numFmtId="0" fontId="89" fillId="0" borderId="48" xfId="0" applyFont="1" applyBorder="1" applyAlignment="1" applyProtection="1">
      <alignment horizontal="justify" vertical="center" wrapText="1"/>
      <protection locked="0"/>
    </xf>
    <xf numFmtId="0" fontId="89" fillId="0" borderId="49" xfId="0" applyFont="1" applyBorder="1" applyAlignment="1" applyProtection="1">
      <alignment horizontal="justify" vertical="center" wrapText="1"/>
      <protection locked="0"/>
    </xf>
    <xf numFmtId="0" fontId="63" fillId="0" borderId="31" xfId="0" applyFont="1" applyBorder="1" applyAlignment="1" applyProtection="1">
      <alignment horizontal="left" vertical="center" wrapText="1"/>
      <protection locked="0"/>
    </xf>
    <xf numFmtId="0" fontId="63" fillId="0" borderId="48" xfId="0" applyFont="1" applyBorder="1" applyAlignment="1" applyProtection="1">
      <alignment horizontal="left" vertical="center" wrapText="1"/>
      <protection locked="0"/>
    </xf>
    <xf numFmtId="0" fontId="63" fillId="0" borderId="49" xfId="0" applyFont="1" applyBorder="1" applyAlignment="1" applyProtection="1">
      <alignment horizontal="left" vertical="center" wrapText="1"/>
      <protection locked="0"/>
    </xf>
    <xf numFmtId="0" fontId="87" fillId="33" borderId="31" xfId="0" applyFont="1" applyFill="1" applyBorder="1" applyAlignment="1">
      <alignment horizontal="center"/>
    </xf>
    <xf numFmtId="0" fontId="87" fillId="33" borderId="48" xfId="0" applyFont="1" applyFill="1" applyBorder="1" applyAlignment="1">
      <alignment horizontal="center"/>
    </xf>
    <xf numFmtId="0" fontId="87" fillId="33" borderId="49" xfId="0" applyFont="1" applyFill="1" applyBorder="1" applyAlignment="1">
      <alignment horizontal="center"/>
    </xf>
    <xf numFmtId="0" fontId="0" fillId="0" borderId="0" xfId="0" applyBorder="1" applyAlignment="1">
      <alignment horizontal="center"/>
    </xf>
    <xf numFmtId="0" fontId="0" fillId="0" borderId="0" xfId="0" applyBorder="1" applyAlignment="1">
      <alignment horizontal="center" wrapText="1"/>
    </xf>
    <xf numFmtId="0" fontId="88" fillId="0" borderId="48" xfId="0" applyFont="1" applyBorder="1" applyAlignment="1">
      <alignment horizontal="justify" vertical="center" wrapText="1"/>
    </xf>
    <xf numFmtId="0" fontId="88" fillId="0" borderId="49" xfId="0" applyFont="1" applyBorder="1" applyAlignment="1">
      <alignment horizontal="justify" vertical="center" wrapText="1"/>
    </xf>
    <xf numFmtId="0" fontId="0" fillId="0" borderId="117" xfId="0" applyBorder="1" applyAlignment="1">
      <alignment horizontal="center"/>
    </xf>
    <xf numFmtId="0" fontId="0" fillId="0" borderId="31"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94" fillId="31" borderId="31" xfId="0" applyFont="1" applyFill="1" applyBorder="1" applyAlignment="1">
      <alignment horizontal="center" vertical="center" wrapText="1"/>
    </xf>
    <xf numFmtId="0" fontId="94" fillId="31" borderId="48" xfId="0" applyFont="1" applyFill="1" applyBorder="1" applyAlignment="1">
      <alignment horizontal="center" vertical="center"/>
    </xf>
    <xf numFmtId="0" fontId="94" fillId="31" borderId="49" xfId="0" applyFont="1" applyFill="1" applyBorder="1" applyAlignment="1">
      <alignment horizontal="center" vertical="center"/>
    </xf>
    <xf numFmtId="0" fontId="93" fillId="31" borderId="31" xfId="0" applyFont="1" applyFill="1" applyBorder="1" applyAlignment="1">
      <alignment horizontal="center" vertical="center"/>
    </xf>
    <xf numFmtId="0" fontId="93" fillId="31" borderId="48" xfId="0" applyFont="1" applyFill="1" applyBorder="1" applyAlignment="1">
      <alignment horizontal="center" vertical="center"/>
    </xf>
    <xf numFmtId="0" fontId="93" fillId="31" borderId="49" xfId="0" applyFont="1" applyFill="1" applyBorder="1" applyAlignment="1">
      <alignment horizontal="center" vertical="center"/>
    </xf>
    <xf numFmtId="0" fontId="24" fillId="0" borderId="31" xfId="0" applyFont="1" applyBorder="1" applyAlignment="1">
      <alignment horizontal="center" vertical="center" wrapText="1"/>
    </xf>
    <xf numFmtId="0" fontId="24" fillId="0" borderId="48" xfId="0" applyFont="1" applyBorder="1" applyAlignment="1">
      <alignment horizontal="center" vertical="center" wrapText="1"/>
    </xf>
    <xf numFmtId="0" fontId="24" fillId="0" borderId="49" xfId="0" applyFont="1" applyBorder="1" applyAlignment="1">
      <alignment horizontal="center" vertical="center" wrapText="1"/>
    </xf>
    <xf numFmtId="0" fontId="93" fillId="31" borderId="31" xfId="0" applyFont="1" applyFill="1" applyBorder="1" applyAlignment="1">
      <alignment horizontal="center" wrapText="1"/>
    </xf>
    <xf numFmtId="0" fontId="93" fillId="31" borderId="48" xfId="0" applyFont="1" applyFill="1" applyBorder="1" applyAlignment="1">
      <alignment horizontal="center" wrapText="1"/>
    </xf>
    <xf numFmtId="0" fontId="93" fillId="31" borderId="49" xfId="0" applyFont="1" applyFill="1" applyBorder="1" applyAlignment="1">
      <alignment horizontal="center" wrapText="1"/>
    </xf>
    <xf numFmtId="0" fontId="93" fillId="31" borderId="31" xfId="0" applyFont="1" applyFill="1" applyBorder="1" applyAlignment="1">
      <alignment horizontal="center"/>
    </xf>
    <xf numFmtId="0" fontId="93" fillId="31" borderId="48" xfId="0" applyFont="1" applyFill="1" applyBorder="1" applyAlignment="1">
      <alignment horizontal="center"/>
    </xf>
    <xf numFmtId="0" fontId="93" fillId="31" borderId="49" xfId="0" applyFont="1" applyFill="1" applyBorder="1" applyAlignment="1">
      <alignment horizontal="center"/>
    </xf>
    <xf numFmtId="0" fontId="89" fillId="0" borderId="31" xfId="0" applyFont="1" applyFill="1" applyBorder="1" applyAlignment="1" applyProtection="1">
      <alignment vertical="center" wrapText="1"/>
      <protection locked="0"/>
    </xf>
    <xf numFmtId="0" fontId="89" fillId="0" borderId="48" xfId="0" applyFont="1" applyFill="1" applyBorder="1" applyAlignment="1" applyProtection="1">
      <alignment vertical="center" wrapText="1"/>
      <protection locked="0"/>
    </xf>
    <xf numFmtId="0" fontId="89" fillId="0" borderId="49" xfId="0" applyFont="1" applyFill="1" applyBorder="1" applyAlignment="1" applyProtection="1">
      <alignment vertical="center" wrapText="1"/>
      <protection locked="0"/>
    </xf>
    <xf numFmtId="0" fontId="63" fillId="0" borderId="31" xfId="0" applyNumberFormat="1" applyFont="1" applyBorder="1" applyAlignment="1" applyProtection="1">
      <alignment horizontal="left" vertical="center" wrapText="1"/>
      <protection locked="0"/>
    </xf>
    <xf numFmtId="0" fontId="63" fillId="0" borderId="48" xfId="0" applyNumberFormat="1" applyFont="1" applyBorder="1" applyAlignment="1" applyProtection="1">
      <alignment horizontal="left" vertical="center" wrapText="1"/>
      <protection locked="0"/>
    </xf>
    <xf numFmtId="0" fontId="63" fillId="0" borderId="49" xfId="0" applyNumberFormat="1" applyFont="1" applyBorder="1" applyAlignment="1" applyProtection="1">
      <alignment horizontal="left" vertical="center" wrapText="1"/>
      <protection locked="0"/>
    </xf>
    <xf numFmtId="0" fontId="63" fillId="0" borderId="31" xfId="0" applyFont="1" applyBorder="1" applyAlignment="1">
      <alignment horizontal="justify" vertical="center" wrapText="1"/>
    </xf>
    <xf numFmtId="0" fontId="63" fillId="0" borderId="48" xfId="0" applyFont="1" applyBorder="1" applyAlignment="1">
      <alignment horizontal="justify" vertical="center" wrapText="1"/>
    </xf>
    <xf numFmtId="0" fontId="63" fillId="0" borderId="49" xfId="0" applyFont="1" applyBorder="1" applyAlignment="1">
      <alignment horizontal="justify" vertical="center" wrapText="1"/>
    </xf>
    <xf numFmtId="0" fontId="88" fillId="0" borderId="31" xfId="0" applyFont="1" applyBorder="1" applyAlignment="1" applyProtection="1">
      <alignment vertical="center" wrapText="1"/>
      <protection locked="0"/>
    </xf>
    <xf numFmtId="0" fontId="88" fillId="0" borderId="48" xfId="0" applyFont="1" applyBorder="1" applyAlignment="1" applyProtection="1">
      <alignment vertical="center" wrapText="1"/>
      <protection locked="0"/>
    </xf>
    <xf numFmtId="0" fontId="88" fillId="0" borderId="49" xfId="0" applyFont="1" applyBorder="1" applyAlignment="1" applyProtection="1">
      <alignment vertical="center" wrapText="1"/>
      <protection locked="0"/>
    </xf>
    <xf numFmtId="0" fontId="63" fillId="0" borderId="116" xfId="0" applyFont="1" applyBorder="1" applyAlignment="1">
      <alignment horizontal="left" vertical="center" wrapText="1"/>
    </xf>
    <xf numFmtId="0" fontId="63" fillId="0" borderId="117" xfId="0" applyFont="1" applyBorder="1" applyAlignment="1">
      <alignment horizontal="left" vertical="center" wrapText="1"/>
    </xf>
    <xf numFmtId="0" fontId="63" fillId="0" borderId="118" xfId="0" applyFont="1" applyBorder="1" applyAlignment="1">
      <alignment horizontal="left" vertical="center" wrapText="1"/>
    </xf>
    <xf numFmtId="0" fontId="63" fillId="0" borderId="70" xfId="0" applyFont="1" applyBorder="1" applyAlignment="1">
      <alignment horizontal="left" vertical="center" wrapText="1"/>
    </xf>
    <xf numFmtId="0" fontId="63" fillId="0" borderId="110" xfId="0" applyFont="1" applyBorder="1" applyAlignment="1">
      <alignment horizontal="left" vertical="center" wrapText="1"/>
    </xf>
    <xf numFmtId="0" fontId="63" fillId="0" borderId="112" xfId="0" applyFont="1" applyBorder="1" applyAlignment="1">
      <alignment horizontal="left" vertical="center" wrapText="1"/>
    </xf>
    <xf numFmtId="0" fontId="63" fillId="0" borderId="116" xfId="0" applyFont="1" applyBorder="1" applyAlignment="1">
      <alignment horizontal="justify" wrapText="1"/>
    </xf>
    <xf numFmtId="0" fontId="63" fillId="0" borderId="117" xfId="0" applyFont="1" applyBorder="1" applyAlignment="1">
      <alignment horizontal="justify" wrapText="1"/>
    </xf>
    <xf numFmtId="0" fontId="63" fillId="0" borderId="118" xfId="0" applyFont="1" applyBorder="1" applyAlignment="1">
      <alignment horizontal="justify" wrapText="1"/>
    </xf>
    <xf numFmtId="0" fontId="89" fillId="0" borderId="70" xfId="0" applyFont="1" applyBorder="1" applyAlignment="1">
      <alignment horizontal="justify" vertical="center" wrapText="1"/>
    </xf>
    <xf numFmtId="0" fontId="89" fillId="0" borderId="110" xfId="0" applyFont="1" applyBorder="1" applyAlignment="1">
      <alignment horizontal="justify" vertical="center" wrapText="1"/>
    </xf>
    <xf numFmtId="0" fontId="89" fillId="0" borderId="112" xfId="0" applyFont="1" applyBorder="1" applyAlignment="1">
      <alignment horizontal="justify" vertical="center" wrapText="1"/>
    </xf>
    <xf numFmtId="0" fontId="123" fillId="0" borderId="70" xfId="0" applyFont="1" applyBorder="1" applyAlignment="1">
      <alignment horizontal="justify" vertical="center" wrapText="1"/>
    </xf>
    <xf numFmtId="0" fontId="123" fillId="0" borderId="110" xfId="0" applyFont="1" applyBorder="1" applyAlignment="1">
      <alignment horizontal="justify" vertical="center" wrapText="1"/>
    </xf>
    <xf numFmtId="0" fontId="123" fillId="0" borderId="112" xfId="0" applyFont="1" applyBorder="1" applyAlignment="1">
      <alignment horizontal="justify" vertical="center" wrapText="1"/>
    </xf>
    <xf numFmtId="0" fontId="123" fillId="0" borderId="31" xfId="0" applyFont="1" applyBorder="1" applyAlignment="1">
      <alignment horizontal="justify" vertical="center" wrapText="1"/>
    </xf>
    <xf numFmtId="0" fontId="123" fillId="0" borderId="48" xfId="0" applyFont="1" applyBorder="1" applyAlignment="1">
      <alignment horizontal="justify" vertical="center" wrapText="1"/>
    </xf>
    <xf numFmtId="0" fontId="123" fillId="0" borderId="49" xfId="0" applyFont="1" applyBorder="1" applyAlignment="1">
      <alignment horizontal="justify" vertical="center" wrapText="1"/>
    </xf>
    <xf numFmtId="0" fontId="123" fillId="0" borderId="31" xfId="0" applyFont="1" applyBorder="1" applyAlignment="1">
      <alignment horizontal="left" vertical="center" wrapText="1"/>
    </xf>
    <xf numFmtId="0" fontId="120" fillId="0" borderId="48" xfId="0" applyFont="1" applyBorder="1" applyAlignment="1">
      <alignment horizontal="left" vertical="center" wrapText="1"/>
    </xf>
    <xf numFmtId="0" fontId="120" fillId="0" borderId="49" xfId="0" applyFont="1" applyBorder="1" applyAlignment="1">
      <alignment horizontal="left" vertical="center" wrapText="1"/>
    </xf>
    <xf numFmtId="0" fontId="89" fillId="0" borderId="31" xfId="0" applyFont="1" applyBorder="1" applyAlignment="1" applyProtection="1">
      <alignment vertical="center" wrapText="1"/>
      <protection locked="0"/>
    </xf>
    <xf numFmtId="0" fontId="89" fillId="0" borderId="48" xfId="0" applyFont="1" applyBorder="1" applyAlignment="1" applyProtection="1">
      <alignment vertical="center" wrapText="1"/>
      <protection locked="0"/>
    </xf>
    <xf numFmtId="0" fontId="89" fillId="0" borderId="49" xfId="0" applyFont="1" applyBorder="1" applyAlignment="1" applyProtection="1">
      <alignment vertical="center" wrapText="1"/>
      <protection locked="0"/>
    </xf>
    <xf numFmtId="0" fontId="89" fillId="31" borderId="31" xfId="0" applyFont="1" applyFill="1" applyBorder="1" applyAlignment="1">
      <alignment vertical="center" wrapText="1"/>
    </xf>
    <xf numFmtId="0" fontId="89" fillId="31" borderId="48" xfId="0" applyFont="1" applyFill="1" applyBorder="1" applyAlignment="1">
      <alignment vertical="center" wrapText="1"/>
    </xf>
    <xf numFmtId="0" fontId="89" fillId="31" borderId="49" xfId="0" applyFont="1" applyFill="1" applyBorder="1" applyAlignment="1">
      <alignment vertical="center" wrapText="1"/>
    </xf>
    <xf numFmtId="0" fontId="89" fillId="0" borderId="48" xfId="0" applyFont="1" applyBorder="1" applyAlignment="1" applyProtection="1">
      <alignment horizontal="left" vertical="center" wrapText="1"/>
      <protection locked="0"/>
    </xf>
    <xf numFmtId="0" fontId="89" fillId="0" borderId="49" xfId="0" applyFont="1" applyBorder="1" applyAlignment="1" applyProtection="1">
      <alignment horizontal="left" vertical="center" wrapText="1"/>
      <protection locked="0"/>
    </xf>
    <xf numFmtId="43" fontId="88" fillId="0" borderId="116" xfId="0" applyNumberFormat="1" applyFont="1" applyBorder="1" applyAlignment="1">
      <alignment horizontal="left" vertical="center" wrapText="1"/>
    </xf>
    <xf numFmtId="0" fontId="88" fillId="0" borderId="117" xfId="0" applyFont="1" applyBorder="1" applyAlignment="1">
      <alignment horizontal="left" vertical="center" wrapText="1"/>
    </xf>
    <xf numFmtId="0" fontId="88" fillId="0" borderId="118" xfId="0" applyFont="1" applyBorder="1" applyAlignment="1">
      <alignment horizontal="left" vertical="center" wrapText="1"/>
    </xf>
    <xf numFmtId="0" fontId="88" fillId="0" borderId="70" xfId="0" applyFont="1" applyBorder="1" applyAlignment="1">
      <alignment horizontal="left" vertical="center" wrapText="1"/>
    </xf>
    <xf numFmtId="0" fontId="88" fillId="0" borderId="110" xfId="0" applyFont="1" applyBorder="1" applyAlignment="1">
      <alignment horizontal="left" vertical="center" wrapText="1"/>
    </xf>
    <xf numFmtId="0" fontId="88" fillId="0" borderId="112" xfId="0" applyFont="1" applyBorder="1" applyAlignment="1">
      <alignment horizontal="left" vertical="center" wrapText="1"/>
    </xf>
    <xf numFmtId="9" fontId="33" fillId="0" borderId="146" xfId="112" applyFont="1" applyFill="1" applyBorder="1" applyAlignment="1" applyProtection="1">
      <alignment horizontal="center" vertical="center"/>
    </xf>
    <xf numFmtId="9" fontId="33" fillId="0" borderId="147" xfId="112" applyFont="1" applyFill="1" applyBorder="1" applyAlignment="1" applyProtection="1">
      <alignment horizontal="center" vertical="center"/>
    </xf>
    <xf numFmtId="9" fontId="33" fillId="0" borderId="148" xfId="112" applyFont="1" applyFill="1" applyBorder="1" applyAlignment="1" applyProtection="1">
      <alignment horizontal="center" vertical="center"/>
    </xf>
    <xf numFmtId="0" fontId="2" fillId="31" borderId="129" xfId="0" applyNumberFormat="1" applyFont="1" applyFill="1" applyBorder="1" applyAlignment="1" applyProtection="1">
      <alignment horizontal="center" vertical="center" wrapText="1"/>
      <protection locked="0"/>
    </xf>
    <xf numFmtId="0" fontId="67" fillId="31" borderId="129" xfId="0" applyNumberFormat="1" applyFont="1" applyFill="1" applyBorder="1" applyAlignment="1" applyProtection="1">
      <alignment horizontal="center" vertical="center" wrapText="1"/>
      <protection locked="0"/>
    </xf>
    <xf numFmtId="49" fontId="2" fillId="31" borderId="49" xfId="0" applyNumberFormat="1" applyFont="1" applyFill="1" applyBorder="1" applyAlignment="1" applyProtection="1">
      <alignment horizontal="center" vertical="center" wrapText="1"/>
      <protection locked="0"/>
    </xf>
    <xf numFmtId="49" fontId="2" fillId="32" borderId="128" xfId="0" applyNumberFormat="1" applyFont="1" applyFill="1" applyBorder="1" applyAlignment="1" applyProtection="1">
      <alignment horizontal="center" vertical="center" wrapText="1"/>
      <protection locked="0"/>
    </xf>
    <xf numFmtId="49" fontId="2" fillId="32" borderId="123" xfId="0" applyNumberFormat="1" applyFont="1" applyFill="1" applyBorder="1" applyAlignment="1" applyProtection="1">
      <alignment horizontal="center" vertical="center" wrapText="1"/>
      <protection locked="0"/>
    </xf>
    <xf numFmtId="0" fontId="2" fillId="32" borderId="129" xfId="0" applyNumberFormat="1" applyFont="1" applyFill="1" applyBorder="1" applyAlignment="1" applyProtection="1">
      <alignment horizontal="center" vertical="center" wrapText="1"/>
      <protection locked="0"/>
    </xf>
    <xf numFmtId="0" fontId="67" fillId="32" borderId="129" xfId="0" applyNumberFormat="1" applyFont="1" applyFill="1" applyBorder="1" applyAlignment="1" applyProtection="1">
      <alignment horizontal="center" vertical="center" wrapText="1"/>
      <protection locked="0"/>
    </xf>
    <xf numFmtId="0" fontId="0" fillId="44" borderId="149" xfId="0" applyFill="1" applyBorder="1" applyAlignment="1" applyProtection="1">
      <alignment horizontal="center"/>
    </xf>
    <xf numFmtId="0" fontId="0" fillId="44" borderId="150" xfId="0" applyFill="1" applyBorder="1" applyAlignment="1" applyProtection="1">
      <alignment horizontal="center"/>
    </xf>
    <xf numFmtId="0" fontId="0" fillId="44" borderId="151" xfId="0" applyFill="1" applyBorder="1" applyAlignment="1" applyProtection="1">
      <alignment horizontal="center"/>
    </xf>
    <xf numFmtId="0" fontId="67" fillId="0" borderId="109" xfId="0" applyFont="1" applyFill="1" applyBorder="1" applyAlignment="1" applyProtection="1">
      <alignment horizontal="left" vertical="center" wrapText="1"/>
    </xf>
    <xf numFmtId="0" fontId="67" fillId="0" borderId="110" xfId="0" applyFont="1" applyFill="1" applyBorder="1" applyAlignment="1" applyProtection="1">
      <alignment horizontal="left" vertical="center" wrapText="1"/>
    </xf>
    <xf numFmtId="0" fontId="67" fillId="0" borderId="114" xfId="0" applyFont="1" applyFill="1" applyBorder="1" applyAlignment="1" applyProtection="1">
      <alignment horizontal="left" vertical="center" wrapText="1"/>
    </xf>
    <xf numFmtId="0" fontId="67" fillId="0" borderId="141" xfId="0" applyFont="1" applyFill="1" applyBorder="1" applyAlignment="1" applyProtection="1">
      <alignment horizontal="left" vertical="center" wrapText="1"/>
    </xf>
    <xf numFmtId="0" fontId="67" fillId="0" borderId="142" xfId="0" applyFont="1" applyFill="1" applyBorder="1" applyAlignment="1" applyProtection="1">
      <alignment horizontal="left" vertical="center" wrapText="1"/>
    </xf>
    <xf numFmtId="0" fontId="67" fillId="0" borderId="143" xfId="0" applyFont="1" applyFill="1" applyBorder="1" applyAlignment="1" applyProtection="1">
      <alignment horizontal="left" vertical="center" wrapText="1"/>
    </xf>
    <xf numFmtId="49" fontId="2" fillId="32" borderId="124" xfId="0" applyNumberFormat="1" applyFont="1" applyFill="1" applyBorder="1" applyAlignment="1" applyProtection="1">
      <alignment horizontal="left" vertical="center" wrapText="1"/>
      <protection locked="0"/>
    </xf>
    <xf numFmtId="49" fontId="67" fillId="32" borderId="12" xfId="0" applyNumberFormat="1" applyFont="1" applyFill="1" applyBorder="1" applyAlignment="1" applyProtection="1">
      <alignment horizontal="left" vertical="center" wrapText="1"/>
      <protection locked="0"/>
    </xf>
    <xf numFmtId="49" fontId="67" fillId="32" borderId="31" xfId="0" applyNumberFormat="1" applyFont="1" applyFill="1" applyBorder="1" applyAlignment="1" applyProtection="1">
      <alignment horizontal="left" vertical="center" wrapText="1"/>
      <protection locked="0"/>
    </xf>
    <xf numFmtId="49" fontId="67" fillId="32" borderId="144" xfId="0" applyNumberFormat="1" applyFont="1" applyFill="1" applyBorder="1" applyAlignment="1" applyProtection="1">
      <alignment horizontal="left" vertical="center" wrapText="1"/>
      <protection locked="0"/>
    </xf>
    <xf numFmtId="49" fontId="67" fillId="32" borderId="98" xfId="0" applyNumberFormat="1" applyFont="1" applyFill="1" applyBorder="1" applyAlignment="1" applyProtection="1">
      <alignment horizontal="left" vertical="center" wrapText="1"/>
      <protection locked="0"/>
    </xf>
    <xf numFmtId="49" fontId="67" fillId="32" borderId="32" xfId="0" applyNumberFormat="1" applyFont="1" applyFill="1" applyBorder="1" applyAlignment="1" applyProtection="1">
      <alignment horizontal="left" vertical="center" wrapText="1"/>
      <protection locked="0"/>
    </xf>
    <xf numFmtId="0" fontId="67" fillId="37" borderId="129" xfId="0" applyFont="1" applyFill="1" applyBorder="1" applyAlignment="1" applyProtection="1">
      <alignment horizontal="center" vertical="center" wrapText="1"/>
    </xf>
    <xf numFmtId="0" fontId="67" fillId="37" borderId="49" xfId="0" applyFont="1" applyFill="1" applyBorder="1" applyAlignment="1" applyProtection="1">
      <alignment horizontal="center" vertical="center" wrapText="1"/>
    </xf>
    <xf numFmtId="0" fontId="67" fillId="0" borderId="129" xfId="0" applyFont="1" applyFill="1" applyBorder="1" applyAlignment="1" applyProtection="1">
      <alignment horizontal="center" vertical="center" wrapText="1"/>
    </xf>
    <xf numFmtId="0" fontId="67" fillId="0" borderId="145" xfId="0" applyFont="1" applyFill="1" applyBorder="1" applyAlignment="1" applyProtection="1">
      <alignment horizontal="center" vertical="center" wrapText="1"/>
    </xf>
    <xf numFmtId="0" fontId="67" fillId="0" borderId="49" xfId="0" applyFont="1" applyFill="1" applyBorder="1" applyAlignment="1" applyProtection="1">
      <alignment horizontal="center" vertical="center" wrapText="1"/>
    </xf>
    <xf numFmtId="0" fontId="67" fillId="0" borderId="152" xfId="0" applyFont="1" applyFill="1" applyBorder="1" applyAlignment="1" applyProtection="1">
      <alignment horizontal="center" vertical="center" wrapText="1"/>
    </xf>
    <xf numFmtId="0" fontId="67" fillId="31" borderId="49" xfId="0" applyNumberFormat="1" applyFont="1" applyFill="1" applyBorder="1" applyAlignment="1" applyProtection="1">
      <alignment horizontal="center" vertical="center" wrapText="1"/>
      <protection locked="0"/>
    </xf>
    <xf numFmtId="0" fontId="67" fillId="32" borderId="145" xfId="0" applyNumberFormat="1" applyFont="1" applyFill="1" applyBorder="1" applyAlignment="1" applyProtection="1">
      <alignment horizontal="center" vertical="center" wrapText="1"/>
      <protection locked="0"/>
    </xf>
    <xf numFmtId="49" fontId="67" fillId="32" borderId="49" xfId="0" applyNumberFormat="1" applyFont="1" applyFill="1" applyBorder="1" applyAlignment="1" applyProtection="1">
      <alignment horizontal="center" vertical="center" wrapText="1"/>
      <protection locked="0"/>
    </xf>
    <xf numFmtId="49" fontId="67" fillId="32" borderId="152" xfId="0" applyNumberFormat="1" applyFont="1" applyFill="1" applyBorder="1" applyAlignment="1" applyProtection="1">
      <alignment horizontal="center" vertical="center" wrapText="1"/>
      <protection locked="0"/>
    </xf>
    <xf numFmtId="49" fontId="2" fillId="42" borderId="124" xfId="0" applyNumberFormat="1" applyFont="1" applyFill="1" applyBorder="1" applyAlignment="1" applyProtection="1">
      <alignment horizontal="left" vertical="center" wrapText="1"/>
      <protection locked="0"/>
    </xf>
    <xf numFmtId="49" fontId="67" fillId="42" borderId="12" xfId="0" applyNumberFormat="1" applyFont="1" applyFill="1" applyBorder="1" applyAlignment="1" applyProtection="1">
      <alignment horizontal="left" vertical="center" wrapText="1"/>
      <protection locked="0"/>
    </xf>
    <xf numFmtId="49" fontId="67" fillId="42" borderId="31" xfId="0" applyNumberFormat="1" applyFont="1" applyFill="1" applyBorder="1" applyAlignment="1" applyProtection="1">
      <alignment horizontal="left" vertical="center" wrapText="1"/>
      <protection locked="0"/>
    </xf>
    <xf numFmtId="49" fontId="67" fillId="42" borderId="124" xfId="0" applyNumberFormat="1" applyFont="1" applyFill="1" applyBorder="1" applyAlignment="1" applyProtection="1">
      <alignment horizontal="left" vertical="center" wrapText="1"/>
      <protection locked="0"/>
    </xf>
    <xf numFmtId="0" fontId="67" fillId="0" borderId="130" xfId="0" applyFont="1" applyFill="1" applyBorder="1" applyAlignment="1" applyProtection="1">
      <alignment horizontal="left" vertical="center" wrapText="1"/>
    </xf>
    <xf numFmtId="0" fontId="67" fillId="0" borderId="131" xfId="0" applyFont="1" applyFill="1" applyBorder="1" applyAlignment="1" applyProtection="1">
      <alignment horizontal="left" vertical="center" wrapText="1"/>
    </xf>
    <xf numFmtId="0" fontId="67" fillId="0" borderId="132" xfId="0" applyFont="1" applyFill="1" applyBorder="1" applyAlignment="1" applyProtection="1">
      <alignment horizontal="left" vertical="center" wrapText="1"/>
    </xf>
    <xf numFmtId="0" fontId="67" fillId="0" borderId="134" xfId="0" applyFont="1" applyFill="1" applyBorder="1" applyAlignment="1" applyProtection="1">
      <alignment horizontal="left" vertical="center" wrapText="1"/>
    </xf>
    <xf numFmtId="0" fontId="67" fillId="0" borderId="48" xfId="0" applyFont="1" applyFill="1" applyBorder="1" applyAlignment="1" applyProtection="1">
      <alignment horizontal="left" vertical="center" wrapText="1"/>
    </xf>
    <xf numFmtId="0" fontId="67" fillId="0" borderId="135" xfId="0" applyFont="1" applyFill="1" applyBorder="1" applyAlignment="1" applyProtection="1">
      <alignment horizontal="left" vertical="center" wrapText="1"/>
    </xf>
    <xf numFmtId="49" fontId="67" fillId="32" borderId="124" xfId="0" applyNumberFormat="1" applyFont="1" applyFill="1" applyBorder="1" applyAlignment="1" applyProtection="1">
      <alignment horizontal="left" vertical="center" wrapText="1"/>
      <protection locked="0"/>
    </xf>
    <xf numFmtId="43" fontId="15" fillId="43" borderId="12" xfId="117" applyFont="1" applyFill="1" applyBorder="1" applyAlignment="1" applyProtection="1">
      <alignment horizontal="center"/>
      <protection locked="0"/>
    </xf>
    <xf numFmtId="49" fontId="0" fillId="0" borderId="12" xfId="0" applyNumberFormat="1" applyBorder="1" applyAlignment="1" applyProtection="1">
      <alignment horizontal="center"/>
      <protection locked="0"/>
    </xf>
    <xf numFmtId="49" fontId="67" fillId="31" borderId="128" xfId="0" applyNumberFormat="1" applyFont="1" applyFill="1" applyBorder="1" applyAlignment="1" applyProtection="1">
      <alignment horizontal="center" vertical="center" wrapText="1"/>
      <protection locked="0"/>
    </xf>
    <xf numFmtId="49" fontId="67" fillId="31" borderId="123" xfId="0" applyNumberFormat="1" applyFont="1" applyFill="1" applyBorder="1" applyAlignment="1" applyProtection="1">
      <alignment horizontal="center" vertical="center" wrapText="1"/>
      <protection locked="0"/>
    </xf>
    <xf numFmtId="0" fontId="0" fillId="0" borderId="136" xfId="0" applyBorder="1" applyAlignment="1" applyProtection="1">
      <alignment horizontal="center"/>
    </xf>
    <xf numFmtId="0" fontId="0" fillId="0" borderId="23" xfId="0" applyBorder="1" applyAlignment="1" applyProtection="1">
      <alignment horizontal="center"/>
    </xf>
    <xf numFmtId="0" fontId="84" fillId="0" borderId="137" xfId="0" applyFont="1" applyBorder="1" applyAlignment="1" applyProtection="1">
      <alignment horizontal="right"/>
    </xf>
    <xf numFmtId="0" fontId="124" fillId="0" borderId="137" xfId="0" applyFont="1" applyBorder="1" applyAlignment="1"/>
    <xf numFmtId="0" fontId="0" fillId="0" borderId="138" xfId="0" applyFill="1" applyBorder="1" applyAlignment="1" applyProtection="1">
      <alignment horizontal="center" vertical="center"/>
      <protection locked="0"/>
    </xf>
    <xf numFmtId="0" fontId="0" fillId="0" borderId="139" xfId="0" applyFill="1" applyBorder="1" applyAlignment="1" applyProtection="1">
      <alignment horizontal="center" vertical="center"/>
      <protection locked="0"/>
    </xf>
    <xf numFmtId="0" fontId="0" fillId="0" borderId="140" xfId="0" applyFill="1" applyBorder="1" applyAlignment="1" applyProtection="1">
      <alignment horizontal="center" vertical="center"/>
      <protection locked="0"/>
    </xf>
    <xf numFmtId="49" fontId="67" fillId="32" borderId="128" xfId="0" applyNumberFormat="1" applyFont="1" applyFill="1" applyBorder="1" applyAlignment="1" applyProtection="1">
      <alignment horizontal="center" vertical="center" wrapText="1"/>
      <protection locked="0"/>
    </xf>
    <xf numFmtId="49" fontId="67" fillId="32" borderId="123" xfId="0" applyNumberFormat="1" applyFont="1" applyFill="1" applyBorder="1" applyAlignment="1" applyProtection="1">
      <alignment horizontal="center" vertical="center" wrapText="1"/>
      <protection locked="0"/>
    </xf>
    <xf numFmtId="49" fontId="67" fillId="31" borderId="49" xfId="0" applyNumberFormat="1" applyFont="1" applyFill="1" applyBorder="1" applyAlignment="1" applyProtection="1">
      <alignment horizontal="center" vertical="center" wrapText="1"/>
      <protection locked="0"/>
    </xf>
    <xf numFmtId="43" fontId="61" fillId="41" borderId="0" xfId="81" applyFont="1" applyFill="1" applyAlignment="1" applyProtection="1">
      <alignment horizontal="center" vertical="center"/>
    </xf>
    <xf numFmtId="49" fontId="14" fillId="0" borderId="25" xfId="0" applyNumberFormat="1" applyFont="1" applyBorder="1" applyAlignment="1" applyProtection="1">
      <alignment horizontal="center"/>
    </xf>
    <xf numFmtId="49" fontId="14" fillId="0" borderId="12" xfId="0" applyNumberFormat="1" applyFont="1" applyBorder="1" applyAlignment="1" applyProtection="1">
      <alignment horizontal="center"/>
    </xf>
    <xf numFmtId="0" fontId="67" fillId="37" borderId="134" xfId="0" applyFont="1" applyFill="1" applyBorder="1" applyAlignment="1" applyProtection="1">
      <alignment horizontal="left" vertical="center" wrapText="1"/>
    </xf>
    <xf numFmtId="0" fontId="67" fillId="37" borderId="48" xfId="0" applyFont="1" applyFill="1" applyBorder="1" applyAlignment="1" applyProtection="1">
      <alignment horizontal="left" vertical="center" wrapText="1"/>
    </xf>
    <xf numFmtId="0" fontId="67" fillId="37" borderId="135" xfId="0" applyFont="1" applyFill="1" applyBorder="1" applyAlignment="1" applyProtection="1">
      <alignment horizontal="left" vertical="center" wrapText="1"/>
    </xf>
    <xf numFmtId="0" fontId="115" fillId="0" borderId="0" xfId="0" applyFont="1" applyBorder="1" applyAlignment="1" applyProtection="1">
      <alignment horizontal="right"/>
    </xf>
    <xf numFmtId="0" fontId="115" fillId="0" borderId="133" xfId="0" applyFont="1" applyBorder="1" applyAlignment="1" applyProtection="1">
      <alignment horizontal="right"/>
    </xf>
    <xf numFmtId="0" fontId="115" fillId="0" borderId="54" xfId="0" applyFont="1" applyBorder="1" applyAlignment="1" applyProtection="1">
      <alignment horizontal="right"/>
    </xf>
    <xf numFmtId="49" fontId="0" fillId="0" borderId="31" xfId="0" applyNumberFormat="1" applyBorder="1" applyAlignment="1" applyProtection="1">
      <alignment horizontal="center"/>
      <protection locked="0"/>
    </xf>
    <xf numFmtId="49" fontId="0" fillId="0" borderId="49" xfId="0" applyNumberFormat="1" applyBorder="1" applyAlignment="1" applyProtection="1">
      <alignment horizontal="center"/>
      <protection locked="0"/>
    </xf>
    <xf numFmtId="15" fontId="128" fillId="0" borderId="12" xfId="117" applyNumberFormat="1" applyFont="1" applyFill="1" applyBorder="1" applyAlignment="1" applyProtection="1">
      <alignment horizontal="center"/>
      <protection locked="0"/>
    </xf>
    <xf numFmtId="15" fontId="156" fillId="0" borderId="12" xfId="117" applyNumberFormat="1" applyFill="1" applyBorder="1" applyAlignment="1" applyProtection="1">
      <alignment horizontal="center"/>
      <protection locked="0"/>
    </xf>
    <xf numFmtId="0" fontId="115" fillId="0" borderId="0" xfId="0" applyFont="1" applyAlignment="1" applyProtection="1">
      <alignment horizontal="right"/>
    </xf>
    <xf numFmtId="49" fontId="0" fillId="0" borderId="31" xfId="0" applyNumberFormat="1" applyFill="1" applyBorder="1" applyAlignment="1" applyProtection="1">
      <alignment horizontal="center"/>
      <protection locked="0"/>
    </xf>
    <xf numFmtId="49" fontId="0" fillId="0" borderId="48" xfId="0" applyNumberFormat="1" applyFill="1" applyBorder="1" applyAlignment="1" applyProtection="1">
      <alignment horizontal="center"/>
      <protection locked="0"/>
    </xf>
    <xf numFmtId="49" fontId="0" fillId="0" borderId="49" xfId="0" applyNumberFormat="1" applyFill="1" applyBorder="1" applyAlignment="1" applyProtection="1">
      <alignment horizontal="center"/>
      <protection locked="0"/>
    </xf>
    <xf numFmtId="3" fontId="160" fillId="0" borderId="31" xfId="0" applyNumberFormat="1" applyFont="1" applyBorder="1" applyAlignment="1" applyProtection="1">
      <alignment horizontal="center"/>
      <protection locked="0"/>
    </xf>
    <xf numFmtId="3" fontId="160" fillId="0" borderId="49" xfId="0" applyNumberFormat="1" applyFont="1" applyBorder="1" applyAlignment="1" applyProtection="1">
      <alignment horizontal="center"/>
      <protection locked="0"/>
    </xf>
    <xf numFmtId="49" fontId="1" fillId="0" borderId="12" xfId="0" applyNumberFormat="1" applyFont="1" applyBorder="1" applyAlignment="1" applyProtection="1">
      <alignment horizontal="center"/>
      <protection locked="0"/>
    </xf>
    <xf numFmtId="49" fontId="0" fillId="0" borderId="48" xfId="0" applyNumberFormat="1" applyBorder="1" applyAlignment="1" applyProtection="1">
      <alignment horizontal="center"/>
      <protection locked="0"/>
    </xf>
    <xf numFmtId="0" fontId="0" fillId="31" borderId="31" xfId="0" applyFill="1" applyBorder="1" applyAlignment="1" applyProtection="1">
      <alignment horizontal="center"/>
    </xf>
    <xf numFmtId="0" fontId="0" fillId="31" borderId="49" xfId="0" applyFill="1" applyBorder="1" applyAlignment="1" applyProtection="1">
      <alignment horizontal="center"/>
    </xf>
    <xf numFmtId="0" fontId="0" fillId="28" borderId="119" xfId="0" applyFill="1" applyBorder="1" applyAlignment="1" applyProtection="1">
      <alignment horizontal="center" vertical="center" textRotation="90"/>
    </xf>
    <xf numFmtId="43" fontId="14" fillId="0" borderId="120" xfId="0" applyNumberFormat="1" applyFont="1" applyBorder="1" applyAlignment="1" applyProtection="1">
      <alignment horizontal="center"/>
    </xf>
    <xf numFmtId="0" fontId="14" fillId="0" borderId="121" xfId="0" applyFont="1" applyBorder="1" applyAlignment="1" applyProtection="1">
      <alignment horizontal="center"/>
    </xf>
    <xf numFmtId="0" fontId="14" fillId="0" borderId="122" xfId="0" applyFont="1" applyBorder="1" applyAlignment="1" applyProtection="1">
      <alignment horizontal="center"/>
    </xf>
    <xf numFmtId="49" fontId="2" fillId="31" borderId="123" xfId="0" applyNumberFormat="1" applyFont="1" applyFill="1" applyBorder="1" applyAlignment="1" applyProtection="1">
      <alignment horizontal="left" vertical="center" wrapText="1"/>
      <protection locked="0"/>
    </xf>
    <xf numFmtId="49" fontId="2" fillId="31" borderId="113" xfId="0" applyNumberFormat="1" applyFont="1" applyFill="1" applyBorder="1" applyAlignment="1" applyProtection="1">
      <alignment horizontal="left" vertical="center" wrapText="1"/>
      <protection locked="0"/>
    </xf>
    <xf numFmtId="49" fontId="2" fillId="31" borderId="70" xfId="0" applyNumberFormat="1" applyFont="1" applyFill="1" applyBorder="1" applyAlignment="1" applyProtection="1">
      <alignment horizontal="left" vertical="center" wrapText="1"/>
      <protection locked="0"/>
    </xf>
    <xf numFmtId="49" fontId="2" fillId="31" borderId="124" xfId="0" applyNumberFormat="1" applyFont="1" applyFill="1" applyBorder="1" applyAlignment="1" applyProtection="1">
      <alignment horizontal="left" vertical="center" wrapText="1"/>
      <protection locked="0"/>
    </xf>
    <xf numFmtId="49" fontId="2" fillId="31" borderId="12" xfId="0" applyNumberFormat="1" applyFont="1" applyFill="1" applyBorder="1" applyAlignment="1" applyProtection="1">
      <alignment horizontal="left" vertical="center" wrapText="1"/>
      <protection locked="0"/>
    </xf>
    <xf numFmtId="49" fontId="2" fillId="31" borderId="31" xfId="0" applyNumberFormat="1" applyFont="1" applyFill="1" applyBorder="1" applyAlignment="1" applyProtection="1">
      <alignment horizontal="left" vertical="center" wrapText="1"/>
      <protection locked="0"/>
    </xf>
    <xf numFmtId="0" fontId="26" fillId="0" borderId="125" xfId="0" applyFont="1" applyBorder="1" applyAlignment="1" applyProtection="1">
      <alignment horizontal="center" wrapText="1"/>
    </xf>
    <xf numFmtId="0" fontId="26" fillId="0" borderId="126" xfId="0" applyFont="1" applyBorder="1" applyAlignment="1" applyProtection="1">
      <alignment horizontal="center" wrapText="1"/>
    </xf>
    <xf numFmtId="0" fontId="26" fillId="0" borderId="127" xfId="0" applyFont="1" applyBorder="1" applyAlignment="1" applyProtection="1">
      <alignment horizontal="center" wrapText="1"/>
    </xf>
    <xf numFmtId="49" fontId="2" fillId="31" borderId="128" xfId="0" applyNumberFormat="1" applyFont="1" applyFill="1" applyBorder="1" applyAlignment="1" applyProtection="1">
      <alignment horizontal="center" vertical="center" wrapText="1"/>
      <protection locked="0"/>
    </xf>
    <xf numFmtId="49" fontId="2" fillId="31" borderId="123" xfId="0" applyNumberFormat="1" applyFont="1" applyFill="1" applyBorder="1" applyAlignment="1" applyProtection="1">
      <alignment horizontal="center" vertical="center" wrapText="1"/>
      <protection locked="0"/>
    </xf>
    <xf numFmtId="49" fontId="2" fillId="32" borderId="12" xfId="0" applyNumberFormat="1" applyFont="1" applyFill="1" applyBorder="1" applyAlignment="1" applyProtection="1">
      <alignment horizontal="left" vertical="center" wrapText="1"/>
      <protection locked="0"/>
    </xf>
    <xf numFmtId="49" fontId="2" fillId="32" borderId="31" xfId="0" applyNumberFormat="1" applyFont="1" applyFill="1" applyBorder="1" applyAlignment="1" applyProtection="1">
      <alignment horizontal="left" vertical="center" wrapText="1"/>
      <protection locked="0"/>
    </xf>
    <xf numFmtId="49" fontId="14" fillId="0" borderId="27" xfId="0" applyNumberFormat="1" applyFont="1" applyBorder="1" applyAlignment="1" applyProtection="1">
      <alignment horizontal="center"/>
    </xf>
    <xf numFmtId="49" fontId="14" fillId="0" borderId="51" xfId="0" applyNumberFormat="1" applyFont="1" applyBorder="1" applyAlignment="1" applyProtection="1">
      <alignment horizontal="center"/>
    </xf>
    <xf numFmtId="0" fontId="77" fillId="0" borderId="130" xfId="0" applyFont="1" applyFill="1" applyBorder="1" applyAlignment="1" applyProtection="1">
      <alignment horizontal="center" vertical="center"/>
    </xf>
    <xf numFmtId="0" fontId="77" fillId="0" borderId="131" xfId="0" applyFont="1" applyFill="1" applyBorder="1" applyAlignment="1" applyProtection="1">
      <alignment horizontal="center" vertical="center"/>
    </xf>
    <xf numFmtId="0" fontId="77" fillId="0" borderId="132" xfId="0" applyFont="1" applyFill="1" applyBorder="1" applyAlignment="1" applyProtection="1">
      <alignment horizontal="center" vertical="center"/>
    </xf>
    <xf numFmtId="43" fontId="24" fillId="33" borderId="45" xfId="117" applyFont="1" applyFill="1" applyBorder="1" applyAlignment="1" applyProtection="1">
      <alignment horizontal="center"/>
    </xf>
    <xf numFmtId="43" fontId="1" fillId="0" borderId="45" xfId="117" applyFont="1" applyFill="1" applyBorder="1" applyAlignment="1" applyProtection="1">
      <alignment horizontal="right"/>
    </xf>
    <xf numFmtId="43" fontId="118" fillId="40" borderId="45" xfId="117" applyFont="1" applyFill="1" applyBorder="1" applyAlignment="1" applyProtection="1">
      <alignment horizontal="center"/>
    </xf>
    <xf numFmtId="15" fontId="24" fillId="33" borderId="45" xfId="117" applyNumberFormat="1" applyFont="1" applyFill="1" applyBorder="1" applyAlignment="1" applyProtection="1">
      <alignment horizontal="center"/>
    </xf>
    <xf numFmtId="0" fontId="0" fillId="0" borderId="45" xfId="0" applyBorder="1" applyAlignment="1"/>
    <xf numFmtId="43" fontId="106" fillId="41" borderId="0" xfId="81" applyFont="1" applyFill="1" applyAlignment="1" applyProtection="1">
      <alignment horizontal="center" vertical="center"/>
    </xf>
    <xf numFmtId="43" fontId="33" fillId="33" borderId="0" xfId="97" applyFont="1" applyFill="1" applyAlignment="1" applyProtection="1">
      <alignment horizontal="center" vertical="center" wrapText="1"/>
    </xf>
    <xf numFmtId="174" fontId="24" fillId="33" borderId="45" xfId="117" applyNumberFormat="1" applyFont="1" applyFill="1" applyBorder="1" applyAlignment="1" applyProtection="1">
      <alignment horizontal="center" vertical="center"/>
    </xf>
    <xf numFmtId="43" fontId="1" fillId="0" borderId="45" xfId="117" applyFont="1" applyBorder="1" applyAlignment="1" applyProtection="1">
      <alignment horizontal="right"/>
    </xf>
    <xf numFmtId="43" fontId="20" fillId="0" borderId="0" xfId="97" applyFont="1" applyFill="1" applyAlignment="1" applyProtection="1">
      <alignment horizontal="right" vertical="center"/>
    </xf>
    <xf numFmtId="43" fontId="24" fillId="33" borderId="0" xfId="97" applyFont="1" applyFill="1" applyAlignment="1" applyProtection="1">
      <alignment horizontal="center" vertical="center" wrapText="1"/>
    </xf>
    <xf numFmtId="0" fontId="34" fillId="31" borderId="31" xfId="0" applyFont="1" applyFill="1" applyBorder="1" applyAlignment="1" applyProtection="1">
      <alignment horizontal="left" wrapText="1"/>
      <protection locked="0"/>
    </xf>
    <xf numFmtId="0" fontId="34" fillId="31" borderId="48" xfId="0" applyFont="1" applyFill="1" applyBorder="1" applyAlignment="1" applyProtection="1">
      <alignment horizontal="left" wrapText="1"/>
      <protection locked="0"/>
    </xf>
    <xf numFmtId="0" fontId="34" fillId="31" borderId="49" xfId="0" applyFont="1" applyFill="1" applyBorder="1" applyAlignment="1" applyProtection="1">
      <alignment horizontal="left" wrapText="1"/>
      <protection locked="0"/>
    </xf>
    <xf numFmtId="0" fontId="0" fillId="0" borderId="48" xfId="0" applyBorder="1" applyAlignment="1" applyProtection="1">
      <alignment horizontal="left" wrapText="1"/>
      <protection locked="0"/>
    </xf>
    <xf numFmtId="0" fontId="0" fillId="0" borderId="49" xfId="0" applyBorder="1" applyAlignment="1" applyProtection="1">
      <alignment horizontal="left" wrapText="1"/>
      <protection locked="0"/>
    </xf>
    <xf numFmtId="0" fontId="119" fillId="0" borderId="154" xfId="0" applyFont="1" applyFill="1" applyBorder="1" applyAlignment="1" applyProtection="1">
      <alignment horizontal="left" wrapText="1"/>
    </xf>
    <xf numFmtId="0" fontId="119" fillId="0" borderId="99" xfId="0" applyFont="1" applyFill="1" applyBorder="1" applyAlignment="1" applyProtection="1">
      <alignment horizontal="left" wrapText="1"/>
    </xf>
    <xf numFmtId="0" fontId="119" fillId="0" borderId="155" xfId="0" applyFont="1" applyFill="1" applyBorder="1" applyAlignment="1" applyProtection="1">
      <alignment horizontal="left" wrapText="1"/>
    </xf>
    <xf numFmtId="0" fontId="119" fillId="0" borderId="156" xfId="0" applyFont="1" applyFill="1" applyBorder="1" applyAlignment="1" applyProtection="1">
      <alignment horizontal="left" wrapText="1"/>
    </xf>
    <xf numFmtId="43" fontId="14" fillId="0" borderId="0" xfId="0" applyNumberFormat="1" applyFont="1" applyAlignment="1" applyProtection="1">
      <alignment horizontal="center" wrapText="1"/>
    </xf>
    <xf numFmtId="43" fontId="28" fillId="0" borderId="0" xfId="0" applyNumberFormat="1" applyFont="1" applyAlignment="1" applyProtection="1">
      <alignment horizontal="right"/>
    </xf>
    <xf numFmtId="15" fontId="28" fillId="0" borderId="0" xfId="0" applyNumberFormat="1" applyFont="1" applyAlignment="1" applyProtection="1">
      <alignment horizontal="right"/>
    </xf>
    <xf numFmtId="43" fontId="14" fillId="0" borderId="0" xfId="0" applyNumberFormat="1" applyFont="1" applyAlignment="1" applyProtection="1">
      <alignment horizontal="center"/>
    </xf>
    <xf numFmtId="43" fontId="28" fillId="0" borderId="0" xfId="0" applyNumberFormat="1" applyFont="1" applyAlignment="1" applyProtection="1">
      <alignment horizontal="left"/>
    </xf>
    <xf numFmtId="43" fontId="15" fillId="40" borderId="0" xfId="117" applyFont="1" applyFill="1" applyBorder="1" applyAlignment="1" applyProtection="1">
      <alignment horizontal="center"/>
    </xf>
    <xf numFmtId="0" fontId="112" fillId="0" borderId="0" xfId="0" applyFont="1" applyAlignment="1" applyProtection="1">
      <alignment horizontal="center"/>
    </xf>
    <xf numFmtId="43" fontId="111" fillId="0" borderId="149" xfId="0" applyNumberFormat="1" applyFont="1" applyBorder="1" applyAlignment="1" applyProtection="1">
      <alignment horizontal="center" vertical="center" wrapText="1"/>
    </xf>
    <xf numFmtId="43" fontId="111" fillId="0" borderId="150" xfId="0" applyNumberFormat="1" applyFont="1" applyBorder="1" applyAlignment="1" applyProtection="1">
      <alignment horizontal="center" vertical="center" wrapText="1"/>
    </xf>
    <xf numFmtId="43" fontId="111" fillId="0" borderId="151" xfId="0" applyNumberFormat="1" applyFont="1" applyBorder="1" applyAlignment="1" applyProtection="1">
      <alignment horizontal="center" vertical="center" wrapText="1"/>
    </xf>
    <xf numFmtId="0" fontId="0" fillId="0" borderId="153" xfId="0" applyBorder="1" applyAlignment="1" applyProtection="1">
      <alignment horizontal="center"/>
    </xf>
    <xf numFmtId="0" fontId="0" fillId="0" borderId="68" xfId="0" applyBorder="1" applyAlignment="1" applyProtection="1">
      <alignment horizontal="center"/>
    </xf>
    <xf numFmtId="0" fontId="30" fillId="31" borderId="31" xfId="0" applyFont="1" applyFill="1" applyBorder="1" applyAlignment="1" applyProtection="1">
      <alignment horizontal="left" wrapText="1"/>
      <protection locked="0"/>
    </xf>
    <xf numFmtId="0" fontId="85" fillId="0" borderId="0" xfId="0" applyFont="1" applyAlignment="1">
      <alignment horizontal="left" wrapText="1"/>
    </xf>
    <xf numFmtId="0" fontId="0" fillId="0" borderId="48" xfId="0" applyBorder="1" applyAlignment="1">
      <alignment horizontal="left" wrapText="1"/>
    </xf>
    <xf numFmtId="0" fontId="0" fillId="0" borderId="49" xfId="0" applyBorder="1" applyAlignment="1">
      <alignment horizontal="left" wrapText="1"/>
    </xf>
    <xf numFmtId="43" fontId="28" fillId="0" borderId="0" xfId="0" applyNumberFormat="1" applyFont="1" applyAlignment="1">
      <alignment horizontal="left"/>
    </xf>
    <xf numFmtId="43" fontId="14" fillId="0" borderId="0" xfId="0" applyNumberFormat="1" applyFont="1" applyAlignment="1">
      <alignment horizontal="center"/>
    </xf>
    <xf numFmtId="43" fontId="61" fillId="41" borderId="0" xfId="93" applyFont="1" applyFill="1" applyAlignment="1">
      <alignment horizontal="center" vertical="center"/>
    </xf>
    <xf numFmtId="0" fontId="112" fillId="0" borderId="0" xfId="0" applyFont="1" applyAlignment="1">
      <alignment horizontal="center"/>
    </xf>
    <xf numFmtId="43" fontId="28" fillId="0" borderId="0" xfId="0" applyNumberFormat="1" applyFont="1" applyAlignment="1">
      <alignment horizontal="right"/>
    </xf>
    <xf numFmtId="0" fontId="0" fillId="0" borderId="138" xfId="0" applyFill="1" applyBorder="1" applyAlignment="1" applyProtection="1">
      <alignment horizontal="center" vertical="center"/>
    </xf>
    <xf numFmtId="0" fontId="0" fillId="0" borderId="139" xfId="0" applyFill="1" applyBorder="1" applyAlignment="1" applyProtection="1">
      <alignment horizontal="center" vertical="center"/>
    </xf>
    <xf numFmtId="0" fontId="0" fillId="0" borderId="140" xfId="0" applyFill="1" applyBorder="1" applyAlignment="1" applyProtection="1">
      <alignment horizontal="center" vertical="center"/>
    </xf>
    <xf numFmtId="15" fontId="28" fillId="0" borderId="0" xfId="0" applyNumberFormat="1" applyFont="1" applyAlignment="1">
      <alignment horizontal="right"/>
    </xf>
    <xf numFmtId="0" fontId="14" fillId="0" borderId="0" xfId="0" applyFont="1" applyBorder="1" applyAlignment="1">
      <alignment horizontal="center"/>
    </xf>
    <xf numFmtId="43" fontId="61" fillId="41" borderId="0" xfId="93" applyFont="1" applyFill="1" applyAlignment="1" applyProtection="1">
      <alignment horizontal="center" vertical="center"/>
    </xf>
    <xf numFmtId="0" fontId="34" fillId="0" borderId="117" xfId="0" applyFont="1" applyBorder="1" applyAlignment="1" applyProtection="1">
      <alignment horizontal="left" vertical="center"/>
    </xf>
    <xf numFmtId="43" fontId="112" fillId="0" borderId="0" xfId="0" applyNumberFormat="1" applyFont="1" applyAlignment="1" applyProtection="1">
      <alignment horizontal="center"/>
    </xf>
    <xf numFmtId="43" fontId="33" fillId="0" borderId="0" xfId="0" applyNumberFormat="1" applyFont="1" applyAlignment="1" applyProtection="1">
      <alignment horizontal="center"/>
    </xf>
    <xf numFmtId="43" fontId="15" fillId="40" borderId="0" xfId="118" applyFont="1" applyFill="1" applyBorder="1" applyAlignment="1" applyProtection="1">
      <alignment horizontal="center"/>
    </xf>
    <xf numFmtId="0" fontId="34" fillId="0" borderId="31" xfId="0" applyFont="1" applyBorder="1" applyAlignment="1" applyProtection="1">
      <alignment horizontal="center" vertical="center"/>
    </xf>
    <xf numFmtId="0" fontId="34" fillId="0" borderId="48" xfId="0" applyFont="1" applyBorder="1" applyAlignment="1" applyProtection="1">
      <alignment horizontal="center" vertical="center"/>
    </xf>
    <xf numFmtId="0" fontId="34" fillId="0" borderId="49" xfId="0" applyFont="1" applyBorder="1" applyAlignment="1" applyProtection="1">
      <alignment horizontal="center" vertical="center"/>
    </xf>
    <xf numFmtId="9" fontId="34" fillId="31" borderId="12" xfId="112" applyFont="1" applyFill="1" applyBorder="1" applyAlignment="1" applyProtection="1">
      <alignment horizontal="left" vertical="center" wrapText="1"/>
      <protection locked="0"/>
    </xf>
    <xf numFmtId="9" fontId="28" fillId="0" borderId="31" xfId="112" applyFont="1" applyBorder="1" applyAlignment="1" applyProtection="1">
      <alignment horizontal="center" vertical="center" wrapText="1"/>
    </xf>
    <xf numFmtId="9" fontId="28" fillId="0" borderId="48" xfId="112" applyFont="1" applyBorder="1" applyAlignment="1" applyProtection="1">
      <alignment horizontal="center" vertical="center" wrapText="1"/>
    </xf>
    <xf numFmtId="9" fontId="28" fillId="0" borderId="49" xfId="112" applyFont="1" applyBorder="1" applyAlignment="1" applyProtection="1">
      <alignment horizontal="center" vertical="center" wrapText="1"/>
    </xf>
    <xf numFmtId="9" fontId="37" fillId="44" borderId="31" xfId="112" applyFont="1" applyFill="1" applyBorder="1" applyAlignment="1" applyProtection="1">
      <alignment horizontal="center" vertical="center" wrapText="1"/>
    </xf>
    <xf numFmtId="9" fontId="37" fillId="44" borderId="49" xfId="112" applyFont="1" applyFill="1" applyBorder="1" applyAlignment="1" applyProtection="1">
      <alignment horizontal="center" vertical="center" wrapText="1"/>
    </xf>
    <xf numFmtId="9" fontId="37" fillId="45" borderId="31" xfId="112" applyFont="1" applyFill="1" applyBorder="1" applyAlignment="1" applyProtection="1">
      <alignment horizontal="center" vertical="center" wrapText="1"/>
    </xf>
    <xf numFmtId="9" fontId="37" fillId="45" borderId="49" xfId="112" applyFont="1" applyFill="1" applyBorder="1" applyAlignment="1" applyProtection="1">
      <alignment horizontal="center" vertical="center" wrapText="1"/>
    </xf>
    <xf numFmtId="0" fontId="33" fillId="0" borderId="110" xfId="0" applyFont="1" applyBorder="1" applyAlignment="1" applyProtection="1">
      <alignment horizontal="center"/>
    </xf>
    <xf numFmtId="0" fontId="34" fillId="0" borderId="12" xfId="0" applyFont="1" applyBorder="1" applyAlignment="1" applyProtection="1">
      <alignment horizontal="center" vertical="center" wrapText="1"/>
    </xf>
    <xf numFmtId="0" fontId="34" fillId="47" borderId="12" xfId="0" applyFont="1" applyFill="1" applyBorder="1" applyAlignment="1" applyProtection="1">
      <alignment vertical="center" wrapText="1"/>
    </xf>
    <xf numFmtId="0" fontId="34" fillId="29" borderId="0" xfId="0" applyFont="1" applyFill="1" applyAlignment="1" applyProtection="1">
      <alignment horizontal="center" vertical="center" wrapText="1"/>
    </xf>
    <xf numFmtId="0" fontId="34" fillId="0" borderId="31" xfId="0" applyFont="1" applyBorder="1" applyAlignment="1" applyProtection="1">
      <alignment vertical="center" wrapText="1"/>
    </xf>
    <xf numFmtId="0" fontId="34" fillId="0" borderId="48" xfId="0" applyFont="1" applyBorder="1" applyAlignment="1" applyProtection="1">
      <alignment vertical="center" wrapText="1"/>
    </xf>
    <xf numFmtId="0" fontId="34" fillId="0" borderId="49" xfId="0" applyFont="1" applyBorder="1" applyAlignment="1" applyProtection="1">
      <alignment vertical="center" wrapText="1"/>
    </xf>
    <xf numFmtId="0" fontId="34" fillId="0" borderId="12" xfId="0" applyFont="1" applyBorder="1" applyAlignment="1" applyProtection="1">
      <alignment vertical="center" wrapText="1"/>
    </xf>
    <xf numFmtId="0" fontId="34" fillId="29" borderId="0" xfId="0" applyFont="1" applyFill="1" applyAlignment="1" applyProtection="1">
      <alignment horizontal="left"/>
      <protection locked="0"/>
    </xf>
    <xf numFmtId="0" fontId="34" fillId="29" borderId="46" xfId="0" applyFont="1" applyFill="1" applyBorder="1" applyAlignment="1" applyProtection="1">
      <alignment horizontal="left"/>
      <protection locked="0"/>
    </xf>
    <xf numFmtId="0" fontId="34" fillId="29" borderId="157" xfId="0" applyFont="1" applyFill="1" applyBorder="1" applyAlignment="1" applyProtection="1">
      <alignment horizontal="left"/>
      <protection locked="0"/>
    </xf>
    <xf numFmtId="0" fontId="34" fillId="29" borderId="0" xfId="0" applyFont="1" applyFill="1" applyBorder="1" applyAlignment="1" applyProtection="1">
      <alignment horizontal="left"/>
      <protection locked="0"/>
    </xf>
    <xf numFmtId="0" fontId="34" fillId="29" borderId="0" xfId="0" applyFont="1" applyFill="1" applyBorder="1" applyAlignment="1" applyProtection="1">
      <alignment horizontal="left"/>
    </xf>
    <xf numFmtId="0" fontId="34" fillId="29" borderId="117" xfId="0" applyFont="1" applyFill="1" applyBorder="1" applyAlignment="1" applyProtection="1">
      <alignment horizontal="left"/>
    </xf>
    <xf numFmtId="0" fontId="34" fillId="29" borderId="117" xfId="0" applyFont="1" applyFill="1" applyBorder="1" applyAlignment="1" applyProtection="1">
      <alignment horizontal="left" vertical="center" wrapText="1"/>
    </xf>
    <xf numFmtId="0" fontId="34" fillId="31" borderId="31" xfId="0" applyFont="1" applyFill="1" applyBorder="1" applyAlignment="1" applyProtection="1">
      <alignment horizontal="left" vertical="top" wrapText="1"/>
      <protection locked="0"/>
    </xf>
    <xf numFmtId="0" fontId="0" fillId="0" borderId="48" xfId="0" applyBorder="1" applyAlignment="1">
      <alignment horizontal="left" vertical="top" wrapText="1"/>
    </xf>
    <xf numFmtId="0" fontId="0" fillId="0" borderId="49" xfId="0" applyBorder="1" applyAlignment="1">
      <alignment horizontal="left" vertical="top" wrapText="1"/>
    </xf>
    <xf numFmtId="0" fontId="34" fillId="31" borderId="48" xfId="0" applyFont="1" applyFill="1" applyBorder="1" applyAlignment="1" applyProtection="1">
      <alignment horizontal="left" vertical="top" wrapText="1"/>
      <protection locked="0"/>
    </xf>
    <xf numFmtId="0" fontId="34" fillId="31" borderId="49" xfId="0" applyFont="1" applyFill="1" applyBorder="1" applyAlignment="1" applyProtection="1">
      <alignment horizontal="left" vertical="top" wrapText="1"/>
      <protection locked="0"/>
    </xf>
    <xf numFmtId="0" fontId="2" fillId="31" borderId="167" xfId="0" applyFont="1" applyFill="1" applyBorder="1" applyAlignment="1" applyProtection="1">
      <alignment horizontal="center" vertical="top" wrapText="1"/>
      <protection locked="0"/>
    </xf>
    <xf numFmtId="0" fontId="2" fillId="31" borderId="168" xfId="0" applyFont="1" applyFill="1" applyBorder="1" applyAlignment="1" applyProtection="1">
      <alignment horizontal="center" vertical="top" wrapText="1"/>
      <protection locked="0"/>
    </xf>
    <xf numFmtId="0" fontId="2" fillId="31" borderId="169" xfId="0" applyFont="1" applyFill="1" applyBorder="1" applyAlignment="1" applyProtection="1">
      <alignment horizontal="center" vertical="top" wrapText="1"/>
      <protection locked="0"/>
    </xf>
    <xf numFmtId="0" fontId="2" fillId="31" borderId="208" xfId="0" applyFont="1" applyFill="1" applyBorder="1" applyAlignment="1" applyProtection="1">
      <alignment horizontal="center" vertical="top" wrapText="1"/>
      <protection locked="0"/>
    </xf>
    <xf numFmtId="0" fontId="2" fillId="31" borderId="209" xfId="0" applyFont="1" applyFill="1" applyBorder="1" applyAlignment="1" applyProtection="1">
      <alignment horizontal="center" vertical="top" wrapText="1"/>
      <protection locked="0"/>
    </xf>
    <xf numFmtId="0" fontId="2" fillId="31" borderId="210" xfId="0" applyFont="1" applyFill="1" applyBorder="1" applyAlignment="1" applyProtection="1">
      <alignment horizontal="center" vertical="top" wrapText="1"/>
      <protection locked="0"/>
    </xf>
    <xf numFmtId="0" fontId="79" fillId="28" borderId="14" xfId="0" applyFont="1" applyFill="1" applyBorder="1" applyAlignment="1" applyProtection="1">
      <alignment horizontal="center" vertical="center"/>
    </xf>
    <xf numFmtId="0" fontId="60" fillId="34" borderId="196" xfId="0" applyFont="1" applyFill="1" applyBorder="1" applyAlignment="1" applyProtection="1">
      <alignment horizontal="center" vertical="center"/>
    </xf>
    <xf numFmtId="0" fontId="60" fillId="34" borderId="197" xfId="0" applyFont="1" applyFill="1" applyBorder="1" applyAlignment="1" applyProtection="1">
      <alignment horizontal="center" vertical="center"/>
    </xf>
    <xf numFmtId="0" fontId="60" fillId="34" borderId="198" xfId="0" applyFont="1" applyFill="1" applyBorder="1" applyAlignment="1" applyProtection="1">
      <alignment horizontal="center" vertical="center"/>
    </xf>
    <xf numFmtId="0" fontId="2" fillId="33" borderId="199" xfId="0" applyFont="1" applyFill="1" applyBorder="1" applyAlignment="1" applyProtection="1">
      <alignment horizontal="center" vertical="top" wrapText="1"/>
      <protection locked="0"/>
    </xf>
    <xf numFmtId="0" fontId="2" fillId="33" borderId="200" xfId="0" applyFont="1" applyFill="1" applyBorder="1" applyAlignment="1" applyProtection="1">
      <alignment horizontal="center" vertical="top" wrapText="1"/>
      <protection locked="0"/>
    </xf>
    <xf numFmtId="0" fontId="2" fillId="33" borderId="201" xfId="0" applyFont="1" applyFill="1" applyBorder="1" applyAlignment="1" applyProtection="1">
      <alignment horizontal="center" vertical="top" wrapText="1"/>
      <protection locked="0"/>
    </xf>
    <xf numFmtId="0" fontId="2" fillId="33" borderId="202" xfId="0" applyFont="1" applyFill="1" applyBorder="1" applyAlignment="1" applyProtection="1">
      <alignment horizontal="center" vertical="top" wrapText="1"/>
      <protection locked="0"/>
    </xf>
    <xf numFmtId="0" fontId="2" fillId="33" borderId="203" xfId="0" applyFont="1" applyFill="1" applyBorder="1" applyAlignment="1" applyProtection="1">
      <alignment horizontal="center" vertical="top" wrapText="1"/>
      <protection locked="0"/>
    </xf>
    <xf numFmtId="0" fontId="2" fillId="33" borderId="204" xfId="0" applyFont="1" applyFill="1" applyBorder="1" applyAlignment="1" applyProtection="1">
      <alignment horizontal="center" vertical="top" wrapText="1"/>
      <protection locked="0"/>
    </xf>
    <xf numFmtId="0" fontId="2" fillId="33" borderId="182" xfId="0" applyFont="1" applyFill="1" applyBorder="1" applyAlignment="1" applyProtection="1">
      <alignment horizontal="center" vertical="top" wrapText="1"/>
      <protection locked="0"/>
    </xf>
    <xf numFmtId="0" fontId="2" fillId="33" borderId="183" xfId="0" applyFont="1" applyFill="1" applyBorder="1" applyAlignment="1" applyProtection="1">
      <alignment horizontal="center" vertical="top" wrapText="1"/>
      <protection locked="0"/>
    </xf>
    <xf numFmtId="0" fontId="2" fillId="33" borderId="184" xfId="0" applyFont="1" applyFill="1" applyBorder="1" applyAlignment="1" applyProtection="1">
      <alignment horizontal="center" vertical="top" wrapText="1"/>
      <protection locked="0"/>
    </xf>
    <xf numFmtId="0" fontId="78" fillId="0" borderId="205" xfId="0" applyFont="1" applyFill="1" applyBorder="1" applyAlignment="1" applyProtection="1">
      <alignment horizontal="center"/>
    </xf>
    <xf numFmtId="0" fontId="78" fillId="0" borderId="176" xfId="0" applyFont="1" applyFill="1" applyBorder="1" applyAlignment="1" applyProtection="1">
      <alignment horizontal="center"/>
    </xf>
    <xf numFmtId="49" fontId="2" fillId="34" borderId="191" xfId="0" applyNumberFormat="1" applyFont="1" applyFill="1" applyBorder="1" applyAlignment="1" applyProtection="1">
      <alignment horizontal="center" vertical="center"/>
      <protection locked="0"/>
    </xf>
    <xf numFmtId="49" fontId="2" fillId="34" borderId="159" xfId="0" applyNumberFormat="1" applyFont="1" applyFill="1" applyBorder="1" applyAlignment="1" applyProtection="1">
      <alignment horizontal="center" vertical="center"/>
      <protection locked="0"/>
    </xf>
    <xf numFmtId="49" fontId="2" fillId="34" borderId="192" xfId="0" applyNumberFormat="1" applyFont="1" applyFill="1" applyBorder="1" applyAlignment="1" applyProtection="1">
      <alignment horizontal="center" vertical="center"/>
      <protection locked="0"/>
    </xf>
    <xf numFmtId="49" fontId="2" fillId="34" borderId="206" xfId="0" applyNumberFormat="1" applyFont="1" applyFill="1" applyBorder="1" applyAlignment="1" applyProtection="1">
      <alignment horizontal="center" vertical="center"/>
      <protection locked="0"/>
    </xf>
    <xf numFmtId="49" fontId="2" fillId="34" borderId="16" xfId="0" applyNumberFormat="1" applyFont="1" applyFill="1" applyBorder="1" applyAlignment="1" applyProtection="1">
      <alignment horizontal="center" vertical="center"/>
      <protection locked="0"/>
    </xf>
    <xf numFmtId="49" fontId="2" fillId="34" borderId="207" xfId="0" applyNumberFormat="1" applyFont="1" applyFill="1" applyBorder="1" applyAlignment="1" applyProtection="1">
      <alignment horizontal="center" vertical="center"/>
      <protection locked="0"/>
    </xf>
    <xf numFmtId="0" fontId="78" fillId="0" borderId="0" xfId="0" applyFont="1" applyFill="1" applyBorder="1" applyAlignment="1" applyProtection="1">
      <alignment horizontal="center"/>
    </xf>
    <xf numFmtId="0" fontId="80" fillId="0" borderId="170" xfId="0" applyNumberFormat="1" applyFont="1" applyFill="1" applyBorder="1" applyAlignment="1" applyProtection="1">
      <alignment horizontal="left" vertical="top" wrapText="1"/>
    </xf>
    <xf numFmtId="0" fontId="80" fillId="0" borderId="171" xfId="0" applyNumberFormat="1" applyFont="1" applyFill="1" applyBorder="1" applyAlignment="1" applyProtection="1">
      <alignment horizontal="left" vertical="top" wrapText="1"/>
    </xf>
    <xf numFmtId="0" fontId="80" fillId="0" borderId="172" xfId="0" applyNumberFormat="1" applyFont="1" applyFill="1" applyBorder="1" applyAlignment="1" applyProtection="1">
      <alignment horizontal="left" vertical="top" wrapText="1"/>
    </xf>
    <xf numFmtId="0" fontId="80" fillId="0" borderId="173" xfId="0" applyNumberFormat="1" applyFont="1" applyFill="1" applyBorder="1" applyAlignment="1" applyProtection="1">
      <alignment horizontal="left" vertical="top" wrapText="1"/>
    </xf>
    <xf numFmtId="0" fontId="112" fillId="0" borderId="0" xfId="0" applyFont="1" applyBorder="1" applyAlignment="1" applyProtection="1">
      <alignment horizontal="center"/>
    </xf>
    <xf numFmtId="0" fontId="80" fillId="0" borderId="188" xfId="0" applyNumberFormat="1" applyFont="1" applyFill="1" applyBorder="1" applyAlignment="1" applyProtection="1">
      <alignment horizontal="left" vertical="top" wrapText="1"/>
    </xf>
    <xf numFmtId="0" fontId="80" fillId="0" borderId="189" xfId="0" applyNumberFormat="1" applyFont="1" applyFill="1" applyBorder="1" applyAlignment="1" applyProtection="1">
      <alignment horizontal="left" vertical="top" wrapText="1"/>
    </xf>
    <xf numFmtId="0" fontId="80" fillId="0" borderId="190" xfId="0" applyNumberFormat="1" applyFont="1" applyFill="1" applyBorder="1" applyAlignment="1" applyProtection="1">
      <alignment horizontal="left" vertical="top" wrapText="1"/>
    </xf>
    <xf numFmtId="49" fontId="2" fillId="34" borderId="193" xfId="0" applyNumberFormat="1" applyFont="1" applyFill="1" applyBorder="1" applyAlignment="1" applyProtection="1">
      <alignment horizontal="center" vertical="center"/>
      <protection locked="0"/>
    </xf>
    <xf numFmtId="49" fontId="2" fillId="34" borderId="194" xfId="0" applyNumberFormat="1" applyFont="1" applyFill="1" applyBorder="1" applyAlignment="1" applyProtection="1">
      <alignment horizontal="center" vertical="center"/>
      <protection locked="0"/>
    </xf>
    <xf numFmtId="49" fontId="2" fillId="34" borderId="195" xfId="0" applyNumberFormat="1" applyFont="1" applyFill="1" applyBorder="1" applyAlignment="1" applyProtection="1">
      <alignment horizontal="center" vertical="center"/>
      <protection locked="0"/>
    </xf>
    <xf numFmtId="0" fontId="126" fillId="33" borderId="177" xfId="0" applyFont="1" applyFill="1" applyBorder="1" applyAlignment="1" applyProtection="1">
      <alignment horizontal="center" vertical="center"/>
    </xf>
    <xf numFmtId="0" fontId="126" fillId="33" borderId="178" xfId="0" applyFont="1" applyFill="1" applyBorder="1" applyAlignment="1" applyProtection="1">
      <alignment horizontal="center" vertical="center"/>
    </xf>
    <xf numFmtId="0" fontId="0" fillId="0" borderId="178" xfId="0" applyBorder="1" applyAlignment="1">
      <alignment horizontal="center" vertical="center"/>
    </xf>
    <xf numFmtId="0" fontId="126" fillId="33" borderId="179" xfId="0" applyFont="1" applyFill="1" applyBorder="1" applyAlignment="1" applyProtection="1">
      <alignment horizontal="center" vertical="center"/>
    </xf>
    <xf numFmtId="0" fontId="126" fillId="33" borderId="180" xfId="0" applyFont="1" applyFill="1" applyBorder="1" applyAlignment="1" applyProtection="1">
      <alignment horizontal="center" vertical="center"/>
    </xf>
    <xf numFmtId="0" fontId="126" fillId="33" borderId="181" xfId="0" applyFont="1" applyFill="1" applyBorder="1" applyAlignment="1" applyProtection="1">
      <alignment horizontal="center" vertical="center"/>
    </xf>
    <xf numFmtId="9" fontId="2" fillId="0" borderId="158" xfId="112" applyNumberFormat="1" applyFont="1" applyFill="1" applyBorder="1" applyAlignment="1" applyProtection="1">
      <alignment horizontal="left" vertical="center" wrapText="1"/>
    </xf>
    <xf numFmtId="0" fontId="2" fillId="0" borderId="159" xfId="112" applyNumberFormat="1" applyFont="1" applyFill="1" applyBorder="1" applyAlignment="1" applyProtection="1">
      <alignment horizontal="left" vertical="center" wrapText="1"/>
    </xf>
    <xf numFmtId="0" fontId="2" fillId="0" borderId="160" xfId="112" applyNumberFormat="1" applyFont="1" applyFill="1" applyBorder="1" applyAlignment="1" applyProtection="1">
      <alignment horizontal="left" vertical="center" wrapText="1"/>
    </xf>
    <xf numFmtId="0" fontId="2" fillId="0" borderId="158" xfId="112" applyNumberFormat="1" applyFont="1" applyFill="1" applyBorder="1" applyAlignment="1" applyProtection="1">
      <alignment horizontal="left" vertical="center" wrapText="1"/>
    </xf>
    <xf numFmtId="0" fontId="80" fillId="0" borderId="174" xfId="0" applyNumberFormat="1" applyFont="1" applyFill="1" applyBorder="1" applyAlignment="1" applyProtection="1">
      <alignment horizontal="left" vertical="top" wrapText="1"/>
    </xf>
    <xf numFmtId="0" fontId="80" fillId="0" borderId="175" xfId="0" applyNumberFormat="1" applyFont="1" applyFill="1" applyBorder="1" applyAlignment="1" applyProtection="1">
      <alignment horizontal="left" vertical="top" wrapText="1"/>
    </xf>
    <xf numFmtId="0" fontId="60" fillId="31" borderId="161" xfId="0" applyFont="1" applyFill="1" applyBorder="1" applyAlignment="1" applyProtection="1">
      <alignment horizontal="center" vertical="center"/>
    </xf>
    <xf numFmtId="0" fontId="60" fillId="31" borderId="162" xfId="0" applyFont="1" applyFill="1" applyBorder="1" applyAlignment="1" applyProtection="1">
      <alignment horizontal="center" vertical="center"/>
    </xf>
    <xf numFmtId="0" fontId="60" fillId="31" borderId="163" xfId="0" applyFont="1" applyFill="1" applyBorder="1" applyAlignment="1" applyProtection="1">
      <alignment horizontal="center" vertical="center"/>
    </xf>
    <xf numFmtId="0" fontId="80" fillId="0" borderId="164" xfId="0" applyNumberFormat="1" applyFont="1" applyFill="1" applyBorder="1" applyAlignment="1" applyProtection="1">
      <alignment horizontal="left" vertical="center" wrapText="1"/>
    </xf>
    <xf numFmtId="0" fontId="80" fillId="0" borderId="165" xfId="0" applyNumberFormat="1" applyFont="1" applyFill="1" applyBorder="1" applyAlignment="1" applyProtection="1">
      <alignment horizontal="left" vertical="center" wrapText="1"/>
    </xf>
    <xf numFmtId="0" fontId="80" fillId="0" borderId="166" xfId="0" applyNumberFormat="1" applyFont="1" applyFill="1" applyBorder="1" applyAlignment="1" applyProtection="1">
      <alignment horizontal="left" vertical="center" wrapText="1"/>
    </xf>
    <xf numFmtId="0" fontId="2" fillId="31" borderId="185" xfId="0" applyFont="1" applyFill="1" applyBorder="1" applyAlignment="1" applyProtection="1">
      <alignment horizontal="center" vertical="top" wrapText="1"/>
      <protection locked="0"/>
    </xf>
    <xf numFmtId="0" fontId="2" fillId="31" borderId="186" xfId="0" applyFont="1" applyFill="1" applyBorder="1" applyAlignment="1" applyProtection="1">
      <alignment horizontal="center" vertical="top" wrapText="1"/>
      <protection locked="0"/>
    </xf>
    <xf numFmtId="0" fontId="2" fillId="31" borderId="187" xfId="0" applyFont="1" applyFill="1" applyBorder="1" applyAlignment="1" applyProtection="1">
      <alignment horizontal="center" vertical="top" wrapText="1"/>
      <protection locked="0"/>
    </xf>
    <xf numFmtId="0" fontId="99" fillId="30" borderId="221" xfId="0" applyFont="1" applyFill="1" applyBorder="1" applyAlignment="1">
      <alignment horizontal="center" vertical="center" textRotation="90"/>
    </xf>
    <xf numFmtId="0" fontId="0" fillId="30" borderId="96" xfId="0" applyFill="1" applyBorder="1" applyAlignment="1">
      <alignment horizontal="center" vertical="center" textRotation="90"/>
    </xf>
    <xf numFmtId="0" fontId="0" fillId="30" borderId="113" xfId="0" applyFill="1" applyBorder="1" applyAlignment="1">
      <alignment horizontal="center" vertical="center" textRotation="90"/>
    </xf>
    <xf numFmtId="0" fontId="77" fillId="30" borderId="226" xfId="109" applyNumberFormat="1" applyFont="1" applyFill="1" applyBorder="1" applyAlignment="1">
      <alignment horizontal="center" vertical="center" wrapText="1"/>
    </xf>
    <xf numFmtId="0" fontId="77" fillId="30" borderId="15" xfId="109" applyNumberFormat="1" applyFont="1" applyFill="1" applyBorder="1" applyAlignment="1">
      <alignment horizontal="center" vertical="center" wrapText="1"/>
    </xf>
    <xf numFmtId="0" fontId="21" fillId="0" borderId="219"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33" fillId="0" borderId="0" xfId="0" applyFont="1" applyAlignment="1">
      <alignment horizontal="center"/>
    </xf>
    <xf numFmtId="0" fontId="77" fillId="30" borderId="223" xfId="109" applyNumberFormat="1" applyFont="1" applyFill="1" applyBorder="1" applyAlignment="1">
      <alignment horizontal="center" vertical="center" wrapText="1"/>
    </xf>
    <xf numFmtId="0" fontId="77" fillId="30" borderId="224" xfId="109" applyNumberFormat="1" applyFont="1" applyFill="1" applyBorder="1" applyAlignment="1">
      <alignment horizontal="center" vertical="center" wrapText="1"/>
    </xf>
    <xf numFmtId="0" fontId="77" fillId="30" borderId="225" xfId="109" applyNumberFormat="1" applyFont="1" applyFill="1" applyBorder="1" applyAlignment="1">
      <alignment horizontal="center" vertical="center" wrapText="1"/>
    </xf>
    <xf numFmtId="0" fontId="21" fillId="0" borderId="220" xfId="0" applyFont="1" applyFill="1" applyBorder="1" applyAlignment="1" applyProtection="1">
      <alignment horizontal="left"/>
      <protection locked="0"/>
    </xf>
    <xf numFmtId="0" fontId="21" fillId="0" borderId="214" xfId="0" applyFont="1" applyFill="1" applyBorder="1" applyAlignment="1" applyProtection="1">
      <alignment horizontal="left"/>
      <protection locked="0"/>
    </xf>
    <xf numFmtId="0" fontId="21" fillId="0" borderId="219" xfId="0" applyFont="1" applyBorder="1" applyAlignment="1" applyProtection="1">
      <alignment horizontal="left"/>
      <protection locked="0"/>
    </xf>
    <xf numFmtId="0" fontId="21" fillId="0" borderId="212" xfId="0" applyFont="1" applyBorder="1" applyAlignment="1" applyProtection="1">
      <alignment horizontal="left"/>
      <protection locked="0"/>
    </xf>
    <xf numFmtId="0" fontId="21" fillId="0" borderId="227" xfId="0" applyFont="1" applyFill="1" applyBorder="1" applyAlignment="1" applyProtection="1">
      <alignment horizontal="left" vertical="top" wrapText="1"/>
      <protection locked="0"/>
    </xf>
    <xf numFmtId="0" fontId="21" fillId="0" borderId="228" xfId="0" applyFont="1" applyFill="1" applyBorder="1" applyAlignment="1" applyProtection="1">
      <alignment horizontal="left" vertical="top" wrapText="1"/>
      <protection locked="0"/>
    </xf>
    <xf numFmtId="0" fontId="21" fillId="0" borderId="229" xfId="0" applyFont="1" applyFill="1" applyBorder="1" applyAlignment="1" applyProtection="1">
      <alignment horizontal="left" vertical="top" wrapText="1"/>
      <protection locked="0"/>
    </xf>
    <xf numFmtId="0" fontId="21" fillId="0" borderId="230" xfId="0" applyFont="1" applyFill="1" applyBorder="1" applyAlignment="1" applyProtection="1">
      <alignment horizontal="left" vertical="top" wrapText="1"/>
      <protection locked="0"/>
    </xf>
    <xf numFmtId="0" fontId="21" fillId="0" borderId="194" xfId="0" applyFont="1" applyFill="1" applyBorder="1" applyAlignment="1" applyProtection="1">
      <alignment horizontal="left" vertical="top" wrapText="1"/>
      <protection locked="0"/>
    </xf>
    <xf numFmtId="0" fontId="21" fillId="0" borderId="231" xfId="0" applyFont="1" applyFill="1" applyBorder="1" applyAlignment="1" applyProtection="1">
      <alignment horizontal="left" vertical="top" wrapText="1"/>
      <protection locked="0"/>
    </xf>
    <xf numFmtId="0" fontId="21" fillId="0" borderId="217" xfId="0" applyFont="1" applyFill="1" applyBorder="1" applyAlignment="1" applyProtection="1">
      <alignment horizontal="left"/>
      <protection locked="0"/>
    </xf>
    <xf numFmtId="0" fontId="21" fillId="0" borderId="159" xfId="0" applyFont="1" applyFill="1" applyBorder="1" applyAlignment="1" applyProtection="1">
      <alignment horizontal="left"/>
      <protection locked="0"/>
    </xf>
    <xf numFmtId="0" fontId="21" fillId="0" borderId="218" xfId="0" applyFont="1" applyFill="1" applyBorder="1" applyAlignment="1" applyProtection="1">
      <alignment horizontal="left"/>
      <protection locked="0"/>
    </xf>
    <xf numFmtId="0" fontId="21" fillId="0" borderId="232" xfId="0" applyFont="1" applyFill="1" applyBorder="1" applyAlignment="1" applyProtection="1">
      <alignment horizontal="left"/>
      <protection locked="0"/>
    </xf>
    <xf numFmtId="0" fontId="21" fillId="0" borderId="233" xfId="0" applyFont="1" applyFill="1" applyBorder="1" applyAlignment="1" applyProtection="1">
      <alignment horizontal="left"/>
      <protection locked="0"/>
    </xf>
    <xf numFmtId="0" fontId="21" fillId="0" borderId="234" xfId="0" applyFont="1" applyFill="1" applyBorder="1" applyAlignment="1" applyProtection="1">
      <alignment horizontal="left"/>
      <protection locked="0"/>
    </xf>
    <xf numFmtId="0" fontId="21" fillId="0" borderId="159" xfId="0" applyFont="1" applyFill="1" applyBorder="1" applyAlignment="1" applyProtection="1">
      <alignment horizontal="left" vertical="center" wrapText="1"/>
      <protection locked="0"/>
    </xf>
    <xf numFmtId="0" fontId="21" fillId="0" borderId="218" xfId="0" applyFont="1" applyFill="1" applyBorder="1" applyAlignment="1" applyProtection="1">
      <alignment horizontal="left" vertical="center" wrapText="1"/>
      <protection locked="0"/>
    </xf>
    <xf numFmtId="0" fontId="21" fillId="0" borderId="233" xfId="0" applyFont="1" applyFill="1" applyBorder="1" applyAlignment="1" applyProtection="1">
      <alignment horizontal="left" vertical="center" wrapText="1"/>
      <protection locked="0"/>
    </xf>
    <xf numFmtId="0" fontId="21" fillId="0" borderId="234" xfId="0" applyFont="1" applyFill="1" applyBorder="1" applyAlignment="1" applyProtection="1">
      <alignment horizontal="left" vertical="center" wrapText="1"/>
      <protection locked="0"/>
    </xf>
    <xf numFmtId="0" fontId="21" fillId="0" borderId="222" xfId="0" applyFont="1" applyBorder="1" applyAlignment="1" applyProtection="1">
      <alignment horizontal="left"/>
      <protection locked="0"/>
    </xf>
    <xf numFmtId="0" fontId="21" fillId="0" borderId="41" xfId="0" applyFont="1" applyBorder="1" applyAlignment="1" applyProtection="1">
      <alignment horizontal="left"/>
      <protection locked="0"/>
    </xf>
    <xf numFmtId="0" fontId="21" fillId="0" borderId="41" xfId="0" applyFont="1" applyFill="1" applyBorder="1" applyAlignment="1" applyProtection="1">
      <alignment horizontal="left"/>
      <protection locked="0"/>
    </xf>
    <xf numFmtId="0" fontId="21" fillId="0" borderId="222" xfId="0" applyFont="1" applyFill="1" applyBorder="1" applyAlignment="1" applyProtection="1">
      <alignment horizontal="left"/>
      <protection locked="0"/>
    </xf>
    <xf numFmtId="0" fontId="21" fillId="0" borderId="235" xfId="0" applyFont="1" applyFill="1" applyBorder="1" applyAlignment="1" applyProtection="1">
      <alignment horizontal="left" vertical="top" wrapText="1"/>
      <protection locked="0"/>
    </xf>
    <xf numFmtId="0" fontId="21" fillId="0" borderId="236" xfId="0" applyFont="1" applyFill="1" applyBorder="1" applyAlignment="1" applyProtection="1">
      <alignment horizontal="left" vertical="top" wrapText="1"/>
      <protection locked="0"/>
    </xf>
    <xf numFmtId="0" fontId="21" fillId="0" borderId="237" xfId="0" applyFont="1" applyFill="1" applyBorder="1" applyAlignment="1" applyProtection="1">
      <alignment horizontal="left" vertical="top" wrapText="1"/>
      <protection locked="0"/>
    </xf>
    <xf numFmtId="0" fontId="21" fillId="0" borderId="238" xfId="0" applyFont="1" applyFill="1" applyBorder="1" applyAlignment="1" applyProtection="1">
      <alignment horizontal="left" vertical="top" wrapText="1"/>
      <protection locked="0"/>
    </xf>
    <xf numFmtId="0" fontId="21" fillId="0" borderId="220" xfId="0" applyFont="1" applyBorder="1" applyAlignment="1" applyProtection="1">
      <alignment horizontal="left"/>
      <protection locked="0"/>
    </xf>
    <xf numFmtId="0" fontId="21" fillId="0" borderId="214" xfId="0" applyFont="1" applyBorder="1" applyAlignment="1" applyProtection="1">
      <alignment horizontal="left"/>
      <protection locked="0"/>
    </xf>
    <xf numFmtId="0" fontId="21" fillId="0" borderId="213" xfId="0" applyFont="1" applyFill="1" applyBorder="1" applyAlignment="1" applyProtection="1">
      <alignment horizontal="left"/>
      <protection locked="0"/>
    </xf>
    <xf numFmtId="0" fontId="77" fillId="30" borderId="211" xfId="109" applyNumberFormat="1" applyFont="1" applyFill="1" applyBorder="1" applyAlignment="1">
      <alignment horizontal="center" vertical="center" wrapText="1"/>
    </xf>
    <xf numFmtId="0" fontId="21" fillId="0" borderId="215" xfId="0" applyFont="1" applyFill="1" applyBorder="1" applyAlignment="1" applyProtection="1">
      <alignment horizontal="left"/>
      <protection locked="0"/>
    </xf>
    <xf numFmtId="0" fontId="21" fillId="0" borderId="213" xfId="0" applyFont="1" applyBorder="1" applyAlignment="1" applyProtection="1">
      <alignment horizontal="left"/>
      <protection locked="0"/>
    </xf>
    <xf numFmtId="0" fontId="21" fillId="0" borderId="216" xfId="0" applyFont="1" applyBorder="1" applyAlignment="1" applyProtection="1">
      <alignment horizontal="left"/>
      <protection locked="0"/>
    </xf>
    <xf numFmtId="43" fontId="15" fillId="40" borderId="0" xfId="119" applyFont="1" applyFill="1" applyBorder="1" applyAlignment="1" applyProtection="1">
      <alignment horizontal="center"/>
      <protection locked="0"/>
    </xf>
    <xf numFmtId="0" fontId="21" fillId="0" borderId="216" xfId="0" applyFont="1" applyFill="1" applyBorder="1" applyAlignment="1" applyProtection="1">
      <alignment horizontal="left"/>
      <protection locked="0"/>
    </xf>
    <xf numFmtId="0" fontId="0" fillId="31" borderId="116" xfId="0" applyFill="1" applyBorder="1" applyAlignment="1" applyProtection="1">
      <alignment horizontal="center"/>
      <protection locked="0"/>
    </xf>
    <xf numFmtId="0" fontId="0" fillId="31" borderId="117" xfId="0" applyFill="1" applyBorder="1" applyAlignment="1" applyProtection="1">
      <alignment horizontal="center"/>
      <protection locked="0"/>
    </xf>
    <xf numFmtId="0" fontId="0" fillId="31" borderId="118" xfId="0" applyFill="1" applyBorder="1" applyAlignment="1" applyProtection="1">
      <alignment horizontal="center"/>
      <protection locked="0"/>
    </xf>
    <xf numFmtId="0" fontId="0" fillId="31" borderId="70" xfId="0" applyFill="1" applyBorder="1" applyAlignment="1" applyProtection="1">
      <alignment horizontal="center"/>
      <protection locked="0"/>
    </xf>
    <xf numFmtId="0" fontId="0" fillId="31" borderId="110" xfId="0" applyFill="1" applyBorder="1" applyAlignment="1" applyProtection="1">
      <alignment horizontal="center"/>
      <protection locked="0"/>
    </xf>
    <xf numFmtId="0" fontId="0" fillId="31" borderId="112" xfId="0" applyFill="1" applyBorder="1" applyAlignment="1" applyProtection="1">
      <alignment horizontal="center"/>
      <protection locked="0"/>
    </xf>
    <xf numFmtId="0" fontId="21" fillId="0" borderId="215" xfId="0" applyFont="1" applyBorder="1" applyAlignment="1" applyProtection="1">
      <alignment horizontal="left"/>
      <protection locked="0"/>
    </xf>
    <xf numFmtId="43" fontId="17" fillId="41" borderId="0" xfId="81" applyFont="1" applyFill="1" applyAlignment="1">
      <alignment horizontal="center" vertical="center"/>
    </xf>
  </cellXfs>
  <cellStyles count="153">
    <cellStyle name="_TB_Calc_number" xfId="1"/>
    <cellStyle name="_TB_Calc_percent" xfId="2"/>
    <cellStyle name="_TB_def_number" xfId="3"/>
    <cellStyle name="_TB_def_percent" xfId="4"/>
    <cellStyle name="_TB_subtitle2" xfId="5"/>
    <cellStyle name="20% - Accent1" xfId="6"/>
    <cellStyle name="20% - Accent2" xfId="7"/>
    <cellStyle name="20% - Accent3" xfId="8"/>
    <cellStyle name="20% - Accent4" xfId="9"/>
    <cellStyle name="20% - Accent5" xfId="10"/>
    <cellStyle name="20% - Accent6" xfId="11"/>
    <cellStyle name="20% - Акцент1" xfId="12"/>
    <cellStyle name="20% - Акцент2" xfId="13"/>
    <cellStyle name="20% - Акцент3" xfId="14"/>
    <cellStyle name="20% - Акцент4" xfId="15"/>
    <cellStyle name="20% - Акцент5" xfId="16"/>
    <cellStyle name="20% - Акцент6" xfId="17"/>
    <cellStyle name="40% - Accent1" xfId="18"/>
    <cellStyle name="40% - Accent2" xfId="19"/>
    <cellStyle name="40% - Accent3" xfId="20"/>
    <cellStyle name="40% - Accent4" xfId="21"/>
    <cellStyle name="40% - Accent5" xfId="22"/>
    <cellStyle name="40% - Accent6" xfId="23"/>
    <cellStyle name="40% - Акцент1" xfId="24"/>
    <cellStyle name="40% - Акцент2" xfId="25"/>
    <cellStyle name="40% - Акцент3" xfId="26"/>
    <cellStyle name="40% - Акцент4" xfId="27"/>
    <cellStyle name="40% - Акцент5" xfId="28"/>
    <cellStyle name="40% - Акцент6" xfId="29"/>
    <cellStyle name="60% - Accent1" xfId="30"/>
    <cellStyle name="60% - Accent2" xfId="31"/>
    <cellStyle name="60% - Accent3" xfId="32"/>
    <cellStyle name="60% - Accent4" xfId="33"/>
    <cellStyle name="60% - Accent5" xfId="34"/>
    <cellStyle name="60% - Accent6" xfId="35"/>
    <cellStyle name="60% - Акцент1" xfId="36"/>
    <cellStyle name="60% - Акцент2" xfId="37"/>
    <cellStyle name="60% - Акцент3" xfId="38"/>
    <cellStyle name="60% - Акцент4" xfId="39"/>
    <cellStyle name="60% - Акцент5" xfId="40"/>
    <cellStyle name="60% - Акцент6" xfId="41"/>
    <cellStyle name="Accent1" xfId="42"/>
    <cellStyle name="Accent2" xfId="43"/>
    <cellStyle name="Accent3" xfId="44"/>
    <cellStyle name="Accent4" xfId="45"/>
    <cellStyle name="Accent5" xfId="46"/>
    <cellStyle name="Accent6" xfId="47"/>
    <cellStyle name="Bad" xfId="48"/>
    <cellStyle name="Calculation" xfId="49"/>
    <cellStyle name="Check Cell" xfId="50"/>
    <cellStyle name="Comma" xfId="51" builtinId="3"/>
    <cellStyle name="Comma 2" xfId="52"/>
    <cellStyle name="Comma 2 2" xfId="53"/>
    <cellStyle name="Comma 2 3" xfId="54"/>
    <cellStyle name="Comma 3" xfId="55"/>
    <cellStyle name="Comma 3 2" xfId="56"/>
    <cellStyle name="Comma 4" xfId="57"/>
    <cellStyle name="Comma 5" xfId="58"/>
    <cellStyle name="Comma 5 2" xfId="59"/>
    <cellStyle name="Comma 6" xfId="60"/>
    <cellStyle name="Comma 6 2" xfId="61"/>
    <cellStyle name="Comma 7" xfId="62"/>
    <cellStyle name="Comma 8" xfId="63"/>
    <cellStyle name="Currency 2" xfId="64"/>
    <cellStyle name="Currency 3" xfId="65"/>
    <cellStyle name="Euro" xfId="66"/>
    <cellStyle name="Explanatory Text" xfId="67"/>
    <cellStyle name="Followed Hyperlink" xfId="150" builtinId="9" hidden="1"/>
    <cellStyle name="Followed Hyperlink" xfId="152" builtinId="9" hidden="1"/>
    <cellStyle name="Good" xfId="68"/>
    <cellStyle name="Heading 1" xfId="69"/>
    <cellStyle name="Heading 2" xfId="70"/>
    <cellStyle name="Heading 3" xfId="71"/>
    <cellStyle name="Heading 4" xfId="72"/>
    <cellStyle name="Hyperlink" xfId="149" builtinId="8" hidden="1"/>
    <cellStyle name="Hyperlink" xfId="151" builtinId="8" hidden="1"/>
    <cellStyle name="Hyperlink 2" xfId="73"/>
    <cellStyle name="Hyperlink 3" xfId="74"/>
    <cellStyle name="Input" xfId="75"/>
    <cellStyle name="Linked Cell" xfId="76"/>
    <cellStyle name="Millares 2" xfId="77"/>
    <cellStyle name="Normal" xfId="0" builtinId="0"/>
    <cellStyle name="Normal 10" xfId="78"/>
    <cellStyle name="Normal 11" xfId="79"/>
    <cellStyle name="Normal 12" xfId="80"/>
    <cellStyle name="Normal 2" xfId="81"/>
    <cellStyle name="Normal 2 2" xfId="82"/>
    <cellStyle name="Normal 2 2 2" xfId="83"/>
    <cellStyle name="Normal 2 3" xfId="84"/>
    <cellStyle name="Normal 2 3 2" xfId="85"/>
    <cellStyle name="Normal 2 4" xfId="86"/>
    <cellStyle name="Normal 2 4 2" xfId="87"/>
    <cellStyle name="Normal 2 5" xfId="88"/>
    <cellStyle name="Normal 2 6" xfId="89"/>
    <cellStyle name="Normal 2 7" xfId="90"/>
    <cellStyle name="Normal 2 8" xfId="91"/>
    <cellStyle name="Normal 2_Dashboard ver 2.2 ES" xfId="92"/>
    <cellStyle name="Normal 2_Prototipo" xfId="93"/>
    <cellStyle name="Normal 3" xfId="94"/>
    <cellStyle name="Normal 3 2" xfId="95"/>
    <cellStyle name="Normal 3 3" xfId="96"/>
    <cellStyle name="Normal 4" xfId="97"/>
    <cellStyle name="Normal 4 2" xfId="98"/>
    <cellStyle name="Normal 5" xfId="99"/>
    <cellStyle name="Normal 5 2" xfId="100"/>
    <cellStyle name="Normal 5 3" xfId="101"/>
    <cellStyle name="Normal 5 4" xfId="102"/>
    <cellStyle name="Normal 6" xfId="103"/>
    <cellStyle name="Normal 6 2" xfId="104"/>
    <cellStyle name="Normal 7 2" xfId="105"/>
    <cellStyle name="Normal 7 3" xfId="106"/>
    <cellStyle name="Normal 8 2" xfId="107"/>
    <cellStyle name="Normal 9" xfId="108"/>
    <cellStyle name="Normal_TZ_R3HIV_Phase_2_21_August_08" xfId="109"/>
    <cellStyle name="Note" xfId="110"/>
    <cellStyle name="Output" xfId="111"/>
    <cellStyle name="Percent" xfId="112" builtinId="5"/>
    <cellStyle name="Percent 2" xfId="113"/>
    <cellStyle name="Percent 3" xfId="114"/>
    <cellStyle name="Percent 4" xfId="115"/>
    <cellStyle name="Title" xfId="116"/>
    <cellStyle name="Título 3 3" xfId="117"/>
    <cellStyle name="Título 3 3_Prototipo" xfId="118"/>
    <cellStyle name="Título 3 3_PrototipoRep1" xfId="119"/>
    <cellStyle name="Título 3 7" xfId="120"/>
    <cellStyle name="Warning Text" xfId="121"/>
    <cellStyle name="Акцент1" xfId="122"/>
    <cellStyle name="Акцент2" xfId="123"/>
    <cellStyle name="Акцент3" xfId="124"/>
    <cellStyle name="Акцент4" xfId="125"/>
    <cellStyle name="Акцент5" xfId="126"/>
    <cellStyle name="Акцент6" xfId="127"/>
    <cellStyle name="Ввод " xfId="128"/>
    <cellStyle name="Вывод" xfId="129"/>
    <cellStyle name="Вычисление" xfId="130"/>
    <cellStyle name="Заголовок 1" xfId="131"/>
    <cellStyle name="Заголовок 2" xfId="132"/>
    <cellStyle name="Заголовок 3" xfId="133"/>
    <cellStyle name="Заголовок 4" xfId="134"/>
    <cellStyle name="Итог" xfId="135"/>
    <cellStyle name="Контрольная ячейка" xfId="136"/>
    <cellStyle name="Название" xfId="137"/>
    <cellStyle name="Нейтральный" xfId="138"/>
    <cellStyle name="Обычный 2" xfId="139"/>
    <cellStyle name="Обычный 3" xfId="140"/>
    <cellStyle name="Обычный_Книга1" xfId="141"/>
    <cellStyle name="Плохой" xfId="142"/>
    <cellStyle name="Пояснение" xfId="143"/>
    <cellStyle name="Примечание" xfId="144"/>
    <cellStyle name="Связанная ячейка" xfId="145"/>
    <cellStyle name="Текст предупреждения" xfId="146"/>
    <cellStyle name="Финансовый_AZE budget templates 21 May" xfId="147"/>
    <cellStyle name="Хороший" xfId="148"/>
  </cellStyles>
  <dxfs count="46">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9"/>
          <c:y val="5.2401746724890799E-2"/>
          <c:w val="0.80996068152031397"/>
          <c:h val="0.64192139737991305"/>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dist="35921" dir="2700000" algn="br">
                <a:srgbClr val="000000"/>
              </a:outerShdw>
            </a:effectLst>
          </c:spPr>
          <c:invertIfNegative val="0"/>
          <c:val>
            <c:numRef>
              <c:f>'Data Entry'!$C$33:$N$33</c:f>
              <c:numCache>
                <c:formatCode>#,##0</c:formatCode>
                <c:ptCount val="12"/>
                <c:pt idx="0">
                  <c:v>444558.86488592584</c:v>
                </c:pt>
                <c:pt idx="1">
                  <c:v>2614252.7382121803</c:v>
                </c:pt>
                <c:pt idx="2">
                  <c:v>4152069.7032671967</c:v>
                </c:pt>
                <c:pt idx="3">
                  <c:v>5689012.4282572595</c:v>
                </c:pt>
                <c:pt idx="4">
                  <c:v>6394927.0583475037</c:v>
                </c:pt>
                <c:pt idx="5">
                  <c:v>7919472.7608304648</c:v>
                </c:pt>
                <c:pt idx="6">
                  <c:v>9028395.1391595956</c:v>
                </c:pt>
                <c:pt idx="7">
                  <c:v>9501436.9106648564</c:v>
                </c:pt>
                <c:pt idx="8">
                  <c:v>10016978.378472121</c:v>
                </c:pt>
                <c:pt idx="9">
                  <c:v>11019203.663233975</c:v>
                </c:pt>
                <c:pt idx="10">
                  <c:v>11784104.165788259</c:v>
                </c:pt>
                <c:pt idx="11">
                  <c:v>12125490.680567253</c:v>
                </c:pt>
              </c:numCache>
            </c:numRef>
          </c:val>
          <c:extLst xmlns:c16r2="http://schemas.microsoft.com/office/drawing/2015/06/chart">
            <c:ext xmlns:c16="http://schemas.microsoft.com/office/drawing/2014/chart" uri="{C3380CC4-5D6E-409C-BE32-E72D297353CC}">
              <c16:uniqueId val="{00000000-C637-4995-9B41-6FCF3D1A01ED}"/>
            </c:ext>
          </c:extLst>
        </c:ser>
        <c:ser>
          <c:idx val="1"/>
          <c:order val="1"/>
          <c:tx>
            <c:strRef>
              <c:f>'Data Entry'!$B$34</c:f>
              <c:strCache>
                <c:ptCount val="1"/>
                <c:pt idx="0">
                  <c:v>Cumulative disbursements</c:v>
                </c:pt>
              </c:strCache>
            </c:strRef>
          </c:tx>
          <c:spPr>
            <a:solidFill>
              <a:srgbClr val="0070C0"/>
            </a:solidFill>
            <a:ln w="3175">
              <a:solidFill>
                <a:srgbClr val="000000"/>
              </a:solidFill>
              <a:prstDash val="solid"/>
            </a:ln>
            <a:effectLst>
              <a:outerShdw dist="35921" dir="2700000" algn="br">
                <a:srgbClr val="000000"/>
              </a:outerShdw>
            </a:effectLst>
          </c:spPr>
          <c:invertIfNegative val="0"/>
          <c:val>
            <c:numRef>
              <c:f>'Data Entry'!$C$34:$N$34</c:f>
              <c:numCache>
                <c:formatCode>#,##0</c:formatCode>
                <c:ptCount val="12"/>
                <c:pt idx="0">
                  <c:v>872563</c:v>
                </c:pt>
                <c:pt idx="1">
                  <c:v>872563</c:v>
                </c:pt>
                <c:pt idx="2">
                  <c:v>4143118</c:v>
                </c:pt>
                <c:pt idx="3">
                  <c:v>5705060</c:v>
                </c:pt>
                <c:pt idx="4">
                  <c:v>6360975</c:v>
                </c:pt>
                <c:pt idx="5">
                  <c:v>7885521</c:v>
                </c:pt>
                <c:pt idx="6">
                  <c:v>7885521</c:v>
                </c:pt>
                <c:pt idx="7">
                  <c:v>8039370.3399999999</c:v>
                </c:pt>
                <c:pt idx="8">
                  <c:v>8039370.3399999999</c:v>
                </c:pt>
                <c:pt idx="9">
                  <c:v>8039370.3399999999</c:v>
                </c:pt>
                <c:pt idx="10">
                  <c:v>8039370.3399999999</c:v>
                </c:pt>
                <c:pt idx="11">
                  <c:v>8039370.3399999999</c:v>
                </c:pt>
              </c:numCache>
            </c:numRef>
          </c:val>
          <c:extLst xmlns:c16r2="http://schemas.microsoft.com/office/drawing/2015/06/chart">
            <c:ext xmlns:c16="http://schemas.microsoft.com/office/drawing/2014/chart" uri="{C3380CC4-5D6E-409C-BE32-E72D297353CC}">
              <c16:uniqueId val="{00000001-C637-4995-9B41-6FCF3D1A01ED}"/>
            </c:ext>
          </c:extLst>
        </c:ser>
        <c:dLbls>
          <c:showLegendKey val="0"/>
          <c:showVal val="0"/>
          <c:showCatName val="0"/>
          <c:showSerName val="0"/>
          <c:showPercent val="0"/>
          <c:showBubbleSize val="0"/>
        </c:dLbls>
        <c:gapWidth val="70"/>
        <c:axId val="-547080784"/>
        <c:axId val="-547074800"/>
      </c:barChart>
      <c:catAx>
        <c:axId val="-547080784"/>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5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547074800"/>
        <c:crosses val="autoZero"/>
        <c:auto val="1"/>
        <c:lblAlgn val="ctr"/>
        <c:lblOffset val="100"/>
        <c:tickLblSkip val="1"/>
        <c:tickMarkSkip val="1"/>
        <c:noMultiLvlLbl val="0"/>
      </c:catAx>
      <c:valAx>
        <c:axId val="-54707480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547080784"/>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675" b="0" i="0" u="none" strike="noStrike" baseline="0">
                <a:solidFill>
                  <a:srgbClr val="000000"/>
                </a:solidFill>
                <a:latin typeface="Arial"/>
                <a:ea typeface="Arial"/>
                <a:cs typeface="Arial"/>
              </a:defRPr>
            </a:pPr>
            <a:endParaRPr lang="en-US"/>
          </a:p>
        </c:txPr>
      </c:legendEntry>
      <c:legendEntry>
        <c:idx val="1"/>
        <c:txPr>
          <a:bodyPr/>
          <a:lstStyle/>
          <a:p>
            <a:pPr>
              <a:defRPr sz="675" b="0" i="0" u="none" strike="noStrike" baseline="0">
                <a:solidFill>
                  <a:srgbClr val="000000"/>
                </a:solidFill>
                <a:latin typeface="Arial"/>
                <a:ea typeface="Arial"/>
                <a:cs typeface="Arial"/>
              </a:defRPr>
            </a:pPr>
            <a:endParaRPr lang="en-US"/>
          </a:p>
        </c:txPr>
      </c:legendEntry>
      <c:layout>
        <c:manualLayout>
          <c:xMode val="edge"/>
          <c:yMode val="edge"/>
          <c:x val="7.8536504926412995E-2"/>
          <c:y val="0.86029364233400996"/>
          <c:w val="0.845576672025944"/>
          <c:h val="0.10480716111359401"/>
        </c:manualLayout>
      </c:layout>
      <c:overlay val="0"/>
      <c:spPr>
        <a:solidFill>
          <a:srgbClr val="FFFFFF"/>
        </a:solidFill>
        <a:ln w="3175">
          <a:solidFill>
            <a:srgbClr val="000000"/>
          </a:solidFill>
          <a:prstDash val="solid"/>
        </a:ln>
      </c:spPr>
      <c:txPr>
        <a:bodyPr/>
        <a:lstStyle/>
        <a:p>
          <a:pPr>
            <a:defRPr sz="48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Entry'!$G$122</c:f>
              <c:strCache>
                <c:ptCount val="1"/>
              </c:strCache>
            </c:strRef>
          </c:tx>
          <c:spPr>
            <a:solidFill>
              <a:srgbClr val="0066CC"/>
            </a:solidFill>
            <a:ln w="25400">
              <a:noFill/>
            </a:ln>
          </c:spPr>
          <c:invertIfNegative val="0"/>
          <c:val>
            <c:numRef>
              <c:f>'Data Entry'!$H$122:$S$122</c:f>
              <c:numCache>
                <c:formatCode>#,##0</c:formatCode>
                <c:ptCount val="12"/>
                <c:pt idx="0">
                  <c:v>75</c:v>
                </c:pt>
                <c:pt idx="1">
                  <c:v>75</c:v>
                </c:pt>
                <c:pt idx="2">
                  <c:v>75</c:v>
                </c:pt>
                <c:pt idx="3">
                  <c:v>75</c:v>
                </c:pt>
                <c:pt idx="4">
                  <c:v>80</c:v>
                </c:pt>
                <c:pt idx="5">
                  <c:v>80</c:v>
                </c:pt>
                <c:pt idx="6">
                  <c:v>80</c:v>
                </c:pt>
                <c:pt idx="7">
                  <c:v>80</c:v>
                </c:pt>
                <c:pt idx="8">
                  <c:v>85</c:v>
                </c:pt>
                <c:pt idx="9">
                  <c:v>85</c:v>
                </c:pt>
                <c:pt idx="10">
                  <c:v>85</c:v>
                </c:pt>
                <c:pt idx="11">
                  <c:v>85</c:v>
                </c:pt>
              </c:numCache>
            </c:numRef>
          </c:val>
          <c:extLst xmlns:c16r2="http://schemas.microsoft.com/office/drawing/2015/06/chart">
            <c:ext xmlns:c16="http://schemas.microsoft.com/office/drawing/2014/chart" uri="{C3380CC4-5D6E-409C-BE32-E72D297353CC}">
              <c16:uniqueId val="{00000000-4FC4-484F-BF0D-E75A9C71DCB5}"/>
            </c:ext>
          </c:extLst>
        </c:ser>
        <c:ser>
          <c:idx val="1"/>
          <c:order val="1"/>
          <c:tx>
            <c:strRef>
              <c:f>'Data Entry'!$G$123</c:f>
              <c:strCache>
                <c:ptCount val="1"/>
              </c:strCache>
            </c:strRef>
          </c:tx>
          <c:spPr>
            <a:solidFill>
              <a:srgbClr val="00CCFF"/>
            </a:solidFill>
            <a:ln w="12700">
              <a:solidFill>
                <a:srgbClr val="000000"/>
              </a:solidFill>
              <a:prstDash val="solid"/>
            </a:ln>
          </c:spPr>
          <c:invertIfNegative val="0"/>
          <c:val>
            <c:numRef>
              <c:f>'Data Entry'!$H$123:$S$123</c:f>
              <c:numCache>
                <c:formatCode>#,##0</c:formatCode>
                <c:ptCount val="12"/>
                <c:pt idx="0">
                  <c:v>97</c:v>
                </c:pt>
                <c:pt idx="1">
                  <c:v>94</c:v>
                </c:pt>
                <c:pt idx="2">
                  <c:v>95</c:v>
                </c:pt>
                <c:pt idx="3">
                  <c:v>93</c:v>
                </c:pt>
                <c:pt idx="4">
                  <c:v>94</c:v>
                </c:pt>
                <c:pt idx="5">
                  <c:v>97</c:v>
                </c:pt>
                <c:pt idx="6">
                  <c:v>94</c:v>
                </c:pt>
                <c:pt idx="7">
                  <c:v>94</c:v>
                </c:pt>
                <c:pt idx="8">
                  <c:v>94</c:v>
                </c:pt>
              </c:numCache>
            </c:numRef>
          </c:val>
          <c:extLst xmlns:c16r2="http://schemas.microsoft.com/office/drawing/2015/06/chart">
            <c:ext xmlns:c16="http://schemas.microsoft.com/office/drawing/2014/chart" uri="{C3380CC4-5D6E-409C-BE32-E72D297353CC}">
              <c16:uniqueId val="{00000001-4FC4-484F-BF0D-E75A9C71DCB5}"/>
            </c:ext>
          </c:extLst>
        </c:ser>
        <c:dLbls>
          <c:showLegendKey val="0"/>
          <c:showVal val="0"/>
          <c:showCatName val="0"/>
          <c:showSerName val="0"/>
          <c:showPercent val="0"/>
          <c:showBubbleSize val="0"/>
        </c:dLbls>
        <c:gapWidth val="150"/>
        <c:axId val="-465151008"/>
        <c:axId val="-465149376"/>
      </c:barChart>
      <c:catAx>
        <c:axId val="-46515100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465149376"/>
        <c:crosses val="autoZero"/>
        <c:auto val="1"/>
        <c:lblAlgn val="ctr"/>
        <c:lblOffset val="100"/>
        <c:tickLblSkip val="1"/>
        <c:tickMarkSkip val="1"/>
        <c:noMultiLvlLbl val="0"/>
      </c:catAx>
      <c:valAx>
        <c:axId val="-465149376"/>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465151008"/>
        <c:crosses val="autoZero"/>
        <c:crossBetween val="between"/>
      </c:valAx>
      <c:spPr>
        <a:noFill/>
        <a:ln w="25400">
          <a:noFill/>
        </a:ln>
      </c:spPr>
    </c:plotArea>
    <c:legend>
      <c:legendPos val="r"/>
      <c:layout>
        <c:manualLayout>
          <c:xMode val="edge"/>
          <c:yMode val="edge"/>
          <c:x val="0.1433614154874"/>
          <c:y val="0.89531544159074405"/>
          <c:w val="0.56295541728612597"/>
          <c:h val="7.3300627997416601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Entry'!$G$118</c:f>
              <c:strCache>
                <c:ptCount val="1"/>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Entry'!$H$118:$S$118</c:f>
              <c:numCache>
                <c:formatCode>0.00</c:formatCode>
                <c:ptCount val="12"/>
                <c:pt idx="0">
                  <c:v>111</c:v>
                </c:pt>
                <c:pt idx="1">
                  <c:v>111</c:v>
                </c:pt>
                <c:pt idx="2">
                  <c:v>111</c:v>
                </c:pt>
                <c:pt idx="3">
                  <c:v>111</c:v>
                </c:pt>
                <c:pt idx="4" formatCode="#,##0.000">
                  <c:v>112</c:v>
                </c:pt>
                <c:pt idx="5" formatCode="#,##0.000">
                  <c:v>112</c:v>
                </c:pt>
                <c:pt idx="6" formatCode="#,##0.000">
                  <c:v>112</c:v>
                </c:pt>
                <c:pt idx="7" formatCode="#,##0.000">
                  <c:v>113</c:v>
                </c:pt>
                <c:pt idx="8" formatCode="#,##0">
                  <c:v>112</c:v>
                </c:pt>
                <c:pt idx="9" formatCode="#,##0">
                  <c:v>113</c:v>
                </c:pt>
                <c:pt idx="10" formatCode="#,##0">
                  <c:v>113</c:v>
                </c:pt>
                <c:pt idx="11" formatCode="#,##0">
                  <c:v>113</c:v>
                </c:pt>
              </c:numCache>
            </c:numRef>
          </c:val>
          <c:extLst xmlns:c16r2="http://schemas.microsoft.com/office/drawing/2015/06/chart">
            <c:ext xmlns:c16="http://schemas.microsoft.com/office/drawing/2014/chart" uri="{C3380CC4-5D6E-409C-BE32-E72D297353CC}">
              <c16:uniqueId val="{00000000-C510-4B11-ABAA-BD97363A3F4C}"/>
            </c:ext>
          </c:extLst>
        </c:ser>
        <c:ser>
          <c:idx val="1"/>
          <c:order val="1"/>
          <c:tx>
            <c:strRef>
              <c:f>'Data Entry'!$G$119</c:f>
              <c:strCache>
                <c:ptCount val="1"/>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Entry'!$H$119:$S$119</c:f>
              <c:numCache>
                <c:formatCode>#,##0</c:formatCode>
                <c:ptCount val="12"/>
                <c:pt idx="0">
                  <c:v>91</c:v>
                </c:pt>
                <c:pt idx="1">
                  <c:v>94</c:v>
                </c:pt>
                <c:pt idx="2">
                  <c:v>66</c:v>
                </c:pt>
                <c:pt idx="3">
                  <c:v>77</c:v>
                </c:pt>
                <c:pt idx="4">
                  <c:v>80</c:v>
                </c:pt>
                <c:pt idx="5">
                  <c:v>72</c:v>
                </c:pt>
                <c:pt idx="6">
                  <c:v>76</c:v>
                </c:pt>
                <c:pt idx="7">
                  <c:v>59</c:v>
                </c:pt>
                <c:pt idx="8">
                  <c:v>75</c:v>
                </c:pt>
              </c:numCache>
            </c:numRef>
          </c:val>
          <c:extLst xmlns:c16r2="http://schemas.microsoft.com/office/drawing/2015/06/chart">
            <c:ext xmlns:c16="http://schemas.microsoft.com/office/drawing/2014/chart" uri="{C3380CC4-5D6E-409C-BE32-E72D297353CC}">
              <c16:uniqueId val="{00000001-C510-4B11-ABAA-BD97363A3F4C}"/>
            </c:ext>
          </c:extLst>
        </c:ser>
        <c:dLbls>
          <c:showLegendKey val="0"/>
          <c:showVal val="0"/>
          <c:showCatName val="0"/>
          <c:showSerName val="0"/>
          <c:showPercent val="0"/>
          <c:showBubbleSize val="0"/>
        </c:dLbls>
        <c:gapWidth val="150"/>
        <c:axId val="-465158624"/>
        <c:axId val="-465152096"/>
      </c:barChart>
      <c:catAx>
        <c:axId val="-46515862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465152096"/>
        <c:crosses val="autoZero"/>
        <c:auto val="1"/>
        <c:lblAlgn val="ctr"/>
        <c:lblOffset val="100"/>
        <c:tickLblSkip val="1"/>
        <c:tickMarkSkip val="1"/>
        <c:noMultiLvlLbl val="0"/>
      </c:catAx>
      <c:valAx>
        <c:axId val="-465152096"/>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465158624"/>
        <c:crosses val="autoZero"/>
        <c:crossBetween val="between"/>
      </c:valAx>
      <c:spPr>
        <a:noFill/>
        <a:ln w="25400">
          <a:noFill/>
        </a:ln>
      </c:spPr>
    </c:plotArea>
    <c:legend>
      <c:legendPos val="r"/>
      <c:layout>
        <c:manualLayout>
          <c:xMode val="edge"/>
          <c:yMode val="edge"/>
          <c:x val="0.15790026246719199"/>
          <c:y val="0.88778402699662595"/>
          <c:w val="0.56493143620205399"/>
          <c:h val="7.1430714017890598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Disbursements to PR</a:t>
            </a:r>
          </a:p>
        </c:rich>
      </c:tx>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Entry'!$C$33:$M$33</c:f>
              <c:numCache>
                <c:formatCode>#,##0</c:formatCode>
                <c:ptCount val="11"/>
                <c:pt idx="0">
                  <c:v>444558.86488592584</c:v>
                </c:pt>
                <c:pt idx="1">
                  <c:v>2614252.7382121803</c:v>
                </c:pt>
                <c:pt idx="2">
                  <c:v>4152069.7032671967</c:v>
                </c:pt>
                <c:pt idx="3">
                  <c:v>5689012.4282572595</c:v>
                </c:pt>
                <c:pt idx="4">
                  <c:v>6394927.0583475037</c:v>
                </c:pt>
                <c:pt idx="5">
                  <c:v>7919472.7608304648</c:v>
                </c:pt>
                <c:pt idx="6">
                  <c:v>9028395.1391595956</c:v>
                </c:pt>
                <c:pt idx="7">
                  <c:v>9501436.9106648564</c:v>
                </c:pt>
                <c:pt idx="8">
                  <c:v>10016978.378472121</c:v>
                </c:pt>
                <c:pt idx="9">
                  <c:v>11019203.663233975</c:v>
                </c:pt>
                <c:pt idx="10">
                  <c:v>11784104.165788259</c:v>
                </c:pt>
              </c:numCache>
            </c:numRef>
          </c:val>
          <c:extLst xmlns:c16r2="http://schemas.microsoft.com/office/drawing/2015/06/chart">
            <c:ext xmlns:c16="http://schemas.microsoft.com/office/drawing/2014/chart" uri="{C3380CC4-5D6E-409C-BE32-E72D297353CC}">
              <c16:uniqueId val="{00000000-77AF-43E5-ABC3-E7F1A0E2CA22}"/>
            </c:ext>
          </c:extLst>
        </c:ser>
        <c:ser>
          <c:idx val="1"/>
          <c:order val="1"/>
          <c:tx>
            <c:strRef>
              <c:f>'Data Entry'!$B$34</c:f>
              <c:strCache>
                <c:ptCount val="1"/>
                <c:pt idx="0">
                  <c:v>Cumulative disbursements</c:v>
                </c:pt>
              </c:strCache>
            </c:strRef>
          </c:tx>
          <c:spPr>
            <a:gradFill rotWithShape="0">
              <a:gsLst>
                <a:gs pos="0">
                  <a:srgbClr val="CCFFCC"/>
                </a:gs>
                <a:gs pos="100000">
                  <a:srgbClr val="E3FFE3"/>
                </a:gs>
              </a:gsLst>
              <a:lin ang="5400000" scaled="1"/>
            </a:gradFill>
            <a:ln w="12700">
              <a:solidFill>
                <a:srgbClr val="FFCC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Entry'!$C$34:$M$34</c:f>
              <c:numCache>
                <c:formatCode>#,##0</c:formatCode>
                <c:ptCount val="11"/>
                <c:pt idx="0">
                  <c:v>872563</c:v>
                </c:pt>
                <c:pt idx="1">
                  <c:v>872563</c:v>
                </c:pt>
                <c:pt idx="2">
                  <c:v>4143118</c:v>
                </c:pt>
                <c:pt idx="3">
                  <c:v>5705060</c:v>
                </c:pt>
                <c:pt idx="4">
                  <c:v>6360975</c:v>
                </c:pt>
                <c:pt idx="5">
                  <c:v>7885521</c:v>
                </c:pt>
                <c:pt idx="6">
                  <c:v>7885521</c:v>
                </c:pt>
                <c:pt idx="7">
                  <c:v>8039370.3399999999</c:v>
                </c:pt>
                <c:pt idx="8">
                  <c:v>8039370.3399999999</c:v>
                </c:pt>
                <c:pt idx="9">
                  <c:v>8039370.3399999999</c:v>
                </c:pt>
                <c:pt idx="10">
                  <c:v>8039370.3399999999</c:v>
                </c:pt>
              </c:numCache>
            </c:numRef>
          </c:val>
          <c:extLst xmlns:c16r2="http://schemas.microsoft.com/office/drawing/2015/06/chart">
            <c:ext xmlns:c16="http://schemas.microsoft.com/office/drawing/2014/chart" uri="{C3380CC4-5D6E-409C-BE32-E72D297353CC}">
              <c16:uniqueId val="{00000001-77AF-43E5-ABC3-E7F1A0E2CA22}"/>
            </c:ext>
          </c:extLst>
        </c:ser>
        <c:dLbls>
          <c:showLegendKey val="0"/>
          <c:showVal val="0"/>
          <c:showCatName val="0"/>
          <c:showSerName val="0"/>
          <c:showPercent val="0"/>
          <c:showBubbleSize val="0"/>
        </c:dLbls>
        <c:dropLines>
          <c:spPr>
            <a:ln w="3175">
              <a:solidFill>
                <a:srgbClr val="000000"/>
              </a:solidFill>
              <a:prstDash val="solid"/>
            </a:ln>
          </c:spPr>
        </c:dropLines>
        <c:axId val="-465156992"/>
        <c:axId val="-465162976"/>
      </c:areaChart>
      <c:catAx>
        <c:axId val="-46515699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465162976"/>
        <c:crosses val="autoZero"/>
        <c:auto val="1"/>
        <c:lblAlgn val="ctr"/>
        <c:lblOffset val="100"/>
        <c:tickLblSkip val="8"/>
        <c:tickMarkSkip val="1"/>
        <c:noMultiLvlLbl val="0"/>
      </c:catAx>
      <c:valAx>
        <c:axId val="-465162976"/>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465156992"/>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99"/>
          <c:y val="7.5694015811474599E-2"/>
          <c:w val="0.74366824572258605"/>
          <c:h val="0.58032078788797203"/>
        </c:manualLayout>
      </c:layout>
      <c:barChart>
        <c:barDir val="col"/>
        <c:grouping val="stacked"/>
        <c:varyColors val="0"/>
        <c:ser>
          <c:idx val="0"/>
          <c:order val="0"/>
          <c:spPr>
            <a:solidFill>
              <a:srgbClr val="376092"/>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Entry'!$C$52:$C$55</c:f>
              <c:numCache>
                <c:formatCode>#,##0</c:formatCode>
                <c:ptCount val="4"/>
                <c:pt idx="0">
                  <c:v>8039370.3399999999</c:v>
                </c:pt>
                <c:pt idx="1">
                  <c:v>4742753.0747971553</c:v>
                </c:pt>
                <c:pt idx="2">
                  <c:v>810342.00474567548</c:v>
                </c:pt>
                <c:pt idx="3">
                  <c:v>865134.21</c:v>
                </c:pt>
              </c:numCache>
            </c:numRef>
          </c:val>
          <c:extLst xmlns:c16r2="http://schemas.microsoft.com/office/drawing/2015/06/chart">
            <c:ext xmlns:c16="http://schemas.microsoft.com/office/drawing/2014/chart" uri="{C3380CC4-5D6E-409C-BE32-E72D297353CC}">
              <c16:uniqueId val="{00000000-0383-49D5-8D69-589F5FF36BA4}"/>
            </c:ext>
          </c:extLst>
        </c:ser>
        <c:ser>
          <c:idx val="1"/>
          <c:order val="1"/>
          <c:spPr>
            <a:solidFill>
              <a:srgbClr val="93CDDD"/>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Entry'!$D$52:$D$55</c:f>
              <c:numCache>
                <c:formatCode>#,##0</c:formatCode>
                <c:ptCount val="4"/>
                <c:pt idx="0">
                  <c:v>0</c:v>
                </c:pt>
                <c:pt idx="1">
                  <c:v>232857.88028962218</c:v>
                </c:pt>
                <c:pt idx="2">
                  <c:v>77178.003253871808</c:v>
                </c:pt>
                <c:pt idx="3">
                  <c:v>87940</c:v>
                </c:pt>
              </c:numCache>
            </c:numRef>
          </c:val>
          <c:extLst xmlns:c16r2="http://schemas.microsoft.com/office/drawing/2015/06/chart">
            <c:ext xmlns:c16="http://schemas.microsoft.com/office/drawing/2014/chart" uri="{C3380CC4-5D6E-409C-BE32-E72D297353CC}">
              <c16:uniqueId val="{00000001-0383-49D5-8D69-589F5FF36BA4}"/>
            </c:ext>
          </c:extLst>
        </c:ser>
        <c:dLbls>
          <c:showLegendKey val="0"/>
          <c:showVal val="0"/>
          <c:showCatName val="0"/>
          <c:showSerName val="0"/>
          <c:showPercent val="0"/>
          <c:showBubbleSize val="0"/>
        </c:dLbls>
        <c:gapWidth val="150"/>
        <c:overlap val="100"/>
        <c:axId val="-547073712"/>
        <c:axId val="-547086768"/>
      </c:barChart>
      <c:catAx>
        <c:axId val="-547073712"/>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547086768"/>
        <c:crossesAt val="0"/>
        <c:auto val="1"/>
        <c:lblAlgn val="ctr"/>
        <c:lblOffset val="100"/>
        <c:noMultiLvlLbl val="0"/>
      </c:catAx>
      <c:valAx>
        <c:axId val="-547086768"/>
        <c:scaling>
          <c:orientation val="minMax"/>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47073712"/>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
          <c:y val="9.3877551020408095E-2"/>
          <c:w val="0.84029484029484003"/>
          <c:h val="0.53469387755102105"/>
        </c:manualLayout>
      </c:layout>
      <c:barChart>
        <c:barDir val="col"/>
        <c:grouping val="clustered"/>
        <c:varyColors val="0"/>
        <c:ser>
          <c:idx val="0"/>
          <c:order val="0"/>
          <c:spPr>
            <a:solidFill>
              <a:srgbClr val="993366"/>
            </a:solidFill>
            <a:ln w="3175">
              <a:solidFill>
                <a:srgbClr val="000000"/>
              </a:solidFill>
              <a:prstDash val="solid"/>
            </a:ln>
            <a:effectLst>
              <a:outerShdw dist="35921" dir="2700000" algn="br">
                <a:srgbClr val="000000"/>
              </a:outerShdw>
            </a:effectLst>
          </c:spPr>
          <c:invertIfNegative val="0"/>
          <c:cat>
            <c:strRef>
              <c:f>'Data Entry'!$B$39:$B$43</c:f>
              <c:strCache>
                <c:ptCount val="5"/>
                <c:pt idx="0">
                  <c:v>MDR-TB</c:v>
                </c:pt>
                <c:pt idx="1">
                  <c:v>HSS - Health information systems and M&amp;E</c:v>
                </c:pt>
                <c:pt idx="2">
                  <c:v>HSS - Service delivery</c:v>
                </c:pt>
                <c:pt idx="3">
                  <c:v>HSS - Policy and governance</c:v>
                </c:pt>
                <c:pt idx="4">
                  <c:v>Community systems strengthening</c:v>
                </c:pt>
              </c:strCache>
            </c:strRef>
          </c:cat>
          <c:val>
            <c:numRef>
              <c:f>'Data Entry'!$C$39:$C$43</c:f>
              <c:numCache>
                <c:formatCode>#,##0</c:formatCode>
                <c:ptCount val="5"/>
                <c:pt idx="0">
                  <c:v>6910640.4257468926</c:v>
                </c:pt>
                <c:pt idx="1">
                  <c:v>866946.43058141053</c:v>
                </c:pt>
                <c:pt idx="2">
                  <c:v>169123.93047318066</c:v>
                </c:pt>
                <c:pt idx="3">
                  <c:v>712801.61045932723</c:v>
                </c:pt>
                <c:pt idx="4">
                  <c:v>738311.50699164474</c:v>
                </c:pt>
              </c:numCache>
            </c:numRef>
          </c:val>
          <c:extLst xmlns:c16r2="http://schemas.microsoft.com/office/drawing/2015/06/chart">
            <c:ext xmlns:c16="http://schemas.microsoft.com/office/drawing/2014/chart" uri="{C3380CC4-5D6E-409C-BE32-E72D297353CC}">
              <c16:uniqueId val="{00000000-9782-4119-8D6C-D8594AA5C669}"/>
            </c:ext>
          </c:extLst>
        </c:ser>
        <c:ser>
          <c:idx val="1"/>
          <c:order val="1"/>
          <c:spPr>
            <a:solidFill>
              <a:srgbClr val="CCC1DA"/>
            </a:solidFill>
            <a:ln w="3175">
              <a:solidFill>
                <a:srgbClr val="800000"/>
              </a:solidFill>
              <a:prstDash val="solid"/>
            </a:ln>
            <a:effectLst>
              <a:outerShdw dist="35921" dir="2700000" algn="br">
                <a:srgbClr val="000000"/>
              </a:outerShdw>
            </a:effectLst>
          </c:spPr>
          <c:invertIfNegative val="0"/>
          <c:cat>
            <c:strRef>
              <c:f>'Data Entry'!$B$39:$B$43</c:f>
              <c:strCache>
                <c:ptCount val="5"/>
                <c:pt idx="0">
                  <c:v>MDR-TB</c:v>
                </c:pt>
                <c:pt idx="1">
                  <c:v>HSS - Health information systems and M&amp;E</c:v>
                </c:pt>
                <c:pt idx="2">
                  <c:v>HSS - Service delivery</c:v>
                </c:pt>
                <c:pt idx="3">
                  <c:v>HSS - Policy and governance</c:v>
                </c:pt>
                <c:pt idx="4">
                  <c:v>Community systems strengthening</c:v>
                </c:pt>
              </c:strCache>
            </c:strRef>
          </c:cat>
          <c:val>
            <c:numRef>
              <c:f>'Data Entry'!$D$39:$D$43</c:f>
              <c:numCache>
                <c:formatCode>#,##0</c:formatCode>
                <c:ptCount val="5"/>
                <c:pt idx="0">
                  <c:v>4214230.2516973177</c:v>
                </c:pt>
                <c:pt idx="1">
                  <c:v>683498.29971826402</c:v>
                </c:pt>
                <c:pt idx="2">
                  <c:v>98272.608944583073</c:v>
                </c:pt>
                <c:pt idx="3">
                  <c:v>242278.03299851966</c:v>
                </c:pt>
                <c:pt idx="4">
                  <c:v>307116.21758435492</c:v>
                </c:pt>
              </c:numCache>
            </c:numRef>
          </c:val>
          <c:extLst xmlns:c16r2="http://schemas.microsoft.com/office/drawing/2015/06/chart">
            <c:ext xmlns:c16="http://schemas.microsoft.com/office/drawing/2014/chart" uri="{C3380CC4-5D6E-409C-BE32-E72D297353CC}">
              <c16:uniqueId val="{00000001-9782-4119-8D6C-D8594AA5C669}"/>
            </c:ext>
          </c:extLst>
        </c:ser>
        <c:dLbls>
          <c:showLegendKey val="0"/>
          <c:showVal val="0"/>
          <c:showCatName val="0"/>
          <c:showSerName val="0"/>
          <c:showPercent val="0"/>
          <c:showBubbleSize val="0"/>
        </c:dLbls>
        <c:gapWidth val="150"/>
        <c:axId val="-547077520"/>
        <c:axId val="-547076432"/>
      </c:barChart>
      <c:catAx>
        <c:axId val="-547077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547076432"/>
        <c:crosses val="autoZero"/>
        <c:auto val="1"/>
        <c:lblAlgn val="ctr"/>
        <c:lblOffset val="100"/>
        <c:tickMarkSkip val="1"/>
        <c:noMultiLvlLbl val="0"/>
      </c:catAx>
      <c:valAx>
        <c:axId val="-54707643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547077520"/>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799E-2"/>
          <c:y val="0.195653558463248"/>
          <c:w val="0.86864496640476696"/>
          <c:h val="0.42029282929142098"/>
        </c:manualLayout>
      </c:layout>
      <c:barChart>
        <c:barDir val="bar"/>
        <c:grouping val="percentStacked"/>
        <c:varyColors val="0"/>
        <c:ser>
          <c:idx val="0"/>
          <c:order val="0"/>
          <c:tx>
            <c:strRef>
              <c:f>'Data Entry'!$C$78</c:f>
              <c:strCache>
                <c:ptCount val="1"/>
                <c:pt idx="0">
                  <c:v>Planned</c:v>
                </c:pt>
              </c:strCache>
            </c:strRef>
          </c:tx>
          <c:spPr>
            <a:noFill/>
            <a:ln w="25400">
              <a:noFill/>
            </a:ln>
            <a:effectLst>
              <a:outerShdw dist="35921" dir="2700000" algn="br">
                <a:srgbClr val="000000"/>
              </a:outerShdw>
            </a:effectLst>
          </c:spPr>
          <c:invertIfNegative val="0"/>
          <c:dLbls>
            <c:dLbl>
              <c:idx val="0"/>
              <c:layout>
                <c:manualLayout>
                  <c:x val="0.25756013242089298"/>
                  <c:y val="-0.29611370761718198"/>
                </c:manualLayout>
              </c:layout>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1"/>
              <c:showPercent val="0"/>
              <c:showBubbleSize val="0"/>
              <c:extLst xmlns:c16r2="http://schemas.microsoft.com/office/drawing/2015/06/chart">
                <c:ext xmlns:c16="http://schemas.microsoft.com/office/drawing/2014/chart" uri="{C3380CC4-5D6E-409C-BE32-E72D297353CC}">
                  <c16:uniqueId val="{00000000-B7AC-478B-A929-7E0D2AB282C9}"/>
                </c:ext>
                <c:ext xmlns:c15="http://schemas.microsoft.com/office/drawing/2012/chart" uri="{CE6537A1-D6FC-4f65-9D91-7224C49458BB}">
                  <c15:layout/>
                </c:ext>
              </c:extLst>
            </c:dLbl>
            <c:numFmt formatCode="#,##0"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Entry'!$C$79</c:f>
              <c:numCache>
                <c:formatCode>General</c:formatCode>
                <c:ptCount val="1"/>
                <c:pt idx="0">
                  <c:v>11</c:v>
                </c:pt>
              </c:numCache>
            </c:numRef>
          </c:val>
          <c:extLst xmlns:c16r2="http://schemas.microsoft.com/office/drawing/2015/06/chart">
            <c:ext xmlns:c16="http://schemas.microsoft.com/office/drawing/2014/chart" uri="{C3380CC4-5D6E-409C-BE32-E72D297353CC}">
              <c16:uniqueId val="{00000001-B7AC-478B-A929-7E0D2AB282C9}"/>
            </c:ext>
          </c:extLst>
        </c:ser>
        <c:dLbls>
          <c:showLegendKey val="0"/>
          <c:showVal val="0"/>
          <c:showCatName val="0"/>
          <c:showSerName val="0"/>
          <c:showPercent val="0"/>
          <c:showBubbleSize val="0"/>
        </c:dLbls>
        <c:gapWidth val="79"/>
        <c:overlap val="100"/>
        <c:axId val="-547087312"/>
        <c:axId val="-547082416"/>
      </c:barChart>
      <c:barChart>
        <c:barDir val="bar"/>
        <c:grouping val="percentStacked"/>
        <c:varyColors val="0"/>
        <c:ser>
          <c:idx val="1"/>
          <c:order val="1"/>
          <c:tx>
            <c:strRef>
              <c:f>'Data Entry'!$D$78</c:f>
              <c:strCache>
                <c:ptCount val="1"/>
                <c:pt idx="0">
                  <c:v>Filled</c:v>
                </c:pt>
              </c:strCache>
            </c:strRef>
          </c:tx>
          <c:spPr>
            <a:solidFill>
              <a:srgbClr val="99CC00"/>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'Data Entry'!$D$79</c:f>
              <c:numCache>
                <c:formatCode>General</c:formatCode>
                <c:ptCount val="1"/>
                <c:pt idx="0">
                  <c:v>11</c:v>
                </c:pt>
              </c:numCache>
            </c:numRef>
          </c:val>
          <c:extLst xmlns:c16r2="http://schemas.microsoft.com/office/drawing/2015/06/chart">
            <c:ext xmlns:c16="http://schemas.microsoft.com/office/drawing/2014/chart" uri="{C3380CC4-5D6E-409C-BE32-E72D297353CC}">
              <c16:uniqueId val="{00000002-B7AC-478B-A929-7E0D2AB282C9}"/>
            </c:ext>
          </c:extLst>
        </c:ser>
        <c:ser>
          <c:idx val="2"/>
          <c:order val="2"/>
          <c:tx>
            <c:strRef>
              <c:f>'Data Entry'!$E$78</c:f>
              <c:strCache>
                <c:ptCount val="1"/>
                <c:pt idx="0">
                  <c:v>Vacant</c:v>
                </c:pt>
              </c:strCache>
            </c:strRef>
          </c:tx>
          <c:spPr>
            <a:solidFill>
              <a:srgbClr val="FF7171"/>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'Data Entry'!$E$79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3-B7AC-478B-A929-7E0D2AB282C9}"/>
            </c:ext>
          </c:extLst>
        </c:ser>
        <c:dLbls>
          <c:showLegendKey val="0"/>
          <c:showVal val="0"/>
          <c:showCatName val="0"/>
          <c:showSerName val="0"/>
          <c:showPercent val="0"/>
          <c:showBubbleSize val="0"/>
        </c:dLbls>
        <c:gapWidth val="191"/>
        <c:overlap val="100"/>
        <c:axId val="-547083504"/>
        <c:axId val="-547084048"/>
      </c:barChart>
      <c:catAx>
        <c:axId val="-547087312"/>
        <c:scaling>
          <c:orientation val="minMax"/>
        </c:scaling>
        <c:delete val="1"/>
        <c:axPos val="l"/>
        <c:majorTickMark val="out"/>
        <c:minorTickMark val="none"/>
        <c:tickLblPos val="none"/>
        <c:crossAx val="-547082416"/>
        <c:crosses val="autoZero"/>
        <c:auto val="1"/>
        <c:lblAlgn val="ctr"/>
        <c:lblOffset val="100"/>
        <c:noMultiLvlLbl val="0"/>
      </c:catAx>
      <c:valAx>
        <c:axId val="-547082416"/>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547087312"/>
        <c:crosses val="max"/>
        <c:crossBetween val="between"/>
      </c:valAx>
      <c:catAx>
        <c:axId val="-547083504"/>
        <c:scaling>
          <c:orientation val="minMax"/>
        </c:scaling>
        <c:delete val="1"/>
        <c:axPos val="l"/>
        <c:majorTickMark val="out"/>
        <c:minorTickMark val="none"/>
        <c:tickLblPos val="none"/>
        <c:crossAx val="-547084048"/>
        <c:crosses val="autoZero"/>
        <c:auto val="0"/>
        <c:lblAlgn val="ctr"/>
        <c:lblOffset val="100"/>
        <c:noMultiLvlLbl val="0"/>
      </c:catAx>
      <c:valAx>
        <c:axId val="-547084048"/>
        <c:scaling>
          <c:orientation val="minMax"/>
        </c:scaling>
        <c:delete val="0"/>
        <c:axPos val="b"/>
        <c:numFmt formatCode="0%" sourceLinked="1"/>
        <c:majorTickMark val="none"/>
        <c:minorTickMark val="none"/>
        <c:tickLblPos val="none"/>
        <c:spPr>
          <a:ln w="3175">
            <a:solidFill>
              <a:srgbClr val="000000"/>
            </a:solidFill>
            <a:prstDash val="solid"/>
          </a:ln>
        </c:spPr>
        <c:crossAx val="-547083504"/>
        <c:crosses val="autoZero"/>
        <c:crossBetween val="between"/>
      </c:valAx>
      <c:spPr>
        <a:solidFill>
          <a:srgbClr val="FFFFFF"/>
        </a:solidFill>
        <a:ln w="25400">
          <a:noFill/>
        </a:ln>
      </c:spPr>
    </c:plotArea>
    <c:legend>
      <c:legendPos val="r"/>
      <c:legendEntry>
        <c:idx val="0"/>
        <c:delete val="1"/>
      </c:legendEntry>
      <c:layout>
        <c:manualLayout>
          <c:xMode val="edge"/>
          <c:yMode val="edge"/>
          <c:x val="0.28724297760652301"/>
          <c:y val="0.76645171178420202"/>
          <c:w val="0.18723985033785701"/>
          <c:h val="0.14599076575282099"/>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794E-2"/>
          <c:y val="0.13661275087917801"/>
          <c:w val="0.89702517162471396"/>
          <c:h val="0.60656061390354898"/>
        </c:manualLayout>
      </c:layout>
      <c:barChart>
        <c:barDir val="col"/>
        <c:grouping val="clustered"/>
        <c:varyColors val="0"/>
        <c:ser>
          <c:idx val="0"/>
          <c:order val="0"/>
          <c:tx>
            <c:strRef>
              <c:f>'Data Entry'!$C$83</c:f>
              <c:strCache>
                <c:ptCount val="1"/>
                <c:pt idx="0">
                  <c:v>Identified</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'Data Entry'!$C$84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4FC0-421B-87A0-416925BD79A2}"/>
            </c:ext>
          </c:extLst>
        </c:ser>
        <c:ser>
          <c:idx val="1"/>
          <c:order val="1"/>
          <c:tx>
            <c:strRef>
              <c:f>'Data Entry'!$D$83</c:f>
              <c:strCache>
                <c:ptCount val="1"/>
                <c:pt idx="0">
                  <c:v>Assessed</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'Data Entry'!$D$84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4FC0-421B-87A0-416925BD79A2}"/>
            </c:ext>
          </c:extLst>
        </c:ser>
        <c:ser>
          <c:idx val="2"/>
          <c:order val="2"/>
          <c:tx>
            <c:strRef>
              <c:f>'Data Entry'!$E$83</c:f>
              <c:strCache>
                <c:ptCount val="1"/>
                <c:pt idx="0">
                  <c:v>Approved</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'Data Entry'!$E$84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4FC0-421B-87A0-416925BD79A2}"/>
            </c:ext>
          </c:extLst>
        </c:ser>
        <c:ser>
          <c:idx val="3"/>
          <c:order val="3"/>
          <c:tx>
            <c:strRef>
              <c:f>'Data Entry'!$F$83</c:f>
              <c:strCache>
                <c:ptCount val="1"/>
                <c:pt idx="0">
                  <c:v>Signed</c:v>
                </c:pt>
              </c:strCache>
            </c:strRef>
          </c:tx>
          <c:spPr>
            <a:solidFill>
              <a:srgbClr val="80808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'Data Entry'!$F$84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4FC0-421B-87A0-416925BD79A2}"/>
            </c:ext>
          </c:extLst>
        </c:ser>
        <c:ser>
          <c:idx val="4"/>
          <c:order val="4"/>
          <c:tx>
            <c:strRef>
              <c:f>'Data Entry'!$G$83</c:f>
              <c:strCache>
                <c:ptCount val="1"/>
                <c:pt idx="0">
                  <c:v>Receiving Funding</c:v>
                </c:pt>
              </c:strCache>
            </c:strRef>
          </c:tx>
          <c:spPr>
            <a:solidFill>
              <a:srgbClr val="333333"/>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'Data Entry'!$G$84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4FC0-421B-87A0-416925BD79A2}"/>
            </c:ext>
          </c:extLst>
        </c:ser>
        <c:dLbls>
          <c:showLegendKey val="0"/>
          <c:showVal val="0"/>
          <c:showCatName val="0"/>
          <c:showSerName val="0"/>
          <c:showPercent val="0"/>
          <c:showBubbleSize val="0"/>
        </c:dLbls>
        <c:gapWidth val="150"/>
        <c:overlap val="-20"/>
        <c:axId val="-464955712"/>
        <c:axId val="-464953536"/>
      </c:barChart>
      <c:catAx>
        <c:axId val="-464955712"/>
        <c:scaling>
          <c:orientation val="minMax"/>
        </c:scaling>
        <c:delete val="0"/>
        <c:axPos val="b"/>
        <c:majorTickMark val="none"/>
        <c:minorTickMark val="none"/>
        <c:tickLblPos val="none"/>
        <c:spPr>
          <a:ln w="3175">
            <a:solidFill>
              <a:srgbClr val="000000"/>
            </a:solidFill>
            <a:prstDash val="solid"/>
          </a:ln>
        </c:spPr>
        <c:crossAx val="-464953536"/>
        <c:crosses val="autoZero"/>
        <c:auto val="0"/>
        <c:lblAlgn val="ctr"/>
        <c:lblOffset val="100"/>
        <c:tickMarkSkip val="1"/>
        <c:noMultiLvlLbl val="0"/>
      </c:catAx>
      <c:valAx>
        <c:axId val="-46495353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4955712"/>
        <c:crosses val="autoZero"/>
        <c:crossBetween val="between"/>
      </c:valAx>
      <c:spPr>
        <a:noFill/>
        <a:ln w="25400">
          <a:noFill/>
        </a:ln>
      </c:spPr>
    </c:plotArea>
    <c:legend>
      <c:legendPos val="r"/>
      <c:layout>
        <c:manualLayout>
          <c:xMode val="edge"/>
          <c:yMode val="edge"/>
          <c:x val="9.6247088832205799E-2"/>
          <c:y val="0.83063149893148602"/>
          <c:w val="0.84509703892647203"/>
          <c:h val="9.2899617056064698E-2"/>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01"/>
          <c:y val="5.6000000000000001E-2"/>
          <c:w val="0.54462242562929097"/>
          <c:h val="0.56000000000000005"/>
        </c:manualLayout>
      </c:layout>
      <c:barChart>
        <c:barDir val="bar"/>
        <c:grouping val="percentStacked"/>
        <c:varyColors val="0"/>
        <c:ser>
          <c:idx val="0"/>
          <c:order val="0"/>
          <c:tx>
            <c:strRef>
              <c:f>'Data Entry'!$D$71</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'Data Entry'!$B$72:$B$73</c:f>
              <c:strCache>
                <c:ptCount val="2"/>
                <c:pt idx="0">
                  <c:v>Conditions precedent (CPs)</c:v>
                </c:pt>
                <c:pt idx="1">
                  <c:v>Time Bound Actions (TBAs)</c:v>
                </c:pt>
              </c:strCache>
            </c:strRef>
          </c:cat>
          <c:val>
            <c:numRef>
              <c:f>'Data Entry'!$D$72:$D$73</c:f>
              <c:numCache>
                <c:formatCode>0</c:formatCode>
                <c:ptCount val="2"/>
                <c:pt idx="0">
                  <c:v>6</c:v>
                </c:pt>
                <c:pt idx="1">
                  <c:v>5</c:v>
                </c:pt>
              </c:numCache>
            </c:numRef>
          </c:val>
          <c:extLst xmlns:c16r2="http://schemas.microsoft.com/office/drawing/2015/06/chart">
            <c:ext xmlns:c16="http://schemas.microsoft.com/office/drawing/2014/chart" uri="{C3380CC4-5D6E-409C-BE32-E72D297353CC}">
              <c16:uniqueId val="{00000000-72D2-4D44-8D50-8A9D7582C394}"/>
            </c:ext>
          </c:extLst>
        </c:ser>
        <c:ser>
          <c:idx val="1"/>
          <c:order val="1"/>
          <c:tx>
            <c:strRef>
              <c:f>'Data Entry'!$E$71</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'Data Entry'!$B$72:$B$73</c:f>
              <c:strCache>
                <c:ptCount val="2"/>
                <c:pt idx="0">
                  <c:v>Conditions precedent (CPs)</c:v>
                </c:pt>
                <c:pt idx="1">
                  <c:v>Time Bound Actions (TBAs)</c:v>
                </c:pt>
              </c:strCache>
            </c:strRef>
          </c:cat>
          <c:val>
            <c:numRef>
              <c:f>'Data Entry'!$E$72:$E$73</c:f>
              <c:numCache>
                <c:formatCode>0</c:formatCode>
                <c:ptCount val="2"/>
                <c:pt idx="0">
                  <c:v>0</c:v>
                </c:pt>
                <c:pt idx="1">
                  <c:v>1</c:v>
                </c:pt>
              </c:numCache>
            </c:numRef>
          </c:val>
          <c:extLst xmlns:c16r2="http://schemas.microsoft.com/office/drawing/2015/06/chart">
            <c:ext xmlns:c16="http://schemas.microsoft.com/office/drawing/2014/chart" uri="{C3380CC4-5D6E-409C-BE32-E72D297353CC}">
              <c16:uniqueId val="{00000001-72D2-4D44-8D50-8A9D7582C394}"/>
            </c:ext>
          </c:extLst>
        </c:ser>
        <c:ser>
          <c:idx val="2"/>
          <c:order val="2"/>
          <c:tx>
            <c:strRef>
              <c:f>'Data Entry'!$F$71</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'Data Entry'!$B$72:$B$73</c:f>
              <c:strCache>
                <c:ptCount val="2"/>
                <c:pt idx="0">
                  <c:v>Conditions precedent (CPs)</c:v>
                </c:pt>
                <c:pt idx="1">
                  <c:v>Time Bound Actions (TBAs)</c:v>
                </c:pt>
              </c:strCache>
            </c:strRef>
          </c:cat>
          <c:val>
            <c:numRef>
              <c:f>'Data Entry'!$F$72:$F$73</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2-72D2-4D44-8D50-8A9D7582C394}"/>
            </c:ext>
          </c:extLst>
        </c:ser>
        <c:dLbls>
          <c:showLegendKey val="0"/>
          <c:showVal val="0"/>
          <c:showCatName val="0"/>
          <c:showSerName val="0"/>
          <c:showPercent val="0"/>
          <c:showBubbleSize val="0"/>
        </c:dLbls>
        <c:gapWidth val="70"/>
        <c:overlap val="100"/>
        <c:axId val="-464952992"/>
        <c:axId val="-464950816"/>
      </c:barChart>
      <c:catAx>
        <c:axId val="-46495299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4950816"/>
        <c:crosses val="autoZero"/>
        <c:auto val="1"/>
        <c:lblAlgn val="ctr"/>
        <c:lblOffset val="100"/>
        <c:tickLblSkip val="1"/>
        <c:tickMarkSkip val="1"/>
        <c:noMultiLvlLbl val="0"/>
      </c:catAx>
      <c:valAx>
        <c:axId val="-464950816"/>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4952992"/>
        <c:crosses val="autoZero"/>
        <c:crossBetween val="between"/>
      </c:valAx>
      <c:spPr>
        <a:noFill/>
        <a:ln w="25400">
          <a:noFill/>
        </a:ln>
      </c:spPr>
    </c:plotArea>
    <c:legend>
      <c:legendPos val="r"/>
      <c:layout>
        <c:manualLayout>
          <c:xMode val="edge"/>
          <c:yMode val="edge"/>
          <c:x val="1.36991095291171E-2"/>
          <c:y val="0.77780527434070701"/>
          <c:w val="0.94295161734920097"/>
          <c:h val="0.14286214223222099"/>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01"/>
          <c:y val="0.121547289222444"/>
          <c:w val="0.60327318841303301"/>
          <c:h val="0.55248767828383505"/>
        </c:manualLayout>
      </c:layout>
      <c:barChart>
        <c:barDir val="bar"/>
        <c:grouping val="percentStacked"/>
        <c:varyColors val="0"/>
        <c:ser>
          <c:idx val="1"/>
          <c:order val="0"/>
          <c:tx>
            <c:strRef>
              <c:f>'Data Entry'!$D$88</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'Data Entry'!$B$89:$B$90</c:f>
              <c:strCache>
                <c:ptCount val="2"/>
                <c:pt idx="0">
                  <c:v>SSR to SR</c:v>
                </c:pt>
                <c:pt idx="1">
                  <c:v>SRs to PR</c:v>
                </c:pt>
              </c:strCache>
            </c:strRef>
          </c:cat>
          <c:val>
            <c:numRef>
              <c:f>'Data Entry'!$D$89:$D$90</c:f>
              <c:numCache>
                <c:formatCode>0</c:formatCode>
                <c:ptCount val="2"/>
                <c:pt idx="1">
                  <c:v>3</c:v>
                </c:pt>
              </c:numCache>
            </c:numRef>
          </c:val>
          <c:extLst xmlns:c16r2="http://schemas.microsoft.com/office/drawing/2015/06/chart">
            <c:ext xmlns:c16="http://schemas.microsoft.com/office/drawing/2014/chart" uri="{C3380CC4-5D6E-409C-BE32-E72D297353CC}">
              <c16:uniqueId val="{00000000-87B0-42A9-8EC5-25A91567F6DE}"/>
            </c:ext>
          </c:extLst>
        </c:ser>
        <c:ser>
          <c:idx val="2"/>
          <c:order val="1"/>
          <c:tx>
            <c:strRef>
              <c:f>'Data Entry'!$E$88</c:f>
              <c:strCache>
                <c:ptCount val="1"/>
                <c:pt idx="0">
                  <c:v>Pending</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'Data Entry'!$B$89:$B$90</c:f>
              <c:strCache>
                <c:ptCount val="2"/>
                <c:pt idx="0">
                  <c:v>SSR to SR</c:v>
                </c:pt>
                <c:pt idx="1">
                  <c:v>SRs to PR</c:v>
                </c:pt>
              </c:strCache>
            </c:strRef>
          </c:cat>
          <c:val>
            <c:numRef>
              <c:f>'Data Entry'!$E$89:$E$90</c:f>
              <c:numCache>
                <c:formatCode>General</c:formatCode>
                <c:ptCount val="2"/>
                <c:pt idx="0" formatCode="0">
                  <c:v>0</c:v>
                </c:pt>
                <c:pt idx="1">
                  <c:v>0</c:v>
                </c:pt>
              </c:numCache>
            </c:numRef>
          </c:val>
          <c:extLst xmlns:c16r2="http://schemas.microsoft.com/office/drawing/2015/06/chart">
            <c:ext xmlns:c16="http://schemas.microsoft.com/office/drawing/2014/chart" uri="{C3380CC4-5D6E-409C-BE32-E72D297353CC}">
              <c16:uniqueId val="{00000001-87B0-42A9-8EC5-25A91567F6DE}"/>
            </c:ext>
          </c:extLst>
        </c:ser>
        <c:dLbls>
          <c:showLegendKey val="0"/>
          <c:showVal val="0"/>
          <c:showCatName val="0"/>
          <c:showSerName val="0"/>
          <c:showPercent val="0"/>
          <c:showBubbleSize val="0"/>
        </c:dLbls>
        <c:gapWidth val="101"/>
        <c:overlap val="100"/>
        <c:axId val="-464956256"/>
        <c:axId val="-464956800"/>
      </c:barChart>
      <c:catAx>
        <c:axId val="-46495625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64956800"/>
        <c:crosses val="autoZero"/>
        <c:auto val="1"/>
        <c:lblAlgn val="ctr"/>
        <c:lblOffset val="100"/>
        <c:noMultiLvlLbl val="0"/>
      </c:catAx>
      <c:valAx>
        <c:axId val="-464956800"/>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64956256"/>
        <c:crosses val="max"/>
        <c:crossBetween val="between"/>
      </c:valAx>
      <c:spPr>
        <a:solidFill>
          <a:srgbClr val="FFFFFF"/>
        </a:solidFill>
        <a:ln w="25400">
          <a:noFill/>
        </a:ln>
      </c:spPr>
    </c:plotArea>
    <c:legend>
      <c:legendPos val="r"/>
      <c:legendEntry>
        <c:idx val="0"/>
        <c:txPr>
          <a:bodyPr/>
          <a:lstStyle/>
          <a:p>
            <a:pPr>
              <a:defRPr sz="570" b="0" i="0" u="none" strike="noStrike" baseline="0">
                <a:solidFill>
                  <a:srgbClr val="000000"/>
                </a:solidFill>
                <a:latin typeface="Calibri"/>
                <a:ea typeface="Calibri"/>
                <a:cs typeface="Calibri"/>
              </a:defRPr>
            </a:pPr>
            <a:endParaRPr lang="en-US"/>
          </a:p>
        </c:txPr>
      </c:legendEntry>
      <c:legendEntry>
        <c:idx val="1"/>
        <c:txPr>
          <a:bodyPr/>
          <a:lstStyle/>
          <a:p>
            <a:pPr>
              <a:defRPr sz="570" b="0" i="0" u="none" strike="noStrike" baseline="0">
                <a:solidFill>
                  <a:srgbClr val="000000"/>
                </a:solidFill>
                <a:latin typeface="Calibri"/>
                <a:ea typeface="Calibri"/>
                <a:cs typeface="Calibri"/>
              </a:defRPr>
            </a:pPr>
            <a:endParaRPr lang="en-US"/>
          </a:p>
        </c:txPr>
      </c:legendEntry>
      <c:layout>
        <c:manualLayout>
          <c:xMode val="edge"/>
          <c:yMode val="edge"/>
          <c:x val="0.33837247714725299"/>
          <c:y val="0.79672867814600101"/>
          <c:w val="0.34699361933206602"/>
          <c:h val="0.131872169824926"/>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01"/>
          <c:y val="0.10989010989011"/>
          <c:w val="0.81094724363350201"/>
          <c:h val="0.54395604395604402"/>
        </c:manualLayout>
      </c:layout>
      <c:lineChart>
        <c:grouping val="standard"/>
        <c:varyColors val="0"/>
        <c:ser>
          <c:idx val="0"/>
          <c:order val="0"/>
          <c:tx>
            <c:strRef>
              <c:f>'Data Entry'!$B$98</c:f>
              <c:strCache>
                <c:ptCount val="1"/>
                <c:pt idx="0">
                  <c:v>Budget Approved cumulative*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Entry'!$C$98:$N$98</c:f>
              <c:numCache>
                <c:formatCode>#,##0</c:formatCode>
                <c:ptCount val="12"/>
                <c:pt idx="0">
                  <c:v>76920</c:v>
                </c:pt>
                <c:pt idx="1">
                  <c:v>1455984.3412315312</c:v>
                </c:pt>
                <c:pt idx="2">
                  <c:v>2228059.6999438512</c:v>
                </c:pt>
                <c:pt idx="3">
                  <c:v>3179059.6999438512</c:v>
                </c:pt>
                <c:pt idx="4">
                  <c:v>3261299.6999438512</c:v>
                </c:pt>
                <c:pt idx="5">
                  <c:v>4029781.7975801015</c:v>
                </c:pt>
                <c:pt idx="6">
                  <c:v>4572773.7855295418</c:v>
                </c:pt>
                <c:pt idx="7">
                  <c:v>4578773.7855295418</c:v>
                </c:pt>
                <c:pt idx="8">
                  <c:v>4661013.7855295418</c:v>
                </c:pt>
                <c:pt idx="9">
                  <c:v>5183118.4555767914</c:v>
                </c:pt>
                <c:pt idx="10">
                  <c:v>5532945.3638171116</c:v>
                </c:pt>
                <c:pt idx="11">
                  <c:v>5538945.3638171116</c:v>
                </c:pt>
              </c:numCache>
            </c:numRef>
          </c:val>
          <c:smooth val="0"/>
          <c:extLst xmlns:c16r2="http://schemas.microsoft.com/office/drawing/2015/06/chart">
            <c:ext xmlns:c16="http://schemas.microsoft.com/office/drawing/2014/chart" uri="{C3380CC4-5D6E-409C-BE32-E72D297353CC}">
              <c16:uniqueId val="{00000000-D0BA-4FE2-830B-A70C92DA36B8}"/>
            </c:ext>
          </c:extLst>
        </c:ser>
        <c:ser>
          <c:idx val="1"/>
          <c:order val="1"/>
          <c:tx>
            <c:strRef>
              <c:f>'Data Entry'!$B$99</c:f>
              <c:strCache>
                <c:ptCount val="1"/>
                <c:pt idx="0">
                  <c:v>Obligations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Entry'!$C$99:$N$99</c:f>
              <c:numCache>
                <c:formatCode>#,##0</c:formatCode>
                <c:ptCount val="12"/>
                <c:pt idx="0">
                  <c:v>48057.663994765258</c:v>
                </c:pt>
                <c:pt idx="1">
                  <c:v>297830.01361257851</c:v>
                </c:pt>
                <c:pt idx="2">
                  <c:v>549394.19175284577</c:v>
                </c:pt>
                <c:pt idx="3">
                  <c:v>828604.12925766793</c:v>
                </c:pt>
                <c:pt idx="4">
                  <c:v>913270.71308801917</c:v>
                </c:pt>
                <c:pt idx="5">
                  <c:v>1022932.8430880192</c:v>
                </c:pt>
                <c:pt idx="6">
                  <c:v>1236527.8430880192</c:v>
                </c:pt>
                <c:pt idx="7">
                  <c:v>1241859.2336581454</c:v>
                </c:pt>
                <c:pt idx="8">
                  <c:v>1348476.9790694555</c:v>
                </c:pt>
                <c:pt idx="9">
                  <c:v>1348476.9790694555</c:v>
                </c:pt>
                <c:pt idx="10">
                  <c:v>1348476.9790694555</c:v>
                </c:pt>
                <c:pt idx="11">
                  <c:v>1348476.9790694555</c:v>
                </c:pt>
              </c:numCache>
            </c:numRef>
          </c:val>
          <c:smooth val="0"/>
          <c:extLst xmlns:c16r2="http://schemas.microsoft.com/office/drawing/2015/06/chart">
            <c:ext xmlns:c16="http://schemas.microsoft.com/office/drawing/2014/chart" uri="{C3380CC4-5D6E-409C-BE32-E72D297353CC}">
              <c16:uniqueId val="{00000001-D0BA-4FE2-830B-A70C92DA36B8}"/>
            </c:ext>
          </c:extLst>
        </c:ser>
        <c:ser>
          <c:idx val="2"/>
          <c:order val="2"/>
          <c:tx>
            <c:strRef>
              <c:f>'Data Entry'!$B$100</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Entry'!$C$100:$N$100</c:f>
              <c:numCache>
                <c:formatCode>#,##0</c:formatCode>
                <c:ptCount val="12"/>
                <c:pt idx="0">
                  <c:v>17214</c:v>
                </c:pt>
                <c:pt idx="1">
                  <c:v>58733</c:v>
                </c:pt>
                <c:pt idx="2">
                  <c:v>1201873</c:v>
                </c:pt>
                <c:pt idx="3">
                  <c:v>1582290</c:v>
                </c:pt>
                <c:pt idx="4">
                  <c:v>1820151</c:v>
                </c:pt>
                <c:pt idx="5">
                  <c:v>2445024</c:v>
                </c:pt>
                <c:pt idx="6">
                  <c:v>2771172</c:v>
                </c:pt>
                <c:pt idx="7">
                  <c:v>2962681</c:v>
                </c:pt>
                <c:pt idx="8">
                  <c:v>3009594.3244974967</c:v>
                </c:pt>
                <c:pt idx="9">
                  <c:v>3009594.3244974967</c:v>
                </c:pt>
                <c:pt idx="10">
                  <c:v>3009594.3244974967</c:v>
                </c:pt>
                <c:pt idx="11">
                  <c:v>3009594.3244974967</c:v>
                </c:pt>
              </c:numCache>
            </c:numRef>
          </c:val>
          <c:smooth val="0"/>
          <c:extLst xmlns:c16r2="http://schemas.microsoft.com/office/drawing/2015/06/chart">
            <c:ext xmlns:c16="http://schemas.microsoft.com/office/drawing/2014/chart" uri="{C3380CC4-5D6E-409C-BE32-E72D297353CC}">
              <c16:uniqueId val="{00000002-D0BA-4FE2-830B-A70C92DA36B8}"/>
            </c:ext>
          </c:extLst>
        </c:ser>
        <c:dLbls>
          <c:showLegendKey val="0"/>
          <c:showVal val="0"/>
          <c:showCatName val="0"/>
          <c:showSerName val="0"/>
          <c:showPercent val="0"/>
          <c:showBubbleSize val="0"/>
        </c:dLbls>
        <c:marker val="1"/>
        <c:smooth val="0"/>
        <c:axId val="-464951360"/>
        <c:axId val="-464957344"/>
      </c:lineChart>
      <c:catAx>
        <c:axId val="-4649513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464957344"/>
        <c:crosses val="autoZero"/>
        <c:auto val="1"/>
        <c:lblAlgn val="ctr"/>
        <c:lblOffset val="100"/>
        <c:tickLblSkip val="1"/>
        <c:tickMarkSkip val="1"/>
        <c:noMultiLvlLbl val="0"/>
      </c:catAx>
      <c:valAx>
        <c:axId val="-46495734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464951360"/>
        <c:crosses val="autoZero"/>
        <c:crossBetween val="between"/>
      </c:valAx>
      <c:spPr>
        <a:solidFill>
          <a:srgbClr val="FFFFFF"/>
        </a:solidFill>
        <a:ln w="12700">
          <a:solidFill>
            <a:srgbClr val="808080"/>
          </a:solidFill>
          <a:prstDash val="solid"/>
        </a:ln>
      </c:spPr>
    </c:plotArea>
    <c:legend>
      <c:legendPos val="r"/>
      <c:layout>
        <c:manualLayout>
          <c:xMode val="edge"/>
          <c:yMode val="edge"/>
          <c:x val="4.7265248560347903E-2"/>
          <c:y val="0.65936142597559899"/>
          <c:w val="0.92291534453715696"/>
          <c:h val="0.153850768653918"/>
        </c:manualLayout>
      </c:layout>
      <c:overlay val="0"/>
      <c:spPr>
        <a:noFill/>
        <a:ln w="25400">
          <a:noFill/>
        </a:ln>
      </c:spPr>
      <c:txPr>
        <a:bodyPr/>
        <a:lstStyle/>
        <a:p>
          <a:pPr>
            <a:defRPr sz="50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Entry'!$G$120</c:f>
              <c:strCache>
                <c:ptCount val="1"/>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Entry'!$H$120:$S$120</c:f>
              <c:numCache>
                <c:formatCode>#,##0</c:formatCode>
                <c:ptCount val="12"/>
                <c:pt idx="0">
                  <c:v>16</c:v>
                </c:pt>
                <c:pt idx="1">
                  <c:v>17</c:v>
                </c:pt>
                <c:pt idx="2">
                  <c:v>16</c:v>
                </c:pt>
                <c:pt idx="3">
                  <c:v>17</c:v>
                </c:pt>
                <c:pt idx="4">
                  <c:v>16</c:v>
                </c:pt>
                <c:pt idx="5">
                  <c:v>17</c:v>
                </c:pt>
                <c:pt idx="6">
                  <c:v>17</c:v>
                </c:pt>
                <c:pt idx="7">
                  <c:v>17</c:v>
                </c:pt>
                <c:pt idx="8">
                  <c:v>16</c:v>
                </c:pt>
                <c:pt idx="9">
                  <c:v>17</c:v>
                </c:pt>
                <c:pt idx="10">
                  <c:v>17</c:v>
                </c:pt>
                <c:pt idx="11">
                  <c:v>17</c:v>
                </c:pt>
              </c:numCache>
            </c:numRef>
          </c:val>
          <c:extLst xmlns:c16r2="http://schemas.microsoft.com/office/drawing/2015/06/chart">
            <c:ext xmlns:c16="http://schemas.microsoft.com/office/drawing/2014/chart" uri="{C3380CC4-5D6E-409C-BE32-E72D297353CC}">
              <c16:uniqueId val="{00000000-9292-4A0E-B82C-ED34D33EBB1B}"/>
            </c:ext>
          </c:extLst>
        </c:ser>
        <c:ser>
          <c:idx val="1"/>
          <c:order val="1"/>
          <c:tx>
            <c:strRef>
              <c:f>'Data Entry'!$G$121</c:f>
              <c:strCache>
                <c:ptCount val="1"/>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Entry'!$H$121:$S$121</c:f>
              <c:numCache>
                <c:formatCode>#,##0</c:formatCode>
                <c:ptCount val="12"/>
                <c:pt idx="0">
                  <c:v>12</c:v>
                </c:pt>
                <c:pt idx="1">
                  <c:v>13</c:v>
                </c:pt>
                <c:pt idx="2">
                  <c:v>13</c:v>
                </c:pt>
                <c:pt idx="3">
                  <c:v>18</c:v>
                </c:pt>
                <c:pt idx="4">
                  <c:v>15</c:v>
                </c:pt>
                <c:pt idx="5">
                  <c:v>12</c:v>
                </c:pt>
                <c:pt idx="6">
                  <c:v>8</c:v>
                </c:pt>
                <c:pt idx="7">
                  <c:v>10</c:v>
                </c:pt>
                <c:pt idx="8">
                  <c:v>8</c:v>
                </c:pt>
              </c:numCache>
            </c:numRef>
          </c:val>
          <c:extLst xmlns:c16r2="http://schemas.microsoft.com/office/drawing/2015/06/chart">
            <c:ext xmlns:c16="http://schemas.microsoft.com/office/drawing/2014/chart" uri="{C3380CC4-5D6E-409C-BE32-E72D297353CC}">
              <c16:uniqueId val="{00000001-9292-4A0E-B82C-ED34D33EBB1B}"/>
            </c:ext>
          </c:extLst>
        </c:ser>
        <c:dLbls>
          <c:showLegendKey val="0"/>
          <c:showVal val="0"/>
          <c:showCatName val="0"/>
          <c:showSerName val="0"/>
          <c:showPercent val="0"/>
          <c:showBubbleSize val="0"/>
        </c:dLbls>
        <c:gapWidth val="150"/>
        <c:axId val="-465153728"/>
        <c:axId val="-465158080"/>
      </c:barChart>
      <c:catAx>
        <c:axId val="-465153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465158080"/>
        <c:crosses val="autoZero"/>
        <c:auto val="1"/>
        <c:lblAlgn val="ctr"/>
        <c:lblOffset val="100"/>
        <c:tickLblSkip val="1"/>
        <c:tickMarkSkip val="1"/>
        <c:noMultiLvlLbl val="0"/>
      </c:catAx>
      <c:valAx>
        <c:axId val="-465158080"/>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465153728"/>
        <c:crosses val="autoZero"/>
        <c:crossBetween val="between"/>
      </c:valAx>
      <c:spPr>
        <a:noFill/>
        <a:ln w="25400">
          <a:noFill/>
        </a:ln>
      </c:spPr>
    </c:plotArea>
    <c:legend>
      <c:legendPos val="r"/>
      <c:layout>
        <c:manualLayout>
          <c:xMode val="edge"/>
          <c:yMode val="edge"/>
          <c:x val="0.17544449049131999"/>
          <c:y val="0.91194701698557101"/>
          <c:w val="0.57896726067136295"/>
          <c:h val="7.2541035997443298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4</xdr:row>
      <xdr:rowOff>152400</xdr:rowOff>
    </xdr:from>
    <xdr:to>
      <xdr:col>11</xdr:col>
      <xdr:colOff>628650</xdr:colOff>
      <xdr:row>19</xdr:row>
      <xdr:rowOff>104775</xdr:rowOff>
    </xdr:to>
    <xdr:pic>
      <xdr:nvPicPr>
        <xdr:cNvPr id="3681910" name="Picture 2">
          <a:extLst>
            <a:ext uri="{FF2B5EF4-FFF2-40B4-BE49-F238E27FC236}">
              <a16:creationId xmlns="" xmlns:a16="http://schemas.microsoft.com/office/drawing/2014/main" id="{00000000-0008-0000-0000-0000762E38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31349" t="36853" r="9531"/>
        <a:stretch>
          <a:fillRect/>
        </a:stretch>
      </xdr:blipFill>
      <xdr:spPr bwMode="auto">
        <a:xfrm>
          <a:off x="47625" y="1390650"/>
          <a:ext cx="7629525" cy="2809875"/>
        </a:xfrm>
        <a:prstGeom prst="rect">
          <a:avLst/>
        </a:prstGeom>
        <a:noFill/>
        <a:ln w="1">
          <a:noFill/>
          <a:miter lim="800000"/>
          <a:headEnd/>
          <a:tailEnd/>
        </a:ln>
      </xdr:spPr>
    </xdr:pic>
    <xdr:clientData/>
  </xdr:twoCellAnchor>
  <xdr:twoCellAnchor editAs="oneCell">
    <xdr:from>
      <xdr:col>7</xdr:col>
      <xdr:colOff>685800</xdr:colOff>
      <xdr:row>7</xdr:row>
      <xdr:rowOff>57150</xdr:rowOff>
    </xdr:from>
    <xdr:to>
      <xdr:col>11</xdr:col>
      <xdr:colOff>542925</xdr:colOff>
      <xdr:row>18</xdr:row>
      <xdr:rowOff>152400</xdr:rowOff>
    </xdr:to>
    <xdr:pic>
      <xdr:nvPicPr>
        <xdr:cNvPr id="3681911" name="Picture 824">
          <a:extLst>
            <a:ext uri="{FF2B5EF4-FFF2-40B4-BE49-F238E27FC236}">
              <a16:creationId xmlns="" xmlns:a16="http://schemas.microsoft.com/office/drawing/2014/main" id="{00000000-0008-0000-0000-0000772E38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334000" y="1866900"/>
          <a:ext cx="2257425" cy="2190750"/>
        </a:xfrm>
        <a:prstGeom prst="rect">
          <a:avLst/>
        </a:prstGeom>
        <a:noFill/>
        <a:ln w="9525">
          <a:noFill/>
          <a:miter lim="800000"/>
          <a:headEnd/>
          <a:tailEnd/>
        </a:ln>
      </xdr:spPr>
    </xdr:pic>
    <xdr:clientData/>
  </xdr:twoCellAnchor>
  <xdr:twoCellAnchor>
    <xdr:from>
      <xdr:col>4</xdr:col>
      <xdr:colOff>257175</xdr:colOff>
      <xdr:row>7</xdr:row>
      <xdr:rowOff>104775</xdr:rowOff>
    </xdr:from>
    <xdr:to>
      <xdr:col>7</xdr:col>
      <xdr:colOff>552450</xdr:colOff>
      <xdr:row>18</xdr:row>
      <xdr:rowOff>85725</xdr:rowOff>
    </xdr:to>
    <xdr:sp macro="" textlink="">
      <xdr:nvSpPr>
        <xdr:cNvPr id="3681912" name="AutoShape 27">
          <a:extLst>
            <a:ext uri="{FF2B5EF4-FFF2-40B4-BE49-F238E27FC236}">
              <a16:creationId xmlns="" xmlns:a16="http://schemas.microsoft.com/office/drawing/2014/main" id="{00000000-0008-0000-0000-0000782E3800}"/>
            </a:ext>
          </a:extLst>
        </xdr:cNvPr>
        <xdr:cNvSpPr>
          <a:spLocks noChangeArrowheads="1"/>
        </xdr:cNvSpPr>
      </xdr:nvSpPr>
      <xdr:spPr bwMode="gray">
        <a:xfrm>
          <a:off x="2619375" y="1914525"/>
          <a:ext cx="2581275" cy="2076450"/>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57150</xdr:rowOff>
    </xdr:from>
    <xdr:to>
      <xdr:col>6</xdr:col>
      <xdr:colOff>533400</xdr:colOff>
      <xdr:row>12</xdr:row>
      <xdr:rowOff>38100</xdr:rowOff>
    </xdr:to>
    <xdr:grpSp>
      <xdr:nvGrpSpPr>
        <xdr:cNvPr id="3681913" name="Group 25">
          <a:hlinkClick xmlns:r="http://schemas.openxmlformats.org/officeDocument/2006/relationships" r:id="rId3"/>
          <a:extLst>
            <a:ext uri="{FF2B5EF4-FFF2-40B4-BE49-F238E27FC236}">
              <a16:creationId xmlns="" xmlns:a16="http://schemas.microsoft.com/office/drawing/2014/main" id="{00000000-0008-0000-0000-0000792E3800}"/>
            </a:ext>
          </a:extLst>
        </xdr:cNvPr>
        <xdr:cNvGrpSpPr>
          <a:grpSpLocks/>
        </xdr:cNvGrpSpPr>
      </xdr:nvGrpSpPr>
      <xdr:grpSpPr bwMode="auto">
        <a:xfrm>
          <a:off x="3413125" y="2446338"/>
          <a:ext cx="1009650" cy="361950"/>
          <a:chOff x="1200" y="1912"/>
          <a:chExt cx="3456" cy="774"/>
        </a:xfrm>
      </xdr:grpSpPr>
      <xdr:sp macro="" textlink="">
        <xdr:nvSpPr>
          <xdr:cNvPr id="3173451" name="AutoShape 26">
            <a:extLst>
              <a:ext uri="{FF2B5EF4-FFF2-40B4-BE49-F238E27FC236}">
                <a16:creationId xmlns="" xmlns:a16="http://schemas.microsoft.com/office/drawing/2014/main" id="{00000000-0008-0000-0000-00004B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2" name="AutoShape 27">
            <a:extLst>
              <a:ext uri="{FF2B5EF4-FFF2-40B4-BE49-F238E27FC236}">
                <a16:creationId xmlns="" xmlns:a16="http://schemas.microsoft.com/office/drawing/2014/main" id="{00000000-0008-0000-0000-000016000000}"/>
              </a:ext>
            </a:extLst>
          </xdr:cNvPr>
          <xdr:cNvSpPr>
            <a:spLocks noChangeArrowheads="1"/>
          </xdr:cNvSpPr>
        </xdr:nvSpPr>
        <xdr:spPr bwMode="gray">
          <a:xfrm>
            <a:off x="1265" y="1993"/>
            <a:ext cx="3293" cy="611"/>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a:extLst>
              <a:ext uri="{FF2B5EF4-FFF2-40B4-BE49-F238E27FC236}">
                <a16:creationId xmlns="" xmlns:a16="http://schemas.microsoft.com/office/drawing/2014/main" id="{00000000-0008-0000-0000-000017000000}"/>
              </a:ext>
            </a:extLst>
          </xdr:cNvPr>
          <xdr:cNvSpPr>
            <a:spLocks/>
          </xdr:cNvSpPr>
        </xdr:nvSpPr>
        <xdr:spPr bwMode="gray">
          <a:xfrm>
            <a:off x="1298" y="1993"/>
            <a:ext cx="359" cy="346"/>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323850</xdr:colOff>
      <xdr:row>15</xdr:row>
      <xdr:rowOff>180975</xdr:rowOff>
    </xdr:from>
    <xdr:to>
      <xdr:col>6</xdr:col>
      <xdr:colOff>628650</xdr:colOff>
      <xdr:row>17</xdr:row>
      <xdr:rowOff>161925</xdr:rowOff>
    </xdr:to>
    <xdr:grpSp>
      <xdr:nvGrpSpPr>
        <xdr:cNvPr id="3681914" name="Group 25">
          <a:hlinkClick xmlns:r="http://schemas.openxmlformats.org/officeDocument/2006/relationships" r:id="rId4"/>
          <a:extLst>
            <a:ext uri="{FF2B5EF4-FFF2-40B4-BE49-F238E27FC236}">
              <a16:creationId xmlns="" xmlns:a16="http://schemas.microsoft.com/office/drawing/2014/main" id="{00000000-0008-0000-0000-00007A2E3800}"/>
            </a:ext>
          </a:extLst>
        </xdr:cNvPr>
        <xdr:cNvGrpSpPr>
          <a:grpSpLocks/>
        </xdr:cNvGrpSpPr>
      </xdr:nvGrpSpPr>
      <xdr:grpSpPr bwMode="auto">
        <a:xfrm>
          <a:off x="3451225" y="3522663"/>
          <a:ext cx="1066800" cy="361950"/>
          <a:chOff x="1200" y="1912"/>
          <a:chExt cx="3456" cy="774"/>
        </a:xfrm>
      </xdr:grpSpPr>
      <xdr:sp macro="" textlink="">
        <xdr:nvSpPr>
          <xdr:cNvPr id="3173448" name="AutoShape 26">
            <a:extLst>
              <a:ext uri="{FF2B5EF4-FFF2-40B4-BE49-F238E27FC236}">
                <a16:creationId xmlns="" xmlns:a16="http://schemas.microsoft.com/office/drawing/2014/main" id="{00000000-0008-0000-0000-000048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6" name="AutoShape 27">
            <a:extLst>
              <a:ext uri="{FF2B5EF4-FFF2-40B4-BE49-F238E27FC236}">
                <a16:creationId xmlns="" xmlns:a16="http://schemas.microsoft.com/office/drawing/2014/main" id="{00000000-0008-0000-0000-00001A000000}"/>
              </a:ext>
            </a:extLst>
          </xdr:cNvPr>
          <xdr:cNvSpPr>
            <a:spLocks noChangeArrowheads="1"/>
          </xdr:cNvSpPr>
        </xdr:nvSpPr>
        <xdr:spPr bwMode="gray">
          <a:xfrm>
            <a:off x="1293" y="1993"/>
            <a:ext cx="3302" cy="611"/>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a:extLst>
              <a:ext uri="{FF2B5EF4-FFF2-40B4-BE49-F238E27FC236}">
                <a16:creationId xmlns="" xmlns:a16="http://schemas.microsoft.com/office/drawing/2014/main" id="{00000000-0008-0000-0000-00001B000000}"/>
              </a:ext>
            </a:extLst>
          </xdr:cNvPr>
          <xdr:cNvSpPr>
            <a:spLocks/>
          </xdr:cNvSpPr>
        </xdr:nvSpPr>
        <xdr:spPr bwMode="gray">
          <a:xfrm>
            <a:off x="1293" y="1993"/>
            <a:ext cx="370" cy="346"/>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285750</xdr:colOff>
      <xdr:row>13</xdr:row>
      <xdr:rowOff>9525</xdr:rowOff>
    </xdr:from>
    <xdr:to>
      <xdr:col>6</xdr:col>
      <xdr:colOff>600075</xdr:colOff>
      <xdr:row>15</xdr:row>
      <xdr:rowOff>0</xdr:rowOff>
    </xdr:to>
    <xdr:grpSp>
      <xdr:nvGrpSpPr>
        <xdr:cNvPr id="3681915" name="Group 25">
          <a:hlinkClick xmlns:r="http://schemas.openxmlformats.org/officeDocument/2006/relationships" r:id="rId5"/>
          <a:extLst>
            <a:ext uri="{FF2B5EF4-FFF2-40B4-BE49-F238E27FC236}">
              <a16:creationId xmlns="" xmlns:a16="http://schemas.microsoft.com/office/drawing/2014/main" id="{00000000-0008-0000-0000-00007B2E3800}"/>
            </a:ext>
          </a:extLst>
        </xdr:cNvPr>
        <xdr:cNvGrpSpPr>
          <a:grpSpLocks/>
        </xdr:cNvGrpSpPr>
      </xdr:nvGrpSpPr>
      <xdr:grpSpPr bwMode="auto">
        <a:xfrm>
          <a:off x="3413125" y="2970213"/>
          <a:ext cx="1076325" cy="371475"/>
          <a:chOff x="1200" y="1912"/>
          <a:chExt cx="3456" cy="774"/>
        </a:xfrm>
      </xdr:grpSpPr>
      <xdr:sp macro="" textlink="">
        <xdr:nvSpPr>
          <xdr:cNvPr id="3173445" name="AutoShape 26">
            <a:extLst>
              <a:ext uri="{FF2B5EF4-FFF2-40B4-BE49-F238E27FC236}">
                <a16:creationId xmlns="" xmlns:a16="http://schemas.microsoft.com/office/drawing/2014/main" id="{00000000-0008-0000-0000-000045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07941" name="AutoShape 27">
            <a:extLst>
              <a:ext uri="{FF2B5EF4-FFF2-40B4-BE49-F238E27FC236}">
                <a16:creationId xmlns="" xmlns:a16="http://schemas.microsoft.com/office/drawing/2014/main" id="{00000000-0008-0000-0000-0000452C0300}"/>
              </a:ext>
            </a:extLst>
          </xdr:cNvPr>
          <xdr:cNvSpPr>
            <a:spLocks noChangeArrowheads="1"/>
          </xdr:cNvSpPr>
        </xdr:nvSpPr>
        <xdr:spPr bwMode="gray">
          <a:xfrm>
            <a:off x="1292" y="1991"/>
            <a:ext cx="3303"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a:extLst>
              <a:ext uri="{FF2B5EF4-FFF2-40B4-BE49-F238E27FC236}">
                <a16:creationId xmlns="" xmlns:a16="http://schemas.microsoft.com/office/drawing/2014/main" id="{00000000-0008-0000-0000-0000462C0300}"/>
              </a:ext>
            </a:extLst>
          </xdr:cNvPr>
          <xdr:cNvSpPr>
            <a:spLocks/>
          </xdr:cNvSpPr>
        </xdr:nvSpPr>
        <xdr:spPr bwMode="gray">
          <a:xfrm>
            <a:off x="1292" y="1991"/>
            <a:ext cx="367" cy="35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307975</xdr:colOff>
      <xdr:row>5</xdr:row>
      <xdr:rowOff>0</xdr:rowOff>
    </xdr:from>
    <xdr:to>
      <xdr:col>7</xdr:col>
      <xdr:colOff>400125</xdr:colOff>
      <xdr:row>6</xdr:row>
      <xdr:rowOff>41764</xdr:rowOff>
    </xdr:to>
    <xdr:sp macro="" textlink="">
      <xdr:nvSpPr>
        <xdr:cNvPr id="4899" name="Rectangle 803">
          <a:extLst>
            <a:ext uri="{FF2B5EF4-FFF2-40B4-BE49-F238E27FC236}">
              <a16:creationId xmlns="" xmlns:a16="http://schemas.microsoft.com/office/drawing/2014/main" id="{00000000-0008-0000-0000-000023130000}"/>
            </a:ext>
          </a:extLst>
        </xdr:cNvPr>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171450</xdr:colOff>
      <xdr:row>13</xdr:row>
      <xdr:rowOff>28575</xdr:rowOff>
    </xdr:to>
    <xdr:grpSp>
      <xdr:nvGrpSpPr>
        <xdr:cNvPr id="3681917" name="Group 832">
          <a:hlinkClick xmlns:r="http://schemas.openxmlformats.org/officeDocument/2006/relationships" r:id="rId6"/>
          <a:extLst>
            <a:ext uri="{FF2B5EF4-FFF2-40B4-BE49-F238E27FC236}">
              <a16:creationId xmlns="" xmlns:a16="http://schemas.microsoft.com/office/drawing/2014/main" id="{00000000-0008-0000-0000-00007D2E3800}"/>
            </a:ext>
          </a:extLst>
        </xdr:cNvPr>
        <xdr:cNvGrpSpPr>
          <a:grpSpLocks/>
        </xdr:cNvGrpSpPr>
      </xdr:nvGrpSpPr>
      <xdr:grpSpPr bwMode="auto">
        <a:xfrm>
          <a:off x="5708650" y="2579688"/>
          <a:ext cx="1511300" cy="409575"/>
          <a:chOff x="599" y="262"/>
          <a:chExt cx="158" cy="43"/>
        </a:xfrm>
      </xdr:grpSpPr>
      <xdr:sp macro="" textlink="">
        <xdr:nvSpPr>
          <xdr:cNvPr id="3173441" name="AutoShape 30">
            <a:extLst>
              <a:ext uri="{FF2B5EF4-FFF2-40B4-BE49-F238E27FC236}">
                <a16:creationId xmlns="" xmlns:a16="http://schemas.microsoft.com/office/drawing/2014/main" id="{00000000-0008-0000-0000-0000416C30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48" name="13 Grupo">
            <a:extLst>
              <a:ext uri="{FF2B5EF4-FFF2-40B4-BE49-F238E27FC236}">
                <a16:creationId xmlns="" xmlns:a16="http://schemas.microsoft.com/office/drawing/2014/main" id="{00000000-0008-0000-0000-00009C2E3800}"/>
              </a:ext>
            </a:extLst>
          </xdr:cNvPr>
          <xdr:cNvGrpSpPr>
            <a:grpSpLocks/>
          </xdr:cNvGrpSpPr>
        </xdr:nvGrpSpPr>
        <xdr:grpSpPr bwMode="auto">
          <a:xfrm>
            <a:off x="603" y="267"/>
            <a:ext cx="151" cy="35"/>
            <a:chOff x="1104968" y="2771552"/>
            <a:chExt cx="3605494" cy="566957"/>
          </a:xfrm>
        </xdr:grpSpPr>
        <xdr:sp macro="" textlink="">
          <xdr:nvSpPr>
            <xdr:cNvPr id="4903" name="AutoShape 31">
              <a:extLst>
                <a:ext uri="{FF2B5EF4-FFF2-40B4-BE49-F238E27FC236}">
                  <a16:creationId xmlns="" xmlns:a16="http://schemas.microsoft.com/office/drawing/2014/main" id="{00000000-0008-0000-0000-000027130000}"/>
                </a:ext>
              </a:extLst>
            </xdr:cNvPr>
            <xdr:cNvSpPr>
              <a:spLocks noChangeArrowheads="1"/>
            </xdr:cNvSpPr>
          </xdr:nvSpPr>
          <xdr:spPr bwMode="gray">
            <a:xfrm>
              <a:off x="1033186" y="2641962"/>
              <a:ext cx="3677727" cy="69654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3681950" name="Freeform 32">
              <a:extLst>
                <a:ext uri="{FF2B5EF4-FFF2-40B4-BE49-F238E27FC236}">
                  <a16:creationId xmlns="" xmlns:a16="http://schemas.microsoft.com/office/drawing/2014/main" id="{00000000-0008-0000-0000-00009E2E3800}"/>
                </a:ext>
              </a:extLst>
            </xdr:cNvPr>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238125</xdr:colOff>
      <xdr:row>7</xdr:row>
      <xdr:rowOff>85725</xdr:rowOff>
    </xdr:from>
    <xdr:to>
      <xdr:col>4</xdr:col>
      <xdr:colOff>114300</xdr:colOff>
      <xdr:row>18</xdr:row>
      <xdr:rowOff>104775</xdr:rowOff>
    </xdr:to>
    <xdr:grpSp>
      <xdr:nvGrpSpPr>
        <xdr:cNvPr id="3681918" name="Group 830">
          <a:extLst>
            <a:ext uri="{FF2B5EF4-FFF2-40B4-BE49-F238E27FC236}">
              <a16:creationId xmlns="" xmlns:a16="http://schemas.microsoft.com/office/drawing/2014/main" id="{00000000-0008-0000-0000-00007E2E3800}"/>
            </a:ext>
          </a:extLst>
        </xdr:cNvPr>
        <xdr:cNvGrpSpPr>
          <a:grpSpLocks/>
        </xdr:cNvGrpSpPr>
      </xdr:nvGrpSpPr>
      <xdr:grpSpPr bwMode="auto">
        <a:xfrm>
          <a:off x="317500" y="1903413"/>
          <a:ext cx="2162175" cy="2114550"/>
          <a:chOff x="32" y="188"/>
          <a:chExt cx="225" cy="225"/>
        </a:xfrm>
      </xdr:grpSpPr>
      <xdr:sp macro="" textlink="">
        <xdr:nvSpPr>
          <xdr:cNvPr id="3681945" name="AutoShape 31">
            <a:extLst>
              <a:ext uri="{FF2B5EF4-FFF2-40B4-BE49-F238E27FC236}">
                <a16:creationId xmlns="" xmlns:a16="http://schemas.microsoft.com/office/drawing/2014/main" id="{00000000-0008-0000-0000-0000992E38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a:extLst>
              <a:ext uri="{FF2B5EF4-FFF2-40B4-BE49-F238E27FC236}">
                <a16:creationId xmlns="" xmlns:a16="http://schemas.microsoft.com/office/drawing/2014/main" id="{00000000-0008-0000-0000-000031130000}"/>
              </a:ext>
            </a:extLst>
          </xdr:cNvPr>
          <xdr:cNvSpPr>
            <a:spLocks/>
          </xdr:cNvSpPr>
        </xdr:nvSpPr>
        <xdr:spPr bwMode="gray">
          <a:xfrm>
            <a:off x="42" y="197"/>
            <a:ext cx="56" cy="28"/>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3681919" name="Group 826">
          <a:extLst>
            <a:ext uri="{FF2B5EF4-FFF2-40B4-BE49-F238E27FC236}">
              <a16:creationId xmlns="" xmlns:a16="http://schemas.microsoft.com/office/drawing/2014/main" id="{00000000-0008-0000-0000-00007F2E3800}"/>
            </a:ext>
          </a:extLst>
        </xdr:cNvPr>
        <xdr:cNvGrpSpPr>
          <a:grpSpLocks/>
        </xdr:cNvGrpSpPr>
      </xdr:nvGrpSpPr>
      <xdr:grpSpPr bwMode="auto">
        <a:xfrm>
          <a:off x="5699125" y="3208338"/>
          <a:ext cx="1501775" cy="409575"/>
          <a:chOff x="578" y="328"/>
          <a:chExt cx="158" cy="43"/>
        </a:xfrm>
      </xdr:grpSpPr>
      <xdr:sp macro="" textlink="">
        <xdr:nvSpPr>
          <xdr:cNvPr id="3173435" name="AutoShape 30">
            <a:extLst>
              <a:ext uri="{FF2B5EF4-FFF2-40B4-BE49-F238E27FC236}">
                <a16:creationId xmlns="" xmlns:a16="http://schemas.microsoft.com/office/drawing/2014/main" id="{00000000-0008-0000-0000-00003B6C30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42" name="Group 823">
            <a:extLst>
              <a:ext uri="{FF2B5EF4-FFF2-40B4-BE49-F238E27FC236}">
                <a16:creationId xmlns="" xmlns:a16="http://schemas.microsoft.com/office/drawing/2014/main" id="{00000000-0008-0000-0000-0000962E38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a:extLst>
                <a:ext uri="{FF2B5EF4-FFF2-40B4-BE49-F238E27FC236}">
                  <a16:creationId xmlns="" xmlns:a16="http://schemas.microsoft.com/office/drawing/2014/main" id="{00000000-0008-0000-0000-00002C130000}"/>
                </a:ext>
              </a:extLst>
            </xdr:cNvPr>
            <xdr:cNvSpPr>
              <a:spLocks noChangeArrowheads="1"/>
            </xdr:cNvSpPr>
          </xdr:nvSpPr>
          <xdr:spPr bwMode="gray">
            <a:xfrm>
              <a:off x="582" y="331"/>
              <a:ext cx="151" cy="3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3681944" name="Freeform 32">
              <a:extLst>
                <a:ext uri="{FF2B5EF4-FFF2-40B4-BE49-F238E27FC236}">
                  <a16:creationId xmlns="" xmlns:a16="http://schemas.microsoft.com/office/drawing/2014/main" id="{00000000-0008-0000-0000-0000982E38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523875</xdr:colOff>
      <xdr:row>15</xdr:row>
      <xdr:rowOff>133350</xdr:rowOff>
    </xdr:from>
    <xdr:to>
      <xdr:col>3</xdr:col>
      <xdr:colOff>495300</xdr:colOff>
      <xdr:row>17</xdr:row>
      <xdr:rowOff>95250</xdr:rowOff>
    </xdr:to>
    <xdr:grpSp>
      <xdr:nvGrpSpPr>
        <xdr:cNvPr id="3681920" name="Group 831">
          <a:hlinkClick xmlns:r="http://schemas.openxmlformats.org/officeDocument/2006/relationships" r:id="rId8"/>
          <a:extLst>
            <a:ext uri="{FF2B5EF4-FFF2-40B4-BE49-F238E27FC236}">
              <a16:creationId xmlns="" xmlns:a16="http://schemas.microsoft.com/office/drawing/2014/main" id="{00000000-0008-0000-0000-0000802E3800}"/>
            </a:ext>
          </a:extLst>
        </xdr:cNvPr>
        <xdr:cNvGrpSpPr>
          <a:grpSpLocks/>
        </xdr:cNvGrpSpPr>
      </xdr:nvGrpSpPr>
      <xdr:grpSpPr bwMode="auto">
        <a:xfrm>
          <a:off x="603250" y="3475038"/>
          <a:ext cx="1495425" cy="342900"/>
          <a:chOff x="56" y="259"/>
          <a:chExt cx="158" cy="40"/>
        </a:xfrm>
      </xdr:grpSpPr>
      <xdr:sp macro="" textlink="">
        <xdr:nvSpPr>
          <xdr:cNvPr id="3173431" name="AutoShape 30">
            <a:extLst>
              <a:ext uri="{FF2B5EF4-FFF2-40B4-BE49-F238E27FC236}">
                <a16:creationId xmlns="" xmlns:a16="http://schemas.microsoft.com/office/drawing/2014/main" id="{00000000-0008-0000-0000-0000376C30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8" name="11 Grupo">
            <a:extLst>
              <a:ext uri="{FF2B5EF4-FFF2-40B4-BE49-F238E27FC236}">
                <a16:creationId xmlns="" xmlns:a16="http://schemas.microsoft.com/office/drawing/2014/main" id="{00000000-0008-0000-0000-0000922E3800}"/>
              </a:ext>
            </a:extLst>
          </xdr:cNvPr>
          <xdr:cNvGrpSpPr>
            <a:grpSpLocks/>
          </xdr:cNvGrpSpPr>
        </xdr:nvGrpSpPr>
        <xdr:grpSpPr bwMode="auto">
          <a:xfrm>
            <a:off x="60" y="263"/>
            <a:ext cx="151" cy="32"/>
            <a:chOff x="1104968" y="2771584"/>
            <a:chExt cx="3605494" cy="566957"/>
          </a:xfrm>
        </xdr:grpSpPr>
        <xdr:sp macro="" textlink="">
          <xdr:nvSpPr>
            <xdr:cNvPr id="9" name="AutoShape 31">
              <a:extLst>
                <a:ext uri="{FF2B5EF4-FFF2-40B4-BE49-F238E27FC236}">
                  <a16:creationId xmlns="" xmlns:a16="http://schemas.microsoft.com/office/drawing/2014/main" id="{00000000-0008-0000-0000-000009000000}"/>
                </a:ext>
              </a:extLst>
            </xdr:cNvPr>
            <xdr:cNvSpPr>
              <a:spLocks noChangeArrowheads="1"/>
            </xdr:cNvSpPr>
          </xdr:nvSpPr>
          <xdr:spPr bwMode="gray">
            <a:xfrm>
              <a:off x="1033487" y="2897574"/>
              <a:ext cx="3676518" cy="492150"/>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a:extLst>
                <a:ext uri="{FF2B5EF4-FFF2-40B4-BE49-F238E27FC236}">
                  <a16:creationId xmlns="" xmlns:a16="http://schemas.microsoft.com/office/drawing/2014/main" id="{00000000-0008-0000-0000-00000A000000}"/>
                </a:ext>
              </a:extLst>
            </xdr:cNvPr>
            <xdr:cNvSpPr>
              <a:spLocks/>
            </xdr:cNvSpPr>
          </xdr:nvSpPr>
          <xdr:spPr bwMode="gray">
            <a:xfrm>
              <a:off x="1153635" y="2897574"/>
              <a:ext cx="360443" cy="19686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523875</xdr:colOff>
      <xdr:row>10</xdr:row>
      <xdr:rowOff>28575</xdr:rowOff>
    </xdr:from>
    <xdr:to>
      <xdr:col>3</xdr:col>
      <xdr:colOff>495300</xdr:colOff>
      <xdr:row>12</xdr:row>
      <xdr:rowOff>9525</xdr:rowOff>
    </xdr:to>
    <xdr:grpSp>
      <xdr:nvGrpSpPr>
        <xdr:cNvPr id="3681921" name="37 Grupo">
          <a:hlinkClick xmlns:r="http://schemas.openxmlformats.org/officeDocument/2006/relationships" r:id="rId9"/>
          <a:extLst>
            <a:ext uri="{FF2B5EF4-FFF2-40B4-BE49-F238E27FC236}">
              <a16:creationId xmlns="" xmlns:a16="http://schemas.microsoft.com/office/drawing/2014/main" id="{00000000-0008-0000-0000-0000812E3800}"/>
            </a:ext>
          </a:extLst>
        </xdr:cNvPr>
        <xdr:cNvGrpSpPr>
          <a:grpSpLocks/>
        </xdr:cNvGrpSpPr>
      </xdr:nvGrpSpPr>
      <xdr:grpSpPr bwMode="auto">
        <a:xfrm>
          <a:off x="603250" y="2417763"/>
          <a:ext cx="1495425" cy="361950"/>
          <a:chOff x="1343025" y="2428876"/>
          <a:chExt cx="3240982" cy="617274"/>
        </a:xfrm>
      </xdr:grpSpPr>
      <xdr:sp macro="" textlink="">
        <xdr:nvSpPr>
          <xdr:cNvPr id="3173427" name="AutoShape 30">
            <a:extLst>
              <a:ext uri="{FF2B5EF4-FFF2-40B4-BE49-F238E27FC236}">
                <a16:creationId xmlns="" xmlns:a16="http://schemas.microsoft.com/office/drawing/2014/main" id="{00000000-0008-0000-0000-0000336C30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4" name="13 Grupo">
            <a:extLst>
              <a:ext uri="{FF2B5EF4-FFF2-40B4-BE49-F238E27FC236}">
                <a16:creationId xmlns="" xmlns:a16="http://schemas.microsoft.com/office/drawing/2014/main" id="{00000000-0008-0000-0000-00008E2E3800}"/>
              </a:ext>
            </a:extLst>
          </xdr:cNvPr>
          <xdr:cNvGrpSpPr>
            <a:grpSpLocks/>
          </xdr:cNvGrpSpPr>
        </xdr:nvGrpSpPr>
        <xdr:grpSpPr bwMode="auto">
          <a:xfrm>
            <a:off x="1419283" y="2495353"/>
            <a:ext cx="3097998" cy="503316"/>
            <a:chOff x="1104968" y="2771552"/>
            <a:chExt cx="3605494" cy="566957"/>
          </a:xfrm>
        </xdr:grpSpPr>
        <xdr:sp macro="" textlink="">
          <xdr:nvSpPr>
            <xdr:cNvPr id="3" name="AutoShape 31">
              <a:extLst>
                <a:ext uri="{FF2B5EF4-FFF2-40B4-BE49-F238E27FC236}">
                  <a16:creationId xmlns="" xmlns:a16="http://schemas.microsoft.com/office/drawing/2014/main" id="{00000000-0008-0000-0000-000003000000}"/>
                </a:ext>
              </a:extLst>
            </xdr:cNvPr>
            <xdr:cNvSpPr>
              <a:spLocks noChangeArrowheads="1"/>
            </xdr:cNvSpPr>
          </xdr:nvSpPr>
          <xdr:spPr bwMode="gray">
            <a:xfrm>
              <a:off x="1112318" y="2769861"/>
              <a:ext cx="3603726" cy="567237"/>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a:extLst>
                <a:ext uri="{FF2B5EF4-FFF2-40B4-BE49-F238E27FC236}">
                  <a16:creationId xmlns="" xmlns:a16="http://schemas.microsoft.com/office/drawing/2014/main" id="{00000000-0008-0000-0000-000004000000}"/>
                </a:ext>
              </a:extLst>
            </xdr:cNvPr>
            <xdr:cNvSpPr>
              <a:spLocks/>
            </xdr:cNvSpPr>
          </xdr:nvSpPr>
          <xdr:spPr bwMode="gray">
            <a:xfrm>
              <a:off x="1160368" y="2806457"/>
              <a:ext cx="360373" cy="292768"/>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523875</xdr:colOff>
      <xdr:row>12</xdr:row>
      <xdr:rowOff>180975</xdr:rowOff>
    </xdr:from>
    <xdr:to>
      <xdr:col>3</xdr:col>
      <xdr:colOff>495300</xdr:colOff>
      <xdr:row>14</xdr:row>
      <xdr:rowOff>180975</xdr:rowOff>
    </xdr:to>
    <xdr:grpSp>
      <xdr:nvGrpSpPr>
        <xdr:cNvPr id="3681922" name="37 Grupo">
          <a:hlinkClick xmlns:r="http://schemas.openxmlformats.org/officeDocument/2006/relationships" r:id="rId10"/>
          <a:extLst>
            <a:ext uri="{FF2B5EF4-FFF2-40B4-BE49-F238E27FC236}">
              <a16:creationId xmlns="" xmlns:a16="http://schemas.microsoft.com/office/drawing/2014/main" id="{00000000-0008-0000-0000-0000822E3800}"/>
            </a:ext>
          </a:extLst>
        </xdr:cNvPr>
        <xdr:cNvGrpSpPr>
          <a:grpSpLocks/>
        </xdr:cNvGrpSpPr>
      </xdr:nvGrpSpPr>
      <xdr:grpSpPr bwMode="auto">
        <a:xfrm>
          <a:off x="603250" y="2951163"/>
          <a:ext cx="1495425" cy="381000"/>
          <a:chOff x="1343025" y="2428876"/>
          <a:chExt cx="3240982" cy="617274"/>
        </a:xfrm>
      </xdr:grpSpPr>
      <xdr:sp macro="" textlink="">
        <xdr:nvSpPr>
          <xdr:cNvPr id="3173423" name="AutoShape 30">
            <a:extLst>
              <a:ext uri="{FF2B5EF4-FFF2-40B4-BE49-F238E27FC236}">
                <a16:creationId xmlns="" xmlns:a16="http://schemas.microsoft.com/office/drawing/2014/main" id="{00000000-0008-0000-0000-00002F6C30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0" name="13 Grupo">
            <a:extLst>
              <a:ext uri="{FF2B5EF4-FFF2-40B4-BE49-F238E27FC236}">
                <a16:creationId xmlns="" xmlns:a16="http://schemas.microsoft.com/office/drawing/2014/main" id="{00000000-0008-0000-0000-00008A2E38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extLst>
                <a:ext uri="{FF2B5EF4-FFF2-40B4-BE49-F238E27FC236}">
                  <a16:creationId xmlns="" xmlns:a16="http://schemas.microsoft.com/office/drawing/2014/main" id="{00000000-0008-0000-0000-00000E000000}"/>
                </a:ext>
              </a:extLst>
            </xdr:cNvPr>
            <xdr:cNvSpPr>
              <a:spLocks noChangeArrowheads="1"/>
            </xdr:cNvSpPr>
          </xdr:nvSpPr>
          <xdr:spPr bwMode="gray">
            <a:xfrm>
              <a:off x="1112318" y="2766201"/>
              <a:ext cx="3603726" cy="573642"/>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a:extLst>
                <a:ext uri="{FF2B5EF4-FFF2-40B4-BE49-F238E27FC236}">
                  <a16:creationId xmlns="" xmlns:a16="http://schemas.microsoft.com/office/drawing/2014/main" id="{00000000-0008-0000-0000-00000F000000}"/>
                </a:ext>
              </a:extLst>
            </xdr:cNvPr>
            <xdr:cNvSpPr>
              <a:spLocks/>
            </xdr:cNvSpPr>
          </xdr:nvSpPr>
          <xdr:spPr bwMode="gray">
            <a:xfrm>
              <a:off x="1160368" y="2766201"/>
              <a:ext cx="360373" cy="34766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114300</xdr:colOff>
      <xdr:row>9</xdr:row>
      <xdr:rowOff>133350</xdr:rowOff>
    </xdr:to>
    <xdr:pic>
      <xdr:nvPicPr>
        <xdr:cNvPr id="3681923" name="Picture 2012">
          <a:extLst>
            <a:ext uri="{FF2B5EF4-FFF2-40B4-BE49-F238E27FC236}">
              <a16:creationId xmlns="" xmlns:a16="http://schemas.microsoft.com/office/drawing/2014/main" id="{00000000-0008-0000-0000-0000832E3800}"/>
            </a:ext>
          </a:extLst>
        </xdr:cNvPr>
        <xdr:cNvPicPr>
          <a:picLocks noChangeAspect="1" noChangeArrowheads="1"/>
        </xdr:cNvPicPr>
      </xdr:nvPicPr>
      <xdr:blipFill>
        <a:blip xmlns:r="http://schemas.openxmlformats.org/officeDocument/2006/relationships" r:embed="rId11" cstate="print"/>
        <a:srcRect/>
        <a:stretch>
          <a:fillRect/>
        </a:stretch>
      </xdr:blipFill>
      <xdr:spPr bwMode="auto">
        <a:xfrm>
          <a:off x="333375" y="1876425"/>
          <a:ext cx="2143125" cy="447675"/>
        </a:xfrm>
        <a:prstGeom prst="rect">
          <a:avLst/>
        </a:prstGeom>
        <a:noFill/>
        <a:ln w="9525">
          <a:noFill/>
          <a:miter lim="800000"/>
          <a:headEnd/>
          <a:tailEnd/>
        </a:ln>
      </xdr:spPr>
    </xdr:pic>
    <xdr:clientData/>
  </xdr:twoCellAnchor>
  <xdr:twoCellAnchor editAs="oneCell">
    <xdr:from>
      <xdr:col>1</xdr:col>
      <xdr:colOff>361950</xdr:colOff>
      <xdr:row>7</xdr:row>
      <xdr:rowOff>95250</xdr:rowOff>
    </xdr:from>
    <xdr:to>
      <xdr:col>4</xdr:col>
      <xdr:colOff>38318</xdr:colOff>
      <xdr:row>9</xdr:row>
      <xdr:rowOff>95477</xdr:rowOff>
    </xdr:to>
    <xdr:sp macro="" textlink="">
      <xdr:nvSpPr>
        <xdr:cNvPr id="955357" name="Text Box 2013">
          <a:extLst>
            <a:ext uri="{FF2B5EF4-FFF2-40B4-BE49-F238E27FC236}">
              <a16:creationId xmlns="" xmlns:a16="http://schemas.microsoft.com/office/drawing/2014/main"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700"/>
            </a:lnSpc>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lnSpc>
              <a:spcPts val="1700"/>
            </a:lnSpc>
            <a:defRPr sz="1000"/>
          </a:pPr>
          <a:endParaRPr lang="en-US" sz="1800" b="0" i="0" strike="noStrike">
            <a:solidFill>
              <a:srgbClr val="000000"/>
            </a:solidFill>
            <a:latin typeface="Arial"/>
            <a:cs typeface="Arial"/>
          </a:endParaRPr>
        </a:p>
      </xdr:txBody>
    </xdr:sp>
    <xdr:clientData/>
  </xdr:twoCellAnchor>
  <xdr:twoCellAnchor editAs="oneCell">
    <xdr:from>
      <xdr:col>4</xdr:col>
      <xdr:colOff>238125</xdr:colOff>
      <xdr:row>7</xdr:row>
      <xdr:rowOff>66675</xdr:rowOff>
    </xdr:from>
    <xdr:to>
      <xdr:col>7</xdr:col>
      <xdr:colOff>561975</xdr:colOff>
      <xdr:row>9</xdr:row>
      <xdr:rowOff>133350</xdr:rowOff>
    </xdr:to>
    <xdr:pic>
      <xdr:nvPicPr>
        <xdr:cNvPr id="3681925" name="Picture 2016">
          <a:extLst>
            <a:ext uri="{FF2B5EF4-FFF2-40B4-BE49-F238E27FC236}">
              <a16:creationId xmlns="" xmlns:a16="http://schemas.microsoft.com/office/drawing/2014/main" id="{00000000-0008-0000-0000-0000852E3800}"/>
            </a:ext>
          </a:extLst>
        </xdr:cNvPr>
        <xdr:cNvPicPr>
          <a:picLocks noChangeAspect="1" noChangeArrowheads="1"/>
        </xdr:cNvPicPr>
      </xdr:nvPicPr>
      <xdr:blipFill>
        <a:blip xmlns:r="http://schemas.openxmlformats.org/officeDocument/2006/relationships" r:embed="rId12" cstate="print"/>
        <a:srcRect/>
        <a:stretch>
          <a:fillRect/>
        </a:stretch>
      </xdr:blipFill>
      <xdr:spPr bwMode="auto">
        <a:xfrm>
          <a:off x="2600325" y="1876425"/>
          <a:ext cx="2609850" cy="447675"/>
        </a:xfrm>
        <a:prstGeom prst="rect">
          <a:avLst/>
        </a:prstGeom>
        <a:noFill/>
        <a:ln w="9525">
          <a:noFill/>
          <a:miter lim="800000"/>
          <a:headEnd/>
          <a:tailEnd/>
        </a:ln>
      </xdr:spPr>
    </xdr:pic>
    <xdr:clientData/>
  </xdr:twoCellAnchor>
  <xdr:twoCellAnchor editAs="oneCell">
    <xdr:from>
      <xdr:col>4</xdr:col>
      <xdr:colOff>600075</xdr:colOff>
      <xdr:row>7</xdr:row>
      <xdr:rowOff>95250</xdr:rowOff>
    </xdr:from>
    <xdr:to>
      <xdr:col>7</xdr:col>
      <xdr:colOff>304669</xdr:colOff>
      <xdr:row>9</xdr:row>
      <xdr:rowOff>104775</xdr:rowOff>
    </xdr:to>
    <xdr:sp macro="" textlink="">
      <xdr:nvSpPr>
        <xdr:cNvPr id="955361" name="Text Box 2017">
          <a:extLst>
            <a:ext uri="{FF2B5EF4-FFF2-40B4-BE49-F238E27FC236}">
              <a16:creationId xmlns="" xmlns:a16="http://schemas.microsoft.com/office/drawing/2014/main"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twoCellAnchor editAs="oneCell">
    <xdr:from>
      <xdr:col>7</xdr:col>
      <xdr:colOff>723900</xdr:colOff>
      <xdr:row>7</xdr:row>
      <xdr:rowOff>85725</xdr:rowOff>
    </xdr:from>
    <xdr:to>
      <xdr:col>11</xdr:col>
      <xdr:colOff>495300</xdr:colOff>
      <xdr:row>9</xdr:row>
      <xdr:rowOff>133350</xdr:rowOff>
    </xdr:to>
    <xdr:pic>
      <xdr:nvPicPr>
        <xdr:cNvPr id="3681927" name="Picture 2018">
          <a:extLst>
            <a:ext uri="{FF2B5EF4-FFF2-40B4-BE49-F238E27FC236}">
              <a16:creationId xmlns="" xmlns:a16="http://schemas.microsoft.com/office/drawing/2014/main" id="{00000000-0008-0000-0000-0000872E3800}"/>
            </a:ext>
          </a:extLst>
        </xdr:cNvPr>
        <xdr:cNvPicPr>
          <a:picLocks noChangeAspect="1" noChangeArrowheads="1"/>
        </xdr:cNvPicPr>
      </xdr:nvPicPr>
      <xdr:blipFill>
        <a:blip xmlns:r="http://schemas.openxmlformats.org/officeDocument/2006/relationships" r:embed="rId13" cstate="print"/>
        <a:srcRect/>
        <a:stretch>
          <a:fillRect/>
        </a:stretch>
      </xdr:blipFill>
      <xdr:spPr bwMode="auto">
        <a:xfrm>
          <a:off x="5372100" y="1895475"/>
          <a:ext cx="2171700" cy="428625"/>
        </a:xfrm>
        <a:prstGeom prst="rect">
          <a:avLst/>
        </a:prstGeom>
        <a:noFill/>
        <a:ln w="9525">
          <a:noFill/>
          <a:miter lim="800000"/>
          <a:headEnd/>
          <a:tailEnd/>
        </a:ln>
      </xdr:spPr>
    </xdr:pic>
    <xdr:clientData/>
  </xdr:twoCellAnchor>
  <xdr:twoCellAnchor editAs="oneCell">
    <xdr:from>
      <xdr:col>8</xdr:col>
      <xdr:colOff>66675</xdr:colOff>
      <xdr:row>7</xdr:row>
      <xdr:rowOff>95250</xdr:rowOff>
    </xdr:from>
    <xdr:to>
      <xdr:col>11</xdr:col>
      <xdr:colOff>409958</xdr:colOff>
      <xdr:row>9</xdr:row>
      <xdr:rowOff>104775</xdr:rowOff>
    </xdr:to>
    <xdr:sp macro="" textlink="">
      <xdr:nvSpPr>
        <xdr:cNvPr id="955363" name="Text Box 2019">
          <a:extLst>
            <a:ext uri="{FF2B5EF4-FFF2-40B4-BE49-F238E27FC236}">
              <a16:creationId xmlns="" xmlns:a16="http://schemas.microsoft.com/office/drawing/2014/main"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9755" name="Picture 2" descr="C:\Documents and Settings\Administrator\My Documents\My Pictures\Prueba.jpg">
          <a:extLst>
            <a:ext uri="{FF2B5EF4-FFF2-40B4-BE49-F238E27FC236}">
              <a16:creationId xmlns="" xmlns:a16="http://schemas.microsoft.com/office/drawing/2014/main" id="{00000000-0008-0000-0900-00001B26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42875" y="257175"/>
          <a:ext cx="742950" cy="990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0</xdr:row>
      <xdr:rowOff>28575</xdr:rowOff>
    </xdr:from>
    <xdr:to>
      <xdr:col>1</xdr:col>
      <xdr:colOff>1118535</xdr:colOff>
      <xdr:row>1</xdr:row>
      <xdr:rowOff>0</xdr:rowOff>
    </xdr:to>
    <xdr:sp macro="" textlink="">
      <xdr:nvSpPr>
        <xdr:cNvPr id="54346" name="AutoShape 50">
          <a:hlinkClick xmlns:r="http://schemas.openxmlformats.org/officeDocument/2006/relationships" r:id="rId1"/>
          <a:extLst>
            <a:ext uri="{FF2B5EF4-FFF2-40B4-BE49-F238E27FC236}">
              <a16:creationId xmlns="" xmlns:a16="http://schemas.microsoft.com/office/drawing/2014/main"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945917</xdr:colOff>
      <xdr:row>1</xdr:row>
      <xdr:rowOff>9525</xdr:rowOff>
    </xdr:to>
    <xdr:sp macro="" textlink="">
      <xdr:nvSpPr>
        <xdr:cNvPr id="6445" name="AutoShape 50">
          <a:hlinkClick xmlns:r="http://schemas.openxmlformats.org/officeDocument/2006/relationships" r:id="rId1"/>
          <a:extLst>
            <a:ext uri="{FF2B5EF4-FFF2-40B4-BE49-F238E27FC236}">
              <a16:creationId xmlns="" xmlns:a16="http://schemas.microsoft.com/office/drawing/2014/main"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1000125</xdr:colOff>
      <xdr:row>34</xdr:row>
      <xdr:rowOff>133350</xdr:rowOff>
    </xdr:from>
    <xdr:to>
      <xdr:col>6</xdr:col>
      <xdr:colOff>1000125</xdr:colOff>
      <xdr:row>45</xdr:row>
      <xdr:rowOff>161925</xdr:rowOff>
    </xdr:to>
    <xdr:cxnSp macro="">
      <xdr:nvCxnSpPr>
        <xdr:cNvPr id="7059" name="AutoShape 100">
          <a:extLst>
            <a:ext uri="{FF2B5EF4-FFF2-40B4-BE49-F238E27FC236}">
              <a16:creationId xmlns="" xmlns:a16="http://schemas.microsoft.com/office/drawing/2014/main" id="{00000000-0008-0000-0200-0000931B0000}"/>
            </a:ext>
          </a:extLst>
        </xdr:cNvPr>
        <xdr:cNvCxnSpPr>
          <a:cxnSpLocks noChangeShapeType="1"/>
        </xdr:cNvCxnSpPr>
      </xdr:nvCxnSpPr>
      <xdr:spPr bwMode="auto">
        <a:xfrm rot="5400000">
          <a:off x="7967662" y="6748463"/>
          <a:ext cx="2714625" cy="0"/>
        </a:xfrm>
        <a:prstGeom prst="straightConnector1">
          <a:avLst/>
        </a:prstGeom>
        <a:noFill/>
        <a:ln w="9525">
          <a:solidFill>
            <a:srgbClr val="000000"/>
          </a:solidFill>
          <a:round/>
          <a:headEnd type="triangle" w="med" len="med"/>
          <a:tailEnd type="triangle" w="med" len="med"/>
        </a:ln>
      </xdr:spPr>
    </xdr:cxnSp>
    <xdr:clientData/>
  </xdr:twoCellAnchor>
  <xdr:twoCellAnchor>
    <xdr:from>
      <xdr:col>4</xdr:col>
      <xdr:colOff>0</xdr:colOff>
      <xdr:row>46</xdr:row>
      <xdr:rowOff>104775</xdr:rowOff>
    </xdr:from>
    <xdr:to>
      <xdr:col>4</xdr:col>
      <xdr:colOff>1066800</xdr:colOff>
      <xdr:row>46</xdr:row>
      <xdr:rowOff>104775</xdr:rowOff>
    </xdr:to>
    <xdr:cxnSp macro="">
      <xdr:nvCxnSpPr>
        <xdr:cNvPr id="7060" name="AutoShape 101">
          <a:extLst>
            <a:ext uri="{FF2B5EF4-FFF2-40B4-BE49-F238E27FC236}">
              <a16:creationId xmlns="" xmlns:a16="http://schemas.microsoft.com/office/drawing/2014/main" id="{00000000-0008-0000-0200-0000941B0000}"/>
            </a:ext>
          </a:extLst>
        </xdr:cNvPr>
        <xdr:cNvCxnSpPr>
          <a:cxnSpLocks noChangeShapeType="1"/>
        </xdr:cNvCxnSpPr>
      </xdr:nvCxnSpPr>
      <xdr:spPr bwMode="auto">
        <a:xfrm rot="10800000">
          <a:off x="6067425" y="8248650"/>
          <a:ext cx="1066800" cy="0"/>
        </a:xfrm>
        <a:prstGeom prst="straightConnector1">
          <a:avLst/>
        </a:prstGeom>
        <a:noFill/>
        <a:ln w="9525">
          <a:solidFill>
            <a:srgbClr val="000000"/>
          </a:solidFill>
          <a:round/>
          <a:headEnd type="triangle" w="med" len="med"/>
          <a:tailEnd type="triangle" w="med" len="med"/>
        </a:ln>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190500</xdr:colOff>
      <xdr:row>2</xdr:row>
      <xdr:rowOff>0</xdr:rowOff>
    </xdr:from>
    <xdr:to>
      <xdr:col>0</xdr:col>
      <xdr:colOff>1187639</xdr:colOff>
      <xdr:row>2</xdr:row>
      <xdr:rowOff>422805</xdr:rowOff>
    </xdr:to>
    <xdr:sp macro="" textlink="">
      <xdr:nvSpPr>
        <xdr:cNvPr id="3189" name="Rectangle 117">
          <a:hlinkClick xmlns:r="http://schemas.openxmlformats.org/officeDocument/2006/relationships" r:id="rId1"/>
          <a:extLst>
            <a:ext uri="{FF2B5EF4-FFF2-40B4-BE49-F238E27FC236}">
              <a16:creationId xmlns="" xmlns:a16="http://schemas.microsoft.com/office/drawing/2014/main"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lnSpc>
              <a:spcPts val="900"/>
            </a:lnSpc>
            <a:defRPr sz="1000"/>
          </a:pPr>
          <a:r>
            <a:rPr lang="en-ZA" sz="900" b="0" i="0" strike="noStrike">
              <a:solidFill>
                <a:srgbClr val="000000"/>
              </a:solidFill>
              <a:latin typeface="Calibri"/>
            </a:rPr>
            <a:t>http://www.crwflags.com/fotw/flags/country.html</a:t>
          </a:r>
        </a:p>
      </xdr:txBody>
    </xdr:sp>
    <xdr:clientData/>
  </xdr:twoCellAnchor>
  <xdr:twoCellAnchor>
    <xdr:from>
      <xdr:col>0</xdr:col>
      <xdr:colOff>44450</xdr:colOff>
      <xdr:row>0</xdr:row>
      <xdr:rowOff>6350</xdr:rowOff>
    </xdr:from>
    <xdr:to>
      <xdr:col>0</xdr:col>
      <xdr:colOff>1108819</xdr:colOff>
      <xdr:row>1</xdr:row>
      <xdr:rowOff>76401</xdr:rowOff>
    </xdr:to>
    <xdr:sp macro="" textlink="">
      <xdr:nvSpPr>
        <xdr:cNvPr id="3455" name="AutoShape 50">
          <a:hlinkClick xmlns:r="http://schemas.openxmlformats.org/officeDocument/2006/relationships" r:id="rId2"/>
          <a:extLst>
            <a:ext uri="{FF2B5EF4-FFF2-40B4-BE49-F238E27FC236}">
              <a16:creationId xmlns="" xmlns:a16="http://schemas.microsoft.com/office/drawing/2014/main"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2841219" name="Chart 32">
          <a:extLst>
            <a:ext uri="{FF2B5EF4-FFF2-40B4-BE49-F238E27FC236}">
              <a16:creationId xmlns="" xmlns:a16="http://schemas.microsoft.com/office/drawing/2014/main" id="{00000000-0008-0000-0400-0000835A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xdr:colOff>
      <xdr:row>0</xdr:row>
      <xdr:rowOff>28575</xdr:rowOff>
    </xdr:from>
    <xdr:to>
      <xdr:col>2</xdr:col>
      <xdr:colOff>77</xdr:colOff>
      <xdr:row>0</xdr:row>
      <xdr:rowOff>349603</xdr:rowOff>
    </xdr:to>
    <xdr:sp macro="" textlink="">
      <xdr:nvSpPr>
        <xdr:cNvPr id="7519" name="AutoShape 50">
          <a:hlinkClick xmlns:r="http://schemas.openxmlformats.org/officeDocument/2006/relationships" r:id="rId2"/>
          <a:extLst>
            <a:ext uri="{FF2B5EF4-FFF2-40B4-BE49-F238E27FC236}">
              <a16:creationId xmlns="" xmlns:a16="http://schemas.microsoft.com/office/drawing/2014/main" id="{00000000-0008-0000-04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38100</xdr:colOff>
      <xdr:row>9</xdr:row>
      <xdr:rowOff>66675</xdr:rowOff>
    </xdr:from>
    <xdr:to>
      <xdr:col>11</xdr:col>
      <xdr:colOff>0</xdr:colOff>
      <xdr:row>21</xdr:row>
      <xdr:rowOff>9525</xdr:rowOff>
    </xdr:to>
    <xdr:grpSp>
      <xdr:nvGrpSpPr>
        <xdr:cNvPr id="2841221" name="Group 489">
          <a:extLst>
            <a:ext uri="{FF2B5EF4-FFF2-40B4-BE49-F238E27FC236}">
              <a16:creationId xmlns="" xmlns:a16="http://schemas.microsoft.com/office/drawing/2014/main" id="{00000000-0008-0000-0400-0000855A2B00}"/>
            </a:ext>
          </a:extLst>
        </xdr:cNvPr>
        <xdr:cNvGrpSpPr>
          <a:grpSpLocks/>
        </xdr:cNvGrpSpPr>
      </xdr:nvGrpSpPr>
      <xdr:grpSpPr bwMode="auto">
        <a:xfrm>
          <a:off x="3911600" y="2193925"/>
          <a:ext cx="3486150" cy="2228850"/>
          <a:chOff x="410" y="229"/>
          <a:chExt cx="366" cy="234"/>
        </a:xfrm>
      </xdr:grpSpPr>
      <xdr:graphicFrame macro="">
        <xdr:nvGraphicFramePr>
          <xdr:cNvPr id="2841225" name="Chart 31">
            <a:extLst>
              <a:ext uri="{FF2B5EF4-FFF2-40B4-BE49-F238E27FC236}">
                <a16:creationId xmlns="" xmlns:a16="http://schemas.microsoft.com/office/drawing/2014/main" id="{00000000-0008-0000-0400-0000895A2B00}"/>
              </a:ext>
            </a:extLst>
          </xdr:cNvPr>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2841226" name="Picture 477" descr="one">
            <a:extLst>
              <a:ext uri="{FF2B5EF4-FFF2-40B4-BE49-F238E27FC236}">
                <a16:creationId xmlns="" xmlns:a16="http://schemas.microsoft.com/office/drawing/2014/main" id="{00000000-0008-0000-0400-00008A5A2B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6" y="441"/>
            <a:ext cx="297" cy="22"/>
          </a:xfrm>
          <a:prstGeom prst="rect">
            <a:avLst/>
          </a:prstGeom>
          <a:noFill/>
          <a:ln w="9525">
            <a:noFill/>
            <a:miter lim="800000"/>
            <a:headEnd/>
            <a:tailEnd/>
          </a:ln>
        </xdr:spPr>
      </xdr:pic>
    </xdr:grpSp>
    <xdr:clientData/>
  </xdr:twoCellAnchor>
  <xdr:twoCellAnchor>
    <xdr:from>
      <xdr:col>0</xdr:col>
      <xdr:colOff>0</xdr:colOff>
      <xdr:row>23</xdr:row>
      <xdr:rowOff>0</xdr:rowOff>
    </xdr:from>
    <xdr:to>
      <xdr:col>6</xdr:col>
      <xdr:colOff>0</xdr:colOff>
      <xdr:row>32</xdr:row>
      <xdr:rowOff>57150</xdr:rowOff>
    </xdr:to>
    <xdr:grpSp>
      <xdr:nvGrpSpPr>
        <xdr:cNvPr id="2841222" name="Group 490">
          <a:extLst>
            <a:ext uri="{FF2B5EF4-FFF2-40B4-BE49-F238E27FC236}">
              <a16:creationId xmlns="" xmlns:a16="http://schemas.microsoft.com/office/drawing/2014/main" id="{00000000-0008-0000-0400-0000865A2B00}"/>
            </a:ext>
          </a:extLst>
        </xdr:cNvPr>
        <xdr:cNvGrpSpPr>
          <a:grpSpLocks/>
        </xdr:cNvGrpSpPr>
      </xdr:nvGrpSpPr>
      <xdr:grpSpPr bwMode="auto">
        <a:xfrm>
          <a:off x="0" y="4826000"/>
          <a:ext cx="3873500" cy="2355850"/>
          <a:chOff x="0" y="505"/>
          <a:chExt cx="407" cy="245"/>
        </a:xfrm>
      </xdr:grpSpPr>
      <xdr:graphicFrame macro="">
        <xdr:nvGraphicFramePr>
          <xdr:cNvPr id="2841223" name="Chart 34">
            <a:extLst>
              <a:ext uri="{FF2B5EF4-FFF2-40B4-BE49-F238E27FC236}">
                <a16:creationId xmlns="" xmlns:a16="http://schemas.microsoft.com/office/drawing/2014/main" id="{00000000-0008-0000-0400-0000875A2B00}"/>
              </a:ext>
            </a:extLst>
          </xdr:cNvPr>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2841224" name="Picture 487" descr="ok">
            <a:extLst>
              <a:ext uri="{FF2B5EF4-FFF2-40B4-BE49-F238E27FC236}">
                <a16:creationId xmlns="" xmlns:a16="http://schemas.microsoft.com/office/drawing/2014/main" id="{00000000-0008-0000-0400-0000885A2B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86" y="708"/>
            <a:ext cx="259" cy="22"/>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7</xdr:row>
      <xdr:rowOff>180975</xdr:rowOff>
    </xdr:from>
    <xdr:to>
      <xdr:col>12</xdr:col>
      <xdr:colOff>238125</xdr:colOff>
      <xdr:row>14</xdr:row>
      <xdr:rowOff>152400</xdr:rowOff>
    </xdr:to>
    <xdr:graphicFrame macro="">
      <xdr:nvGraphicFramePr>
        <xdr:cNvPr id="2869720" name="Chart 1034">
          <a:extLst>
            <a:ext uri="{FF2B5EF4-FFF2-40B4-BE49-F238E27FC236}">
              <a16:creationId xmlns="" xmlns:a16="http://schemas.microsoft.com/office/drawing/2014/main" id="{00000000-0008-0000-0500-0000D8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16</xdr:row>
      <xdr:rowOff>0</xdr:rowOff>
    </xdr:from>
    <xdr:to>
      <xdr:col>5</xdr:col>
      <xdr:colOff>962025</xdr:colOff>
      <xdr:row>25</xdr:row>
      <xdr:rowOff>28575</xdr:rowOff>
    </xdr:to>
    <xdr:graphicFrame macro="">
      <xdr:nvGraphicFramePr>
        <xdr:cNvPr id="2869721" name="Chart 1039">
          <a:extLst>
            <a:ext uri="{FF2B5EF4-FFF2-40B4-BE49-F238E27FC236}">
              <a16:creationId xmlns="" xmlns:a16="http://schemas.microsoft.com/office/drawing/2014/main" id="{00000000-0008-0000-0500-0000D9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95250</xdr:colOff>
      <xdr:row>8</xdr:row>
      <xdr:rowOff>9525</xdr:rowOff>
    </xdr:from>
    <xdr:to>
      <xdr:col>5</xdr:col>
      <xdr:colOff>1104900</xdr:colOff>
      <xdr:row>14</xdr:row>
      <xdr:rowOff>66675</xdr:rowOff>
    </xdr:to>
    <xdr:graphicFrame macro="">
      <xdr:nvGraphicFramePr>
        <xdr:cNvPr id="2869722" name="Chart 1046">
          <a:extLst>
            <a:ext uri="{FF2B5EF4-FFF2-40B4-BE49-F238E27FC236}">
              <a16:creationId xmlns="" xmlns:a16="http://schemas.microsoft.com/office/drawing/2014/main" id="{00000000-0008-0000-0500-0000DA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9525</xdr:rowOff>
    </xdr:from>
    <xdr:to>
      <xdr:col>12</xdr:col>
      <xdr:colOff>180975</xdr:colOff>
      <xdr:row>25</xdr:row>
      <xdr:rowOff>28575</xdr:rowOff>
    </xdr:to>
    <xdr:graphicFrame macro="">
      <xdr:nvGraphicFramePr>
        <xdr:cNvPr id="2869723" name="Chart 1054">
          <a:extLst>
            <a:ext uri="{FF2B5EF4-FFF2-40B4-BE49-F238E27FC236}">
              <a16:creationId xmlns="" xmlns:a16="http://schemas.microsoft.com/office/drawing/2014/main" id="{00000000-0008-0000-0500-0000DB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209550</xdr:colOff>
      <xdr:row>27</xdr:row>
      <xdr:rowOff>57150</xdr:rowOff>
    </xdr:from>
    <xdr:to>
      <xdr:col>5</xdr:col>
      <xdr:colOff>657225</xdr:colOff>
      <xdr:row>33</xdr:row>
      <xdr:rowOff>257175</xdr:rowOff>
    </xdr:to>
    <xdr:graphicFrame macro="">
      <xdr:nvGraphicFramePr>
        <xdr:cNvPr id="2869724" name="Chart 1091">
          <a:extLst>
            <a:ext uri="{FF2B5EF4-FFF2-40B4-BE49-F238E27FC236}">
              <a16:creationId xmlns="" xmlns:a16="http://schemas.microsoft.com/office/drawing/2014/main" id="{00000000-0008-0000-0500-0000DC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6350</xdr:rowOff>
    </xdr:from>
    <xdr:to>
      <xdr:col>2</xdr:col>
      <xdr:colOff>3175</xdr:colOff>
      <xdr:row>0</xdr:row>
      <xdr:rowOff>352547</xdr:rowOff>
    </xdr:to>
    <xdr:sp macro="" textlink="">
      <xdr:nvSpPr>
        <xdr:cNvPr id="14769" name="AutoShape 50">
          <a:hlinkClick xmlns:r="http://schemas.openxmlformats.org/officeDocument/2006/relationships" r:id="rId6"/>
          <a:extLst>
            <a:ext uri="{FF2B5EF4-FFF2-40B4-BE49-F238E27FC236}">
              <a16:creationId xmlns="" xmlns:a16="http://schemas.microsoft.com/office/drawing/2014/main" id="{00000000-0008-0000-05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152400</xdr:colOff>
      <xdr:row>9</xdr:row>
      <xdr:rowOff>47625</xdr:rowOff>
    </xdr:from>
    <xdr:to>
      <xdr:col>11</xdr:col>
      <xdr:colOff>47625</xdr:colOff>
      <xdr:row>17</xdr:row>
      <xdr:rowOff>0</xdr:rowOff>
    </xdr:to>
    <xdr:graphicFrame macro="">
      <xdr:nvGraphicFramePr>
        <xdr:cNvPr id="3615818" name="Chart 33">
          <a:extLst>
            <a:ext uri="{FF2B5EF4-FFF2-40B4-BE49-F238E27FC236}">
              <a16:creationId xmlns="" xmlns:a16="http://schemas.microsoft.com/office/drawing/2014/main" id="{00000000-0008-0000-0600-00004A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a:extLst>
            <a:ext uri="{FF2B5EF4-FFF2-40B4-BE49-F238E27FC236}">
              <a16:creationId xmlns="" xmlns:a16="http://schemas.microsoft.com/office/drawing/2014/main"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352425</xdr:colOff>
      <xdr:row>9</xdr:row>
      <xdr:rowOff>76200</xdr:rowOff>
    </xdr:from>
    <xdr:to>
      <xdr:col>16</xdr:col>
      <xdr:colOff>762000</xdr:colOff>
      <xdr:row>17</xdr:row>
      <xdr:rowOff>9525</xdr:rowOff>
    </xdr:to>
    <xdr:graphicFrame macro="">
      <xdr:nvGraphicFramePr>
        <xdr:cNvPr id="3615820" name="Chart 488">
          <a:extLst>
            <a:ext uri="{FF2B5EF4-FFF2-40B4-BE49-F238E27FC236}">
              <a16:creationId xmlns="" xmlns:a16="http://schemas.microsoft.com/office/drawing/2014/main" id="{00000000-0008-0000-0600-00004C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666750</xdr:colOff>
      <xdr:row>9</xdr:row>
      <xdr:rowOff>85725</xdr:rowOff>
    </xdr:from>
    <xdr:to>
      <xdr:col>4</xdr:col>
      <xdr:colOff>400050</xdr:colOff>
      <xdr:row>17</xdr:row>
      <xdr:rowOff>66675</xdr:rowOff>
    </xdr:to>
    <xdr:graphicFrame macro="">
      <xdr:nvGraphicFramePr>
        <xdr:cNvPr id="3615821" name="Chart 553">
          <a:extLst>
            <a:ext uri="{FF2B5EF4-FFF2-40B4-BE49-F238E27FC236}">
              <a16:creationId xmlns="" xmlns:a16="http://schemas.microsoft.com/office/drawing/2014/main" id="{00000000-0008-0000-0600-00004D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3432879" name="Group 41">
          <a:extLst>
            <a:ext uri="{FF2B5EF4-FFF2-40B4-BE49-F238E27FC236}">
              <a16:creationId xmlns="" xmlns:a16="http://schemas.microsoft.com/office/drawing/2014/main" id="{00000000-0008-0000-0700-0000AF613400}"/>
            </a:ext>
          </a:extLst>
        </xdr:cNvPr>
        <xdr:cNvGrpSpPr>
          <a:grpSpLocks/>
        </xdr:cNvGrpSpPr>
      </xdr:nvGrpSpPr>
      <xdr:grpSpPr bwMode="auto">
        <a:xfrm>
          <a:off x="5545667" y="5154083"/>
          <a:ext cx="85725" cy="0"/>
          <a:chOff x="595" y="540"/>
          <a:chExt cx="9" cy="9"/>
        </a:xfrm>
      </xdr:grpSpPr>
      <xdr:sp macro="" textlink="">
        <xdr:nvSpPr>
          <xdr:cNvPr id="3432890" name="Rectangle 11">
            <a:extLst>
              <a:ext uri="{FF2B5EF4-FFF2-40B4-BE49-F238E27FC236}">
                <a16:creationId xmlns="" xmlns:a16="http://schemas.microsoft.com/office/drawing/2014/main" id="{00000000-0008-0000-0700-0000BA613400}"/>
              </a:ext>
            </a:extLst>
          </xdr:cNvPr>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891" name="Arc 12">
            <a:extLst>
              <a:ext uri="{FF2B5EF4-FFF2-40B4-BE49-F238E27FC236}">
                <a16:creationId xmlns="" xmlns:a16="http://schemas.microsoft.com/office/drawing/2014/main" id="{00000000-0008-0000-0700-0000BB6134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8</xdr:col>
      <xdr:colOff>981075</xdr:colOff>
      <xdr:row>20</xdr:row>
      <xdr:rowOff>0</xdr:rowOff>
    </xdr:from>
    <xdr:to>
      <xdr:col>9</xdr:col>
      <xdr:colOff>9525</xdr:colOff>
      <xdr:row>20</xdr:row>
      <xdr:rowOff>0</xdr:rowOff>
    </xdr:to>
    <xdr:grpSp>
      <xdr:nvGrpSpPr>
        <xdr:cNvPr id="3432880" name="Group 44">
          <a:extLst>
            <a:ext uri="{FF2B5EF4-FFF2-40B4-BE49-F238E27FC236}">
              <a16:creationId xmlns="" xmlns:a16="http://schemas.microsoft.com/office/drawing/2014/main" id="{00000000-0008-0000-0700-0000B0613400}"/>
            </a:ext>
          </a:extLst>
        </xdr:cNvPr>
        <xdr:cNvGrpSpPr>
          <a:grpSpLocks/>
        </xdr:cNvGrpSpPr>
      </xdr:nvGrpSpPr>
      <xdr:grpSpPr bwMode="auto">
        <a:xfrm>
          <a:off x="6526742" y="5154083"/>
          <a:ext cx="86783" cy="0"/>
          <a:chOff x="698" y="540"/>
          <a:chExt cx="9" cy="9"/>
        </a:xfrm>
      </xdr:grpSpPr>
      <xdr:sp macro="" textlink="">
        <xdr:nvSpPr>
          <xdr:cNvPr id="3432888" name="Rectangle 47">
            <a:extLst>
              <a:ext uri="{FF2B5EF4-FFF2-40B4-BE49-F238E27FC236}">
                <a16:creationId xmlns="" xmlns:a16="http://schemas.microsoft.com/office/drawing/2014/main" id="{00000000-0008-0000-0700-0000B8613400}"/>
              </a:ext>
            </a:extLst>
          </xdr:cNvPr>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889" name="Arc 48">
            <a:extLst>
              <a:ext uri="{FF2B5EF4-FFF2-40B4-BE49-F238E27FC236}">
                <a16:creationId xmlns="" xmlns:a16="http://schemas.microsoft.com/office/drawing/2014/main" id="{00000000-0008-0000-0700-0000B96134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6</xdr:col>
      <xdr:colOff>781050</xdr:colOff>
      <xdr:row>20</xdr:row>
      <xdr:rowOff>0</xdr:rowOff>
    </xdr:from>
    <xdr:to>
      <xdr:col>7</xdr:col>
      <xdr:colOff>0</xdr:colOff>
      <xdr:row>20</xdr:row>
      <xdr:rowOff>0</xdr:rowOff>
    </xdr:to>
    <xdr:grpSp>
      <xdr:nvGrpSpPr>
        <xdr:cNvPr id="3432881" name="Group 47">
          <a:extLst>
            <a:ext uri="{FF2B5EF4-FFF2-40B4-BE49-F238E27FC236}">
              <a16:creationId xmlns="" xmlns:a16="http://schemas.microsoft.com/office/drawing/2014/main" id="{00000000-0008-0000-0700-0000B1613400}"/>
            </a:ext>
          </a:extLst>
        </xdr:cNvPr>
        <xdr:cNvGrpSpPr>
          <a:grpSpLocks/>
        </xdr:cNvGrpSpPr>
      </xdr:nvGrpSpPr>
      <xdr:grpSpPr bwMode="auto">
        <a:xfrm>
          <a:off x="5173133" y="5154083"/>
          <a:ext cx="86784" cy="0"/>
          <a:chOff x="698" y="540"/>
          <a:chExt cx="9" cy="9"/>
        </a:xfrm>
      </xdr:grpSpPr>
      <xdr:sp macro="" textlink="">
        <xdr:nvSpPr>
          <xdr:cNvPr id="3432886" name="Rectangle 47">
            <a:extLst>
              <a:ext uri="{FF2B5EF4-FFF2-40B4-BE49-F238E27FC236}">
                <a16:creationId xmlns="" xmlns:a16="http://schemas.microsoft.com/office/drawing/2014/main" id="{00000000-0008-0000-0700-0000B6613400}"/>
              </a:ext>
            </a:extLst>
          </xdr:cNvPr>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887" name="Arc 48">
            <a:extLst>
              <a:ext uri="{FF2B5EF4-FFF2-40B4-BE49-F238E27FC236}">
                <a16:creationId xmlns="" xmlns:a16="http://schemas.microsoft.com/office/drawing/2014/main" id="{00000000-0008-0000-0700-0000B76134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3</xdr:col>
      <xdr:colOff>0</xdr:colOff>
      <xdr:row>20</xdr:row>
      <xdr:rowOff>0</xdr:rowOff>
    </xdr:from>
    <xdr:to>
      <xdr:col>3</xdr:col>
      <xdr:colOff>85725</xdr:colOff>
      <xdr:row>20</xdr:row>
      <xdr:rowOff>0</xdr:rowOff>
    </xdr:to>
    <xdr:grpSp>
      <xdr:nvGrpSpPr>
        <xdr:cNvPr id="3432882" name="Group 50">
          <a:extLst>
            <a:ext uri="{FF2B5EF4-FFF2-40B4-BE49-F238E27FC236}">
              <a16:creationId xmlns="" xmlns:a16="http://schemas.microsoft.com/office/drawing/2014/main" id="{00000000-0008-0000-0700-0000B2613400}"/>
            </a:ext>
          </a:extLst>
        </xdr:cNvPr>
        <xdr:cNvGrpSpPr>
          <a:grpSpLocks/>
        </xdr:cNvGrpSpPr>
      </xdr:nvGrpSpPr>
      <xdr:grpSpPr bwMode="auto">
        <a:xfrm>
          <a:off x="1439333" y="5154083"/>
          <a:ext cx="85725" cy="0"/>
          <a:chOff x="595" y="540"/>
          <a:chExt cx="9" cy="9"/>
        </a:xfrm>
      </xdr:grpSpPr>
      <xdr:sp macro="" textlink="">
        <xdr:nvSpPr>
          <xdr:cNvPr id="3432884" name="Rectangle 11">
            <a:extLst>
              <a:ext uri="{FF2B5EF4-FFF2-40B4-BE49-F238E27FC236}">
                <a16:creationId xmlns="" xmlns:a16="http://schemas.microsoft.com/office/drawing/2014/main" id="{00000000-0008-0000-0700-0000B4613400}"/>
              </a:ext>
            </a:extLst>
          </xdr:cNvPr>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885" name="Arc 12">
            <a:extLst>
              <a:ext uri="{FF2B5EF4-FFF2-40B4-BE49-F238E27FC236}">
                <a16:creationId xmlns="" xmlns:a16="http://schemas.microsoft.com/office/drawing/2014/main" id="{00000000-0008-0000-0700-0000B56134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0</xdr:col>
      <xdr:colOff>9525</xdr:colOff>
      <xdr:row>0</xdr:row>
      <xdr:rowOff>76200</xdr:rowOff>
    </xdr:from>
    <xdr:to>
      <xdr:col>1</xdr:col>
      <xdr:colOff>1201426</xdr:colOff>
      <xdr:row>0</xdr:row>
      <xdr:rowOff>419100</xdr:rowOff>
    </xdr:to>
    <xdr:sp macro="" textlink="">
      <xdr:nvSpPr>
        <xdr:cNvPr id="1150121" name="AutoShape 50">
          <a:hlinkClick xmlns:r="http://schemas.openxmlformats.org/officeDocument/2006/relationships" r:id="rId1"/>
          <a:extLst>
            <a:ext uri="{FF2B5EF4-FFF2-40B4-BE49-F238E27FC236}">
              <a16:creationId xmlns="" xmlns:a16="http://schemas.microsoft.com/office/drawing/2014/main" id="{00000000-0008-0000-0700-0000A98C1100}"/>
            </a:ext>
          </a:extLst>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486" name="Chart 1">
          <a:extLst>
            <a:ext uri="{FF2B5EF4-FFF2-40B4-BE49-F238E27FC236}">
              <a16:creationId xmlns="" xmlns:a16="http://schemas.microsoft.com/office/drawing/2014/main" id="{00000000-0008-0000-0800-0000CE8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38100</xdr:rowOff>
    </xdr:from>
    <xdr:to>
      <xdr:col>1</xdr:col>
      <xdr:colOff>807207</xdr:colOff>
      <xdr:row>0</xdr:row>
      <xdr:rowOff>371475</xdr:rowOff>
    </xdr:to>
    <xdr:sp macro="" textlink="">
      <xdr:nvSpPr>
        <xdr:cNvPr id="33131" name="AutoShape 50">
          <a:hlinkClick xmlns:r="http://schemas.openxmlformats.org/officeDocument/2006/relationships" r:id="rId2"/>
          <a:extLst>
            <a:ext uri="{FF2B5EF4-FFF2-40B4-BE49-F238E27FC236}">
              <a16:creationId xmlns="" xmlns:a16="http://schemas.microsoft.com/office/drawing/2014/main" id="{00000000-0008-0000-0800-00006B810000}"/>
            </a:ext>
          </a:extLst>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6" r="C42" connectionId="0">
    <xmlCellPr id="1" uniqueName="1">
      <xmlPr mapId="43" xpath="/ns1:Root/ns1:F2/ns1:Advocacy__Commun__SocMob_Cumulative_Budget__in___" xmlDataType="double"/>
    </xmlCellPr>
  </singleXmlCell>
  <singleXmlCell id="467" r="D42" connectionId="0">
    <xmlCellPr id="1" uniqueName="1">
      <xmlPr mapId="43" xpath="/ns1:Root/ns1:F2/ns1:Advocacy__Commun__SocMob_Cumulative_Expenditures__in___" xmlDataType="double"/>
    </xmlCellPr>
  </singleXmlCell>
  <singleXmlCell id="468" r="C43" connectionId="0">
    <xmlCellPr id="1" uniqueName="1">
      <xmlPr mapId="43" xpath="/ns1:Root/ns1:F2/ns1:Environ__Community_TB_care__Cumulative_Budget__in___" xmlDataType="double"/>
    </xmlCellPr>
  </singleXmlCell>
  <singleXmlCell id="469" r="D43" connectionId="0">
    <xmlCellPr id="1" uniqueName="1">
      <xmlPr mapId="43" xpath="/ns1:Root/ns1:F2/ns1:Environ__Community_TB_care__Cumulative_Expenditures__in___" xmlDataType="double"/>
    </xmlCellPr>
  </singleXmlCell>
  <singleXmlCell id="470" r="C44" connectionId="0">
    <xmlCellPr id="1" uniqueName="1">
      <xmlPr mapId="43" xpath="/ns1:Root/ns1:F2/ns1:_Cumulative_Budget__in____1" xmlDataType="string"/>
    </xmlCellPr>
  </singleXmlCell>
  <singleXmlCell id="471" r="D44" connectionId="0">
    <xmlCellPr id="1" uniqueName="1">
      <xmlPr mapId="43" xpath="/ns1:Root/ns1:F2/ns1:_Cumulative_Expenditures__in____1" xmlDataType="string"/>
    </xmlCellPr>
  </singleXmlCell>
  <singleXmlCell id="472" r="C45" connectionId="0">
    <xmlCellPr id="1" uniqueName="1">
      <xmlPr mapId="43" xpath="/ns1:Root/ns1:F2/ns1:_Cumulative_Budget__in____2" xmlDataType="string"/>
    </xmlCellPr>
  </singleXmlCell>
  <singleXmlCell id="473" r="D45" connectionId="0">
    <xmlCellPr id="1" uniqueName="1">
      <xmlPr mapId="43" xpath="/ns1:Root/ns1:F2/ns1:_Cumulative_Expenditures__in____2" xmlDataType="string"/>
    </xmlCellPr>
  </singleXmlCell>
  <singleXmlCell id="474" r="C46" connectionId="0">
    <xmlCellPr id="1" uniqueName="1">
      <xmlPr mapId="43" xpath="/ns1:Root/ns1:F2/ns1:_Cumulative_Budget__in___" xmlDataType="string"/>
    </xmlCellPr>
  </singleXmlCell>
  <singleXmlCell id="475" r="D46" connectionId="0">
    <xmlCellPr id="1" uniqueName="1">
      <xmlPr mapId="43" xpath="/ns1:Root/ns1:F2/ns1:_Cumulative_Expenditures__in___" xmlDataType="string"/>
    </xmlCellPr>
  </singleXmlCell>
  <singleXmlCell id="476" r="C52" connectionId="0">
    <xmlCellPr id="1" uniqueName="1">
      <xmlPr mapId="43" xpath="/ns1:Root/ns1:F3/ns1:Disbursed_by_Global_Fund_Prior_to_reporting_period__in___" xmlDataType="double"/>
    </xmlCellPr>
  </singleXmlCell>
  <singleXmlCell id="477" r="D52" connectionId="0">
    <xmlCellPr id="1" uniqueName="1">
      <xmlPr mapId="43" xpath="/ns1:Root/ns1:F3/ns1:Disbursed_by_Global_Fund_Reporting_period__in___" xmlDataType="double"/>
    </xmlCellPr>
  </singleXmlCell>
  <singleXmlCell id="478" r="C53" connectionId="0">
    <xmlCellPr id="1" uniqueName="1">
      <xmlPr mapId="43" xpath="/ns1:Root/ns1:F3/ns1:PR_expenditure_and_disbursement_Prior_to_reporting_period__in___" xmlDataType="double"/>
    </xmlCellPr>
  </singleXmlCell>
  <singleXmlCell id="479" r="D53" connectionId="0">
    <xmlCellPr id="1" uniqueName="1">
      <xmlPr mapId="43" xpath="/ns1:Root/ns1:F3/ns1:PR_expenditure_and_disbursement_Reporting_period__in___" xmlDataType="double"/>
    </xmlCellPr>
  </singleXmlCell>
  <singleXmlCell id="480" r="C54" connectionId="0">
    <xmlCellPr id="1" uniqueName="1">
      <xmlPr mapId="43" xpath="/ns1:Root/ns1:F3/ns1:Disbursed_to_SRs_Prior_to_reporting_period__in___" xmlDataType="double"/>
    </xmlCellPr>
  </singleXmlCell>
  <singleXmlCell id="481" r="D54" connectionId="0">
    <xmlCellPr id="1" uniqueName="1">
      <xmlPr mapId="43" xpath="/ns1:Root/ns1:F3/ns1:Disbursed_to_SRs_Reporting_period__in___" xmlDataType="double"/>
    </xmlCellPr>
  </singleXmlCell>
  <singleXmlCell id="482" r="C55" connectionId="0">
    <xmlCellPr id="1" uniqueName="1">
      <xmlPr mapId="43" xpath="/ns1:Root/ns1:F3/ns1:SR_expenditures_Prior_to_reporting_period__in___" xmlDataType="double"/>
    </xmlCellPr>
  </singleXmlCell>
  <singleXmlCell id="483" r="D55" connectionId="0">
    <xmlCellPr id="1" uniqueName="1">
      <xmlPr mapId="43" xpath="/ns1:Root/ns1:F3/ns1:SR_expenditures_Reporting_period__in___" xmlDataType="double"/>
    </xmlCellPr>
  </singleXmlCell>
  <singleXmlCell id="484" r="C62" connectionId="0">
    <xmlCellPr id="1" uniqueName="1">
      <xmlPr mapId="43" xpath="/ns1:Root/ns1:F4/ns1:Days_taken_to_submit_acceptable_PU_DR_to_LFA_Expected__days_" xmlDataType="double"/>
    </xmlCellPr>
  </singleXmlCell>
  <singleXmlCell id="485" r="D62" connectionId="0">
    <xmlCellPr id="1" uniqueName="1">
      <xmlPr mapId="43" xpath="/ns1:Root/ns1:F4/ns1:Days_taken_to_submit_acceptable_PU_DR_to_LFA_Actual__days_" xmlDataType="double"/>
    </xmlCellPr>
  </singleXmlCell>
  <singleXmlCell id="486" r="C63" connectionId="0">
    <xmlCellPr id="1" uniqueName="1">
      <xmlPr mapId="43" xpath="/ns1:Root/ns1:F4/ns1:Days_taken_for_disbursement_to_reach_PR_Expected__days_" xmlDataType="double"/>
    </xmlCellPr>
  </singleXmlCell>
  <singleXmlCell id="487" r="D63" connectionId="0">
    <xmlCellPr id="1" uniqueName="1">
      <xmlPr mapId="43" xpath="/ns1:Root/ns1:F4/ns1:Days_taken_for_disbursement_to_reach_PR_Actual__days_" xmlDataType="double"/>
    </xmlCellPr>
  </singleXmlCell>
  <singleXmlCell id="488" r="C64" connectionId="0">
    <xmlCellPr id="1" uniqueName="1">
      <xmlPr mapId="43" xpath="/ns1:Root/ns1:F4/ns1:Days_taken_for_disbursement_to_reach_SRs__Expected__days_" xmlDataType="double"/>
    </xmlCellPr>
  </singleXmlCell>
  <singleXmlCell id="489" r="D64" connectionId="0">
    <xmlCellPr id="1" uniqueName="1">
      <xmlPr mapId="43" xpath="/ns1:Root/ns1:F4/ns1:Days_taken_for_disbursement_to_reach_SRs__Actual__days_" xmlDataType="double"/>
    </xmlCellPr>
  </singleXmlCell>
  <singleXmlCell id="490" r="B72" connectionId="0">
    <xmlCellPr id="1" uniqueName="1">
      <xmlPr mapId="43" xpath="/ns1:Root/ns1:M1/ns1:Conditions_precedents__CPs__" xmlDataType="string"/>
    </xmlCellPr>
  </singleXmlCell>
  <singleXmlCell id="491" r="D72" connectionId="0">
    <xmlCellPr id="1" uniqueName="1">
      <xmlPr mapId="43" xpath="/ns1:Root/ns1:M1/ns1:Conditions_precedents__CPs__Fulfilled" xmlDataType="double"/>
    </xmlCellPr>
  </singleXmlCell>
  <singleXmlCell id="492" r="E72" connectionId="0">
    <xmlCellPr id="1" uniqueName="1">
      <xmlPr mapId="43" xpath="/ns1:Root/ns1:M1/ns1:Conditions_precedents__CPs__Not_fulfilled__but_within_deadline" xmlDataType="double"/>
    </xmlCellPr>
  </singleXmlCell>
  <singleXmlCell id="493" r="F72" connectionId="0">
    <xmlCellPr id="1" uniqueName="1">
      <xmlPr mapId="43" xpath="/ns1:Root/ns1:M1/ns1:Conditions_precedents__CPs__Not_fulfilled__and_past_the_deadline" xmlDataType="double"/>
    </xmlCellPr>
  </singleXmlCell>
  <singleXmlCell id="494" r="B73" connectionId="0">
    <xmlCellPr id="1" uniqueName="1">
      <xmlPr mapId="43" xpath="/ns1:Root/ns1:M1/ns1:Time_Bound_Actions__TBAs__" xmlDataType="string"/>
    </xmlCellPr>
  </singleXmlCell>
  <singleXmlCell id="495" r="D73" connectionId="0">
    <xmlCellPr id="1" uniqueName="1">
      <xmlPr mapId="43" xpath="/ns1:Root/ns1:M1/ns1:Time_Bound_Actions__TBAs__Fulfilled" xmlDataType="double"/>
    </xmlCellPr>
  </singleXmlCell>
  <singleXmlCell id="496" r="E73" connectionId="0">
    <xmlCellPr id="1" uniqueName="1">
      <xmlPr mapId="43" xpath="/ns1:Root/ns1:M1/ns1:Time_Bound_Actions__TBAs__Not_fulfilled__but_within_deadline" xmlDataType="string"/>
    </xmlCellPr>
  </singleXmlCell>
  <singleXmlCell id="497" r="F73" connectionId="0">
    <xmlCellPr id="1" uniqueName="1">
      <xmlPr mapId="43" xpath="/ns1:Root/ns1:M1/ns1:Time_Bound_Actions__TBAs__Not_fulfilled__and_past_the_deadline" xmlDataType="double"/>
    </xmlCellPr>
  </singleXmlCell>
  <singleXmlCell id="498" r="C79" connectionId="0">
    <xmlCellPr id="1" uniqueName="1">
      <xmlPr mapId="43" xpath="/ns1:Root/ns1:M2/ns1:PMU_Planned" xmlDataType="double"/>
    </xmlCellPr>
  </singleXmlCell>
  <singleXmlCell id="499" r="D79" connectionId="0">
    <xmlCellPr id="1" uniqueName="1">
      <xmlPr mapId="43" xpath="/ns1:Root/ns1:M2/ns1:PMU_Filled" xmlDataType="double"/>
    </xmlCellPr>
  </singleXmlCell>
  <singleXmlCell id="500" r="C84" connectionId="0">
    <xmlCellPr id="1" uniqueName="1">
      <xmlPr mapId="43" xpath="/ns1:Root/ns1:M3/ns1:SRs_Identified" xmlDataType="double"/>
    </xmlCellPr>
  </singleXmlCell>
  <singleXmlCell id="501" r="D84" connectionId="0">
    <xmlCellPr id="1" uniqueName="1">
      <xmlPr mapId="43" xpath="/ns1:Root/ns1:M3/ns1:SRs_Assessed" xmlDataType="double"/>
    </xmlCellPr>
  </singleXmlCell>
  <singleXmlCell id="502" r="E84" connectionId="0">
    <xmlCellPr id="1" uniqueName="1">
      <xmlPr mapId="43" xpath="/ns1:Root/ns1:M3/ns1:SRs_Approved" xmlDataType="double"/>
    </xmlCellPr>
  </singleXmlCell>
  <singleXmlCell id="503" r="F84" connectionId="0">
    <xmlCellPr id="1" uniqueName="1">
      <xmlPr mapId="43" xpath="/ns1:Root/ns1:M3/ns1:SRs_Signed" xmlDataType="double"/>
    </xmlCellPr>
  </singleXmlCell>
  <singleXmlCell id="504" r="G84" connectionId="0">
    <xmlCellPr id="1" uniqueName="1">
      <xmlPr mapId="43" xpath="/ns1:Root/ns1:M3/ns1:SRs_Receiving_Funding" xmlDataType="double"/>
    </xmlCellPr>
  </singleXmlCell>
  <singleXmlCell id="506" r="C89" connectionId="0">
    <xmlCellPr id="1" uniqueName="1">
      <xmlPr mapId="43" xpath="/ns1:Root/ns1:M4/ns1:SSR_to_SR__IR_____Expected" xmlDataType="string"/>
    </xmlCellPr>
  </singleXmlCell>
  <singleXmlCell id="507" r="D89" connectionId="0">
    <xmlCellPr id="1" uniqueName="1">
      <xmlPr mapId="43" xpath="/ns1:Root/ns1:M4/ns1:SSR_to_SR__IR____Received" xmlDataType="string"/>
    </xmlCellPr>
  </singleXmlCell>
  <singleXmlCell id="509" r="C90" connectionId="0">
    <xmlCellPr id="1" uniqueName="1">
      <xmlPr mapId="43" xpath="/ns1:Root/ns1:M4/ns1:SRs__IRs__to_PR____Expected" xmlDataType="double"/>
    </xmlCellPr>
  </singleXmlCell>
  <singleXmlCell id="510" r="D90" connectionId="0">
    <xmlCellPr id="1" uniqueName="1">
      <xmlPr mapId="43" xpath="/ns1:Root/ns1:M4/ns1:SRs__IRs__to_PR___Received" xmlDataType="double"/>
    </xmlCellPr>
  </singleXmlCell>
  <singleXmlCell id="511" r="C95" connectionId="0">
    <xmlCellPr id="1" uniqueName="1">
      <xmlPr mapId="43" xpath="/ns1:Root/ns1:M5/ns1:Budget_Approved__P1" xmlDataType="double"/>
    </xmlCellPr>
  </singleXmlCell>
  <singleXmlCell id="512" r="D95" connectionId="0">
    <xmlCellPr id="1" uniqueName="1">
      <xmlPr mapId="43" xpath="/ns1:Root/ns1:M5/ns1:Budget_Approved__P2" xmlDataType="double"/>
    </xmlCellPr>
  </singleXmlCell>
  <singleXmlCell id="513" r="E95" connectionId="0">
    <xmlCellPr id="1" uniqueName="1">
      <xmlPr mapId="43" xpath="/ns1:Root/ns1:M5/ns1:Budget_Approved__P3" xmlDataType="double"/>
    </xmlCellPr>
  </singleXmlCell>
  <singleXmlCell id="514" r="F95" connectionId="0">
    <xmlCellPr id="1" uniqueName="1">
      <xmlPr mapId="43" xpath="/ns1:Root/ns1:M5/ns1:Budget_Approved__P4" xmlDataType="double"/>
    </xmlCellPr>
  </singleXmlCell>
  <singleXmlCell id="515" r="G95" connectionId="0">
    <xmlCellPr id="1" uniqueName="1">
      <xmlPr mapId="43" xpath="/ns1:Root/ns1:M5/ns1:Budget_Approved__P5" xmlDataType="double"/>
    </xmlCellPr>
  </singleXmlCell>
  <singleXmlCell id="516" r="H95" connectionId="0">
    <xmlCellPr id="1" uniqueName="1">
      <xmlPr mapId="43" xpath="/ns1:Root/ns1:M5/ns1:Budget_Approved__P6" xmlDataType="double"/>
    </xmlCellPr>
  </singleXmlCell>
  <singleXmlCell id="517" r="I95" connectionId="0">
    <xmlCellPr id="1" uniqueName="1">
      <xmlPr mapId="43" xpath="/ns1:Root/ns1:M5/ns1:Budget_Approved__P7" xmlDataType="double"/>
    </xmlCellPr>
  </singleXmlCell>
  <singleXmlCell id="518" r="J95" connectionId="0">
    <xmlCellPr id="1" uniqueName="1">
      <xmlPr mapId="43" xpath="/ns1:Root/ns1:M5/ns1:Budget_Approved__P8" xmlDataType="double"/>
    </xmlCellPr>
  </singleXmlCell>
  <singleXmlCell id="519" r="K95" connectionId="0">
    <xmlCellPr id="1" uniqueName="1">
      <xmlPr mapId="43" xpath="/ns1:Root/ns1:M5/ns1:Budget_Approved__P9" xmlDataType="double"/>
    </xmlCellPr>
  </singleXmlCell>
  <singleXmlCell id="520" r="L95" connectionId="0">
    <xmlCellPr id="1" uniqueName="1">
      <xmlPr mapId="43" xpath="/ns1:Root/ns1:M5/ns1:Budget_Approved__P10" xmlDataType="double"/>
    </xmlCellPr>
  </singleXmlCell>
  <singleXmlCell id="521" r="M95" connectionId="0">
    <xmlCellPr id="1" uniqueName="1">
      <xmlPr mapId="43" xpath="/ns1:Root/ns1:M5/ns1:Budget_Approved__P11" xmlDataType="double"/>
    </xmlCellPr>
  </singleXmlCell>
  <singleXmlCell id="522" r="N95" connectionId="0">
    <xmlCellPr id="1" uniqueName="1">
      <xmlPr mapId="43" xpath="/ns1:Root/ns1:M5/ns1:Budget_Approved__P12" xmlDataType="double"/>
    </xmlCellPr>
  </singleXmlCell>
  <singleXmlCell id="523" r="C96" connectionId="0">
    <xmlCellPr id="1" uniqueName="1">
      <xmlPr mapId="43" xpath="/ns1:Root/ns1:M5/ns1:Obligations_P1" xmlDataType="double"/>
    </xmlCellPr>
  </singleXmlCell>
  <singleXmlCell id="524" r="D96" connectionId="0">
    <xmlCellPr id="1" uniqueName="1">
      <xmlPr mapId="43" xpath="/ns1:Root/ns1:M5/ns1:Obligations_P2" xmlDataType="double"/>
    </xmlCellPr>
  </singleXmlCell>
  <singleXmlCell id="525" r="E96" connectionId="0">
    <xmlCellPr id="1" uniqueName="1">
      <xmlPr mapId="43" xpath="/ns1:Root/ns1:M5/ns1:Obligations_P3" xmlDataType="double"/>
    </xmlCellPr>
  </singleXmlCell>
  <singleXmlCell id="526" r="F96" connectionId="0">
    <xmlCellPr id="1" uniqueName="1">
      <xmlPr mapId="43" xpath="/ns1:Root/ns1:M5/ns1:Obligations_P4" xmlDataType="double"/>
    </xmlCellPr>
  </singleXmlCell>
  <singleXmlCell id="527" r="G96" connectionId="0">
    <xmlCellPr id="1" uniqueName="1">
      <xmlPr mapId="43" xpath="/ns1:Root/ns1:M5/ns1:Obligations_P5" xmlDataType="double"/>
    </xmlCellPr>
  </singleXmlCell>
  <singleXmlCell id="528" r="H96" connectionId="0">
    <xmlCellPr id="1" uniqueName="1">
      <xmlPr mapId="43" xpath="/ns1:Root/ns1:M5/ns1:Obligations_P6" xmlDataType="double"/>
    </xmlCellPr>
  </singleXmlCell>
  <singleXmlCell id="529" r="I96" connectionId="0">
    <xmlCellPr id="1" uniqueName="1">
      <xmlPr mapId="43" xpath="/ns1:Root/ns1:M5/ns1:Obligations_P7" xmlDataType="double"/>
    </xmlCellPr>
  </singleXmlCell>
  <singleXmlCell id="530" r="J96" connectionId="0">
    <xmlCellPr id="1" uniqueName="1">
      <xmlPr mapId="43" xpath="/ns1:Root/ns1:M5/ns1:Obligations_P8" xmlDataType="double"/>
    </xmlCellPr>
  </singleXmlCell>
  <singleXmlCell id="531" r="K96" connectionId="0">
    <xmlCellPr id="1" uniqueName="1">
      <xmlPr mapId="43" xpath="/ns1:Root/ns1:M5/ns1:Obligations_P9" xmlDataType="double"/>
    </xmlCellPr>
  </singleXmlCell>
  <singleXmlCell id="532" r="L96" connectionId="0">
    <xmlCellPr id="1" uniqueName="1">
      <xmlPr mapId="43" xpath="/ns1:Root/ns1:M5/ns1:Obligations_P10" xmlDataType="double"/>
    </xmlCellPr>
  </singleXmlCell>
  <singleXmlCell id="533" r="M96" connectionId="0">
    <xmlCellPr id="1" uniqueName="1">
      <xmlPr mapId="43" xpath="/ns1:Root/ns1:M5/ns1:Obligations_P11" xmlDataType="double"/>
    </xmlCellPr>
  </singleXmlCell>
  <singleXmlCell id="534" r="N96" connectionId="0">
    <xmlCellPr id="1" uniqueName="1">
      <xmlPr mapId="43" xpath="/ns1:Root/ns1:M5/ns1:Obligations_P12" xmlDataType="double"/>
    </xmlCellPr>
  </singleXmlCell>
  <singleXmlCell id="535" r="C97" connectionId="0">
    <xmlCellPr id="1" uniqueName="1">
      <xmlPr mapId="43" xpath="/ns1:Root/ns1:M5/ns1:Expenditures_P1" xmlDataType="double"/>
    </xmlCellPr>
  </singleXmlCell>
  <singleXmlCell id="536" r="D97" connectionId="0">
    <xmlCellPr id="1" uniqueName="1">
      <xmlPr mapId="43" xpath="/ns1:Root/ns1:M5/ns1:Expenditures_P2" xmlDataType="double"/>
    </xmlCellPr>
  </singleXmlCell>
  <singleXmlCell id="537" r="E97" connectionId="0">
    <xmlCellPr id="1" uniqueName="1">
      <xmlPr mapId="43" xpath="/ns1:Root/ns1:M5/ns1:Expenditures_P3" xmlDataType="double"/>
    </xmlCellPr>
  </singleXmlCell>
  <singleXmlCell id="538" r="F97" connectionId="0">
    <xmlCellPr id="1" uniqueName="1">
      <xmlPr mapId="43" xpath="/ns1:Root/ns1:M5/ns1:Expenditures_P4" xmlDataType="double"/>
    </xmlCellPr>
  </singleXmlCell>
  <singleXmlCell id="539" r="G97" connectionId="0">
    <xmlCellPr id="1" uniqueName="1">
      <xmlPr mapId="43" xpath="/ns1:Root/ns1:M5/ns1:Expenditures_P5" xmlDataType="double"/>
    </xmlCellPr>
  </singleXmlCell>
  <singleXmlCell id="540" r="H97" connectionId="0">
    <xmlCellPr id="1" uniqueName="1">
      <xmlPr mapId="43" xpath="/ns1:Root/ns1:M5/ns1:Expenditures_P6" xmlDataType="double"/>
    </xmlCellPr>
  </singleXmlCell>
  <singleXmlCell id="541" r="I97" connectionId="0">
    <xmlCellPr id="1" uniqueName="1">
      <xmlPr mapId="43" xpath="/ns1:Root/ns1:M5/ns1:Expenditures_P7" xmlDataType="double"/>
    </xmlCellPr>
  </singleXmlCell>
  <singleXmlCell id="542" r="J97" connectionId="0">
    <xmlCellPr id="1" uniqueName="1">
      <xmlPr mapId="43" xpath="/ns1:Root/ns1:M5/ns1:Expenditures_P8" xmlDataType="double"/>
    </xmlCellPr>
  </singleXmlCell>
  <singleXmlCell id="543" r="K97" connectionId="0">
    <xmlCellPr id="1" uniqueName="1">
      <xmlPr mapId="43" xpath="/ns1:Root/ns1:M5/ns1:Expenditures_P9" xmlDataType="double"/>
    </xmlCellPr>
  </singleXmlCell>
  <singleXmlCell id="544" r="L97" connectionId="0">
    <xmlCellPr id="1" uniqueName="1">
      <xmlPr mapId="43" xpath="/ns1:Root/ns1:M5/ns1:Expenditures_P10" xmlDataType="double"/>
    </xmlCellPr>
  </singleXmlCell>
  <singleXmlCell id="545" r="M97" connectionId="0">
    <xmlCellPr id="1" uniqueName="1">
      <xmlPr mapId="43" xpath="/ns1:Root/ns1:M5/ns1:Expenditures_P11" xmlDataType="double"/>
    </xmlCellPr>
  </singleXmlCell>
  <singleXmlCell id="546" r="N97" connectionId="0">
    <xmlCellPr id="1" uniqueName="1">
      <xmlPr mapId="43" xpath="/ns1:Root/ns1:M5/ns1:Expenditures_P12" xmlDataType="double"/>
    </xmlCellPr>
  </singleXmlCell>
  <singleXmlCell id="547" r="C108" connectionId="0">
    <xmlCellPr id="1" uniqueName="1">
      <xmlPr mapId="43" xpath="/ns1:Root/ns1:M6/ns1:HIV___AIDS_Products" xmlDataType="string"/>
    </xmlCellPr>
  </singleXmlCell>
  <singleXmlCell id="548" r="D108" connectionId="0">
    <xmlCellPr id="1" uniqueName="1">
      <xmlPr mapId="43" xpath="/ns1:Root/ns1:M6/ns1:HIV___AIDS__1__Number_of_tablets_per_patient_per_day__Review_country_treatment_guidelines_" xmlDataType="double"/>
    </xmlCellPr>
  </singleXmlCell>
  <singleXmlCell id="549" r="F108" connectionId="0">
    <xmlCellPr id="1" uniqueName="1">
      <xmlPr mapId="43" xpath="/ns1:Root/ns1:M6/ns1:HIV___AIDS__3__Total_patients_in_treatment" xmlDataType="double"/>
    </xmlCellPr>
  </singleXmlCell>
  <singleXmlCell id="550" r="H108" connectionId="0">
    <xmlCellPr id="1" uniqueName="1">
      <xmlPr mapId="43" xpath="/ns1:Root/ns1:M6/ns1:HIV___AIDS__5__Current_stock_in_central_warehouse__that_does_not_expire_within_the_next_3_months_" xmlDataType="double"/>
    </xmlCellPr>
  </singleXmlCell>
  <singleXmlCell id="551" r="J108" connectionId="0">
    <xmlCellPr id="1" uniqueName="1">
      <xmlPr mapId="43" xpath="/ns1:Root/ns1:M6/ns1:HIV___AIDS__7__Level_of_safety_stock__expressed_in_months_and_defined_by_country__" xmlDataType="double"/>
    </xmlCellPr>
  </singleXmlCell>
  <singleXmlCell id="552" r="C109" connectionId="0">
    <xmlCellPr id="1" uniqueName="1">
      <xmlPr mapId="43" xpath="/ns1:Root/ns1:M6/ns1:_Products_1" xmlDataType="string"/>
    </xmlCellPr>
  </singleXmlCell>
  <singleXmlCell id="553" r="D109" connectionId="0">
    <xmlCellPr id="1" uniqueName="1">
      <xmlPr mapId="43" xpath="/ns1:Root/ns1:M6/ns1:__1__Number_of_tablets_per_patient_per_day__Review_country_treatment_guidelines__1" xmlDataType="double"/>
    </xmlCellPr>
  </singleXmlCell>
  <singleXmlCell id="554" r="F109" connectionId="0">
    <xmlCellPr id="1" uniqueName="1">
      <xmlPr mapId="43" xpath="/ns1:Root/ns1:M6/ns1:__3__Total_patients_in_treatment_1" xmlDataType="double"/>
    </xmlCellPr>
  </singleXmlCell>
  <singleXmlCell id="555" r="H109" connectionId="0">
    <xmlCellPr id="1" uniqueName="1">
      <xmlPr mapId="43" xpath="/ns1:Root/ns1:M6/ns1:__5__Current_stock_in_central_warehouse__that_does_not_expire_within_the_next_3_months__1" xmlDataType="double"/>
    </xmlCellPr>
  </singleXmlCell>
  <singleXmlCell id="556" r="J109" connectionId="0">
    <xmlCellPr id="1" uniqueName="1">
      <xmlPr mapId="43" xpath="/ns1:Root/ns1:M6/ns1:__7__Level_of_safety_stock__expressed_in_months_and_defined_by_country___1" xmlDataType="double"/>
    </xmlCellPr>
  </singleXmlCell>
  <singleXmlCell id="557" r="C110" connectionId="0">
    <xmlCellPr id="1" uniqueName="1">
      <xmlPr mapId="43" xpath="/ns1:Root/ns1:M6/ns1:_Products_2" xmlDataType="string"/>
    </xmlCellPr>
  </singleXmlCell>
  <singleXmlCell id="558" r="D110" connectionId="0">
    <xmlCellPr id="1" uniqueName="1">
      <xmlPr mapId="43" xpath="/ns1:Root/ns1:M6/ns1:__1__Number_of_tablets_per_patient_per_day__Review_country_treatment_guidelines__2" xmlDataType="double"/>
    </xmlCellPr>
  </singleXmlCell>
  <singleXmlCell id="559" r="F110" connectionId="0">
    <xmlCellPr id="1" uniqueName="1">
      <xmlPr mapId="43" xpath="/ns1:Root/ns1:M6/ns1:__3__Total_patients_in_treatment_2" xmlDataType="double"/>
    </xmlCellPr>
  </singleXmlCell>
  <singleXmlCell id="560" r="H110" connectionId="0">
    <xmlCellPr id="1" uniqueName="1">
      <xmlPr mapId="43" xpath="/ns1:Root/ns1:M6/ns1:__5__Current_stock_in_central_warehouse__that_does_not_expire_within_the_next_3_months__2" xmlDataType="double"/>
    </xmlCellPr>
  </singleXmlCell>
  <singleXmlCell id="561" r="J110" connectionId="0">
    <xmlCellPr id="1" uniqueName="1">
      <xmlPr mapId="43" xpath="/ns1:Root/ns1:M6/ns1:__7__Level_of_safety_stock__expressed_in_months_and_defined_by_country___2" xmlDataType="double"/>
    </xmlCellPr>
  </singleXmlCell>
  <singleXmlCell id="562" r="C111" connectionId="0">
    <xmlCellPr id="1" uniqueName="1">
      <xmlPr mapId="43" xpath="/ns1:Root/ns1:M6/ns1:_Products" xmlDataType="string"/>
    </xmlCellPr>
  </singleXmlCell>
  <singleXmlCell id="563" r="D111" connectionId="0">
    <xmlCellPr id="1" uniqueName="1">
      <xmlPr mapId="43" xpath="/ns1:Root/ns1:M6/ns1:__1__Number_of_tablets_per_patient_per_day__Review_country_treatment_guidelines_" xmlDataType="double"/>
    </xmlCellPr>
  </singleXmlCell>
  <singleXmlCell id="564" r="F111" connectionId="0">
    <xmlCellPr id="1" uniqueName="1">
      <xmlPr mapId="43" xpath="/ns1:Root/ns1:M6/ns1:__3__Total_patients_in_treatment" xmlDataType="double"/>
    </xmlCellPr>
  </singleXmlCell>
  <singleXmlCell id="565" r="H111" connectionId="0">
    <xmlCellPr id="1" uniqueName="1">
      <xmlPr mapId="43" xpath="/ns1:Root/ns1:M6/ns1:__5__Current_stock_in_central_warehouse__that_does_not_expire_within_the_next_3_months_" xmlDataType="double"/>
    </xmlCellPr>
  </singleXmlCell>
  <singleXmlCell id="566" r="J111" connectionId="0">
    <xmlCellPr id="1" uniqueName="1">
      <xmlPr mapId="43" xpath="/ns1:Root/ns1:M6/ns1:__7__Level_of_safety_stock__expressed_in_months_and_defined_by_country__" xmlDataType="double"/>
    </xmlCellPr>
  </singleXmlCell>
  <singleXmlCell id="567" r="H118" connectionId="0">
    <xmlCellPr id="1" uniqueName="1">
      <xmlPr mapId="43" xpath="/ns1:Root/ns1:Prog/ns1:Target_P1_1" xmlDataType="double"/>
    </xmlCellPr>
  </singleXmlCell>
  <singleXmlCell id="571" r="L118" connectionId="0">
    <xmlCellPr id="1" uniqueName="1">
      <xmlPr mapId="43" xpath="/ns1:Root/ns1:Prog/ns1:Target_P5_1" xmlDataType="double"/>
    </xmlCellPr>
  </singleXmlCell>
  <singleXmlCell id="572" r="M118" connectionId="0">
    <xmlCellPr id="1" uniqueName="1">
      <xmlPr mapId="43" xpath="/ns1:Root/ns1:Prog/ns1:Target_P6_1" xmlDataType="double"/>
    </xmlCellPr>
  </singleXmlCell>
  <singleXmlCell id="573" r="N118" connectionId="0">
    <xmlCellPr id="1" uniqueName="1">
      <xmlPr mapId="43" xpath="/ns1:Root/ns1:Prog/ns1:Target_P7_1" xmlDataType="double"/>
    </xmlCellPr>
  </singleXmlCell>
  <singleXmlCell id="574" r="O118" connectionId="0">
    <xmlCellPr id="1" uniqueName="1">
      <xmlPr mapId="43" xpath="/ns1:Root/ns1:Prog/ns1:Target_P8_1" xmlDataType="double"/>
    </xmlCellPr>
  </singleXmlCell>
  <singleXmlCell id="575" r="P118" connectionId="0">
    <xmlCellPr id="1" uniqueName="1">
      <xmlPr mapId="43" xpath="/ns1:Root/ns1:Prog/ns1:Target_P9_1" xmlDataType="double"/>
    </xmlCellPr>
  </singleXmlCell>
  <singleXmlCell id="576" r="Q118" connectionId="0">
    <xmlCellPr id="1" uniqueName="1">
      <xmlPr mapId="43" xpath="/ns1:Root/ns1:Prog/ns1:Target_P10_1" xmlDataType="double"/>
    </xmlCellPr>
  </singleXmlCell>
  <singleXmlCell id="577" r="R118" connectionId="0">
    <xmlCellPr id="1" uniqueName="1">
      <xmlPr mapId="43" xpath="/ns1:Root/ns1:Prog/ns1:Target_P11_1" xmlDataType="double"/>
    </xmlCellPr>
  </singleXmlCell>
  <singleXmlCell id="578" r="S118" connectionId="0">
    <xmlCellPr id="1" uniqueName="1">
      <xmlPr mapId="43" xpath="/ns1:Root/ns1:Prog/ns1:Target_P12_1" xmlDataType="double"/>
    </xmlCellPr>
  </singleXmlCell>
  <singleXmlCell id="579" r="H119" connectionId="0">
    <xmlCellPr id="1" uniqueName="1">
      <xmlPr mapId="43" xpath="/ns1:Root/ns1:Prog/ns1:Achieved__P1_1" xmlDataType="double"/>
    </xmlCellPr>
  </singleXmlCell>
  <singleXmlCell id="580" r="I119" connectionId="0">
    <xmlCellPr id="1" uniqueName="1">
      <xmlPr mapId="43" xpath="/ns1:Root/ns1:Prog/ns1:Achieved__P2_1" xmlDataType="double"/>
    </xmlCellPr>
  </singleXmlCell>
  <singleXmlCell id="581" r="J119" connectionId="0">
    <xmlCellPr id="1" uniqueName="1">
      <xmlPr mapId="43" xpath="/ns1:Root/ns1:Prog/ns1:Achieved__P3_1" xmlDataType="double"/>
    </xmlCellPr>
  </singleXmlCell>
  <singleXmlCell id="582" r="K119" connectionId="0">
    <xmlCellPr id="1" uniqueName="1">
      <xmlPr mapId="43" xpath="/ns1:Root/ns1:Prog/ns1:Achieved__P4_1" xmlDataType="double"/>
    </xmlCellPr>
  </singleXmlCell>
  <singleXmlCell id="583" r="L119" connectionId="0">
    <xmlCellPr id="1" uniqueName="1">
      <xmlPr mapId="43" xpath="/ns1:Root/ns1:Prog/ns1:Achieved__P5_1" xmlDataType="string"/>
    </xmlCellPr>
  </singleXmlCell>
  <singleXmlCell id="584" r="M119" connectionId="0">
    <xmlCellPr id="1" uniqueName="1">
      <xmlPr mapId="43" xpath="/ns1:Root/ns1:Prog/ns1:Achieved__P6_1" xmlDataType="string"/>
    </xmlCellPr>
  </singleXmlCell>
  <singleXmlCell id="585" r="N119" connectionId="0">
    <xmlCellPr id="1" uniqueName="1">
      <xmlPr mapId="43" xpath="/ns1:Root/ns1:Prog/ns1:Achieved__P7_1" xmlDataType="string"/>
    </xmlCellPr>
  </singleXmlCell>
  <singleXmlCell id="586" r="O119" connectionId="0">
    <xmlCellPr id="1" uniqueName="1">
      <xmlPr mapId="43" xpath="/ns1:Root/ns1:Prog/ns1:Achieved__P8_1" xmlDataType="string"/>
    </xmlCellPr>
  </singleXmlCell>
  <singleXmlCell id="587" r="P119" connectionId="0">
    <xmlCellPr id="1" uniqueName="1">
      <xmlPr mapId="43" xpath="/ns1:Root/ns1:Prog/ns1:Achieved__P9_1" xmlDataType="string"/>
    </xmlCellPr>
  </singleXmlCell>
  <singleXmlCell id="588" r="Q119" connectionId="0">
    <xmlCellPr id="1" uniqueName="1">
      <xmlPr mapId="43" xpath="/ns1:Root/ns1:Prog/ns1:Achieved__P10_1" xmlDataType="string"/>
    </xmlCellPr>
  </singleXmlCell>
  <singleXmlCell id="589" r="R119" connectionId="0">
    <xmlCellPr id="1" uniqueName="1">
      <xmlPr mapId="43" xpath="/ns1:Root/ns1:Prog/ns1:Achieved__P11_1" xmlDataType="string"/>
    </xmlCellPr>
  </singleXmlCell>
  <singleXmlCell id="590" r="S119" connectionId="0">
    <xmlCellPr id="1" uniqueName="1">
      <xmlPr mapId="43" xpath="/ns1:Root/ns1:Prog/ns1:Achieved__P12_1" xmlDataType="string"/>
    </xmlCellPr>
  </singleXmlCell>
  <singleXmlCell id="591" r="H120" connectionId="0">
    <xmlCellPr id="1" uniqueName="1">
      <xmlPr mapId="43" xpath="/ns1:Root/ns1:Prog/ns1:Target_P1_2" xmlDataType="double"/>
    </xmlCellPr>
  </singleXmlCell>
  <singleXmlCell id="592" r="I120" connectionId="0">
    <xmlCellPr id="1" uniqueName="1">
      <xmlPr mapId="43" xpath="/ns1:Root/ns1:Prog/ns1:Target_P2_2" xmlDataType="double"/>
    </xmlCellPr>
  </singleXmlCell>
  <singleXmlCell id="593" r="J120" connectionId="0">
    <xmlCellPr id="1" uniqueName="1">
      <xmlPr mapId="43" xpath="/ns1:Root/ns1:Prog/ns1:Target_P3_2" xmlDataType="double"/>
    </xmlCellPr>
  </singleXmlCell>
  <singleXmlCell id="594" r="L120" connectionId="0">
    <xmlCellPr id="1" uniqueName="1">
      <xmlPr mapId="43" xpath="/ns1:Root/ns1:Prog/ns1:Target_P5_2" xmlDataType="double"/>
    </xmlCellPr>
  </singleXmlCell>
  <singleXmlCell id="595" r="M120" connectionId="0">
    <xmlCellPr id="1" uniqueName="1">
      <xmlPr mapId="43" xpath="/ns1:Root/ns1:Prog/ns1:Target_P6_2" xmlDataType="double"/>
    </xmlCellPr>
  </singleXmlCell>
  <singleXmlCell id="596" r="N120" connectionId="0">
    <xmlCellPr id="1" uniqueName="1">
      <xmlPr mapId="43" xpath="/ns1:Root/ns1:Prog/ns1:Target_P7_2" xmlDataType="double"/>
    </xmlCellPr>
  </singleXmlCell>
  <singleXmlCell id="597" r="O120" connectionId="0">
    <xmlCellPr id="1" uniqueName="1">
      <xmlPr mapId="43" xpath="/ns1:Root/ns1:Prog/ns1:Target_P8_2" xmlDataType="double"/>
    </xmlCellPr>
  </singleXmlCell>
  <singleXmlCell id="598" r="P120" connectionId="0">
    <xmlCellPr id="1" uniqueName="1">
      <xmlPr mapId="43" xpath="/ns1:Root/ns1:Prog/ns1:Target_P9_2" xmlDataType="double"/>
    </xmlCellPr>
  </singleXmlCell>
  <singleXmlCell id="599" r="Q120" connectionId="0">
    <xmlCellPr id="1" uniqueName="1">
      <xmlPr mapId="43" xpath="/ns1:Root/ns1:Prog/ns1:Target_P10_2" xmlDataType="double"/>
    </xmlCellPr>
  </singleXmlCell>
  <singleXmlCell id="600" r="R120" connectionId="0">
    <xmlCellPr id="1" uniqueName="1">
      <xmlPr mapId="43" xpath="/ns1:Root/ns1:Prog/ns1:Target_P11_2" xmlDataType="double"/>
    </xmlCellPr>
  </singleXmlCell>
  <singleXmlCell id="601" r="S120" connectionId="0">
    <xmlCellPr id="1" uniqueName="1">
      <xmlPr mapId="43" xpath="/ns1:Root/ns1:Prog/ns1:Target_P12_2" xmlDataType="double"/>
    </xmlCellPr>
  </singleXmlCell>
  <singleXmlCell id="602" r="H121" connectionId="0">
    <xmlCellPr id="1" uniqueName="1">
      <xmlPr mapId="43" xpath="/ns1:Root/ns1:Prog/ns1:Achieved__P1_2" xmlDataType="double"/>
    </xmlCellPr>
  </singleXmlCell>
  <singleXmlCell id="603" r="I121" connectionId="0">
    <xmlCellPr id="1" uniqueName="1">
      <xmlPr mapId="43" xpath="/ns1:Root/ns1:Prog/ns1:Achieved__P2_2" xmlDataType="double"/>
    </xmlCellPr>
  </singleXmlCell>
  <singleXmlCell id="604" r="J121" connectionId="0">
    <xmlCellPr id="1" uniqueName="1">
      <xmlPr mapId="43" xpath="/ns1:Root/ns1:Prog/ns1:Achieved__P3_2" xmlDataType="double"/>
    </xmlCellPr>
  </singleXmlCell>
  <singleXmlCell id="605" r="K121" connectionId="0">
    <xmlCellPr id="1" uniqueName="1">
      <xmlPr mapId="43" xpath="/ns1:Root/ns1:Prog/ns1:Achieved__P4_2" xmlDataType="double"/>
    </xmlCellPr>
  </singleXmlCell>
  <singleXmlCell id="606" r="L121" connectionId="0">
    <xmlCellPr id="1" uniqueName="1">
      <xmlPr mapId="43" xpath="/ns1:Root/ns1:Prog/ns1:Achieved__P5_2" xmlDataType="string"/>
    </xmlCellPr>
  </singleXmlCell>
  <singleXmlCell id="607" r="M121" connectionId="0">
    <xmlCellPr id="1" uniqueName="1">
      <xmlPr mapId="43" xpath="/ns1:Root/ns1:Prog/ns1:Achieved__P6_2" xmlDataType="string"/>
    </xmlCellPr>
  </singleXmlCell>
  <singleXmlCell id="608" r="N121" connectionId="0">
    <xmlCellPr id="1" uniqueName="1">
      <xmlPr mapId="43" xpath="/ns1:Root/ns1:Prog/ns1:Achieved__P7_2" xmlDataType="string"/>
    </xmlCellPr>
  </singleXmlCell>
  <singleXmlCell id="609" r="O121" connectionId="0">
    <xmlCellPr id="1" uniqueName="1">
      <xmlPr mapId="43" xpath="/ns1:Root/ns1:Prog/ns1:Achieved__P8_2" xmlDataType="string"/>
    </xmlCellPr>
  </singleXmlCell>
  <singleXmlCell id="610" r="P121" connectionId="0">
    <xmlCellPr id="1" uniqueName="1">
      <xmlPr mapId="43" xpath="/ns1:Root/ns1:Prog/ns1:Achieved__P9_2" xmlDataType="string"/>
    </xmlCellPr>
  </singleXmlCell>
  <singleXmlCell id="611" r="Q121" connectionId="0">
    <xmlCellPr id="1" uniqueName="1">
      <xmlPr mapId="43" xpath="/ns1:Root/ns1:Prog/ns1:Achieved__P10_2" xmlDataType="string"/>
    </xmlCellPr>
  </singleXmlCell>
  <singleXmlCell id="612" r="R121" connectionId="0">
    <xmlCellPr id="1" uniqueName="1">
      <xmlPr mapId="43" xpath="/ns1:Root/ns1:Prog/ns1:Achieved__P11_2" xmlDataType="string"/>
    </xmlCellPr>
  </singleXmlCell>
  <singleXmlCell id="613" r="S121" connectionId="0">
    <xmlCellPr id="1" uniqueName="1">
      <xmlPr mapId="43" xpath="/ns1:Root/ns1:Prog/ns1:Achieved__P12_2" xmlDataType="string"/>
    </xmlCellPr>
  </singleXmlCell>
  <singleXmlCell id="614" r="H122" connectionId="0">
    <xmlCellPr id="1" uniqueName="1">
      <xmlPr mapId="43" xpath="/ns1:Root/ns1:Prog/ns1:Target_P1_3" xmlDataType="double"/>
    </xmlCellPr>
  </singleXmlCell>
  <singleXmlCell id="615" r="I122" connectionId="0">
    <xmlCellPr id="1" uniqueName="1">
      <xmlPr mapId="43" xpath="/ns1:Root/ns1:Prog/ns1:Target_P2_3" xmlDataType="double"/>
    </xmlCellPr>
  </singleXmlCell>
  <singleXmlCell id="616" r="J122" connectionId="0">
    <xmlCellPr id="1" uniqueName="1">
      <xmlPr mapId="43" xpath="/ns1:Root/ns1:Prog/ns1:Target_P3_3" xmlDataType="double"/>
    </xmlCellPr>
  </singleXmlCell>
  <singleXmlCell id="617" r="K122" connectionId="0">
    <xmlCellPr id="1" uniqueName="1">
      <xmlPr mapId="43" xpath="/ns1:Root/ns1:Prog/ns1:Target_P4_3" xmlDataType="double"/>
    </xmlCellPr>
  </singleXmlCell>
  <singleXmlCell id="618" r="L122" connectionId="0">
    <xmlCellPr id="1" uniqueName="1">
      <xmlPr mapId="43" xpath="/ns1:Root/ns1:Prog/ns1:Target_P5_3" xmlDataType="double"/>
    </xmlCellPr>
  </singleXmlCell>
  <singleXmlCell id="619" r="M122" connectionId="0">
    <xmlCellPr id="1" uniqueName="1">
      <xmlPr mapId="43" xpath="/ns1:Root/ns1:Prog/ns1:Target_P6_3" xmlDataType="double"/>
    </xmlCellPr>
  </singleXmlCell>
  <singleXmlCell id="620" r="N122" connectionId="0">
    <xmlCellPr id="1" uniqueName="1">
      <xmlPr mapId="43" xpath="/ns1:Root/ns1:Prog/ns1:Target_P7_3" xmlDataType="double"/>
    </xmlCellPr>
  </singleXmlCell>
  <singleXmlCell id="621" r="O122" connectionId="0">
    <xmlCellPr id="1" uniqueName="1">
      <xmlPr mapId="43" xpath="/ns1:Root/ns1:Prog/ns1:Target_P8_3" xmlDataType="double"/>
    </xmlCellPr>
  </singleXmlCell>
  <singleXmlCell id="622" r="P122" connectionId="0">
    <xmlCellPr id="1" uniqueName="1">
      <xmlPr mapId="43" xpath="/ns1:Root/ns1:Prog/ns1:Target_P9_3" xmlDataType="double"/>
    </xmlCellPr>
  </singleXmlCell>
  <singleXmlCell id="623" r="Q122" connectionId="0">
    <xmlCellPr id="1" uniqueName="1">
      <xmlPr mapId="43" xpath="/ns1:Root/ns1:Prog/ns1:Target_P10_3" xmlDataType="string"/>
    </xmlCellPr>
  </singleXmlCell>
  <singleXmlCell id="624" r="R122" connectionId="0">
    <xmlCellPr id="1" uniqueName="1">
      <xmlPr mapId="43" xpath="/ns1:Root/ns1:Prog/ns1:Target_P11_3" xmlDataType="string"/>
    </xmlCellPr>
  </singleXmlCell>
  <singleXmlCell id="625" r="S122" connectionId="0">
    <xmlCellPr id="1" uniqueName="1">
      <xmlPr mapId="43" xpath="/ns1:Root/ns1:Prog/ns1:Target_P12_3" xmlDataType="double"/>
    </xmlCellPr>
  </singleXmlCell>
  <singleXmlCell id="626" r="H123" connectionId="0">
    <xmlCellPr id="1" uniqueName="1">
      <xmlPr mapId="43" xpath="/ns1:Root/ns1:Prog/ns1:Achieved__P1_3" xmlDataType="string"/>
    </xmlCellPr>
  </singleXmlCell>
  <singleXmlCell id="627" r="I123" connectionId="0">
    <xmlCellPr id="1" uniqueName="1">
      <xmlPr mapId="43" xpath="/ns1:Root/ns1:Prog/ns1:Achieved__P2_3" xmlDataType="double"/>
    </xmlCellPr>
  </singleXmlCell>
  <singleXmlCell id="628" r="J123" connectionId="0">
    <xmlCellPr id="1" uniqueName="1">
      <xmlPr mapId="43" xpath="/ns1:Root/ns1:Prog/ns1:Achieved__P3_3" xmlDataType="string"/>
    </xmlCellPr>
  </singleXmlCell>
  <singleXmlCell id="629" r="K123" connectionId="0">
    <xmlCellPr id="1" uniqueName="1">
      <xmlPr mapId="43" xpath="/ns1:Root/ns1:Prog/ns1:Achieved__P4_3" xmlDataType="double"/>
    </xmlCellPr>
  </singleXmlCell>
  <singleXmlCell id="630" r="L123" connectionId="0">
    <xmlCellPr id="1" uniqueName="1">
      <xmlPr mapId="43" xpath="/ns1:Root/ns1:Prog/ns1:Achieved__P5_3" xmlDataType="string"/>
    </xmlCellPr>
  </singleXmlCell>
  <singleXmlCell id="631" r="M123" connectionId="0">
    <xmlCellPr id="1" uniqueName="1">
      <xmlPr mapId="43" xpath="/ns1:Root/ns1:Prog/ns1:Achieved__P6_3" xmlDataType="string"/>
    </xmlCellPr>
  </singleXmlCell>
  <singleXmlCell id="632" r="N123" connectionId="0">
    <xmlCellPr id="1" uniqueName="1">
      <xmlPr mapId="43" xpath="/ns1:Root/ns1:Prog/ns1:Achieved__P7_3" xmlDataType="string"/>
    </xmlCellPr>
  </singleXmlCell>
  <singleXmlCell id="633" r="O123" connectionId="0">
    <xmlCellPr id="1" uniqueName="1">
      <xmlPr mapId="43" xpath="/ns1:Root/ns1:Prog/ns1:Achieved__P8_3" xmlDataType="string"/>
    </xmlCellPr>
  </singleXmlCell>
  <singleXmlCell id="634" r="P123" connectionId="0">
    <xmlCellPr id="1" uniqueName="1">
      <xmlPr mapId="43" xpath="/ns1:Root/ns1:Prog/ns1:Achieved__P9_3" xmlDataType="string"/>
    </xmlCellPr>
  </singleXmlCell>
  <singleXmlCell id="635" r="Q123" connectionId="0">
    <xmlCellPr id="1" uniqueName="1">
      <xmlPr mapId="43" xpath="/ns1:Root/ns1:Prog/ns1:Achieved__P10_3" xmlDataType="string"/>
    </xmlCellPr>
  </singleXmlCell>
  <singleXmlCell id="636" r="R123" connectionId="0">
    <xmlCellPr id="1" uniqueName="1">
      <xmlPr mapId="43" xpath="/ns1:Root/ns1:Prog/ns1:Achieved__P11_3" xmlDataType="string"/>
    </xmlCellPr>
  </singleXmlCell>
  <singleXmlCell id="637" r="S123" connectionId="0">
    <xmlCellPr id="1" uniqueName="1">
      <xmlPr mapId="43" xpath="/ns1:Root/ns1:Prog/ns1:Achieved__P12_3" xmlDataType="string"/>
    </xmlCellPr>
  </singleXmlCell>
  <singleXmlCell id="638" r="H124" connectionId="0">
    <xmlCellPr id="1" uniqueName="1">
      <xmlPr mapId="43" xpath="/ns1:Root/ns1:Prog/ns1:Target_P1_4" xmlDataType="string"/>
    </xmlCellPr>
  </singleXmlCell>
  <singleXmlCell id="639" r="I124" connectionId="0">
    <xmlCellPr id="1" uniqueName="1">
      <xmlPr mapId="43" xpath="/ns1:Root/ns1:Prog/ns1:Target_P2_4" xmlDataType="string"/>
    </xmlCellPr>
  </singleXmlCell>
  <singleXmlCell id="640" r="J124" connectionId="0">
    <xmlCellPr id="1" uniqueName="1">
      <xmlPr mapId="43" xpath="/ns1:Root/ns1:Prog/ns1:Target_P3_4" xmlDataType="string"/>
    </xmlCellPr>
  </singleXmlCell>
  <singleXmlCell id="641" r="K124" connectionId="0">
    <xmlCellPr id="1" uniqueName="1">
      <xmlPr mapId="43" xpath="/ns1:Root/ns1:Prog/ns1:Target_P4_4" xmlDataType="double"/>
    </xmlCellPr>
  </singleXmlCell>
  <singleXmlCell id="642" r="L124" connectionId="0">
    <xmlCellPr id="1" uniqueName="1">
      <xmlPr mapId="43" xpath="/ns1:Root/ns1:Prog/ns1:Target_P5_4" xmlDataType="string"/>
    </xmlCellPr>
  </singleXmlCell>
  <singleXmlCell id="643" r="M124" connectionId="0">
    <xmlCellPr id="1" uniqueName="1">
      <xmlPr mapId="43" xpath="/ns1:Root/ns1:Prog/ns1:Target_P6_4" xmlDataType="string"/>
    </xmlCellPr>
  </singleXmlCell>
  <singleXmlCell id="644" r="N124" connectionId="0">
    <xmlCellPr id="1" uniqueName="1">
      <xmlPr mapId="43" xpath="/ns1:Root/ns1:Prog/ns1:Target_P7_4" xmlDataType="string"/>
    </xmlCellPr>
  </singleXmlCell>
  <singleXmlCell id="645" r="O124" connectionId="0">
    <xmlCellPr id="1" uniqueName="1">
      <xmlPr mapId="43" xpath="/ns1:Root/ns1:Prog/ns1:Target_P8_4" xmlDataType="double"/>
    </xmlCellPr>
  </singleXmlCell>
  <singleXmlCell id="646" r="P124" connectionId="0">
    <xmlCellPr id="1" uniqueName="1">
      <xmlPr mapId="43" xpath="/ns1:Root/ns1:Prog/ns1:Target_P9_4" xmlDataType="string"/>
    </xmlCellPr>
  </singleXmlCell>
  <singleXmlCell id="647" r="Q124" connectionId="0">
    <xmlCellPr id="1" uniqueName="1">
      <xmlPr mapId="43" xpath="/ns1:Root/ns1:Prog/ns1:Target_P10_4" xmlDataType="string"/>
    </xmlCellPr>
  </singleXmlCell>
  <singleXmlCell id="648" r="R124" connectionId="0">
    <xmlCellPr id="1" uniqueName="1">
      <xmlPr mapId="43" xpath="/ns1:Root/ns1:Prog/ns1:Target_P11_4" xmlDataType="string"/>
    </xmlCellPr>
  </singleXmlCell>
  <singleXmlCell id="649" r="S124" connectionId="0">
    <xmlCellPr id="1" uniqueName="1">
      <xmlPr mapId="43" xpath="/ns1:Root/ns1:Prog/ns1:Target_P12_4" xmlDataType="double"/>
    </xmlCellPr>
  </singleXmlCell>
  <singleXmlCell id="650" r="H125" connectionId="0">
    <xmlCellPr id="1" uniqueName="1">
      <xmlPr mapId="43" xpath="/ns1:Root/ns1:Prog/ns1:Achieved__P1_4" xmlDataType="string"/>
    </xmlCellPr>
  </singleXmlCell>
  <singleXmlCell id="651" r="I125" connectionId="0">
    <xmlCellPr id="1" uniqueName="1">
      <xmlPr mapId="43" xpath="/ns1:Root/ns1:Prog/ns1:Achieved__P2_4" xmlDataType="string"/>
    </xmlCellPr>
  </singleXmlCell>
  <singleXmlCell id="652" r="J125" connectionId="0">
    <xmlCellPr id="1" uniqueName="1">
      <xmlPr mapId="43" xpath="/ns1:Root/ns1:Prog/ns1:Achieved__P3_4" xmlDataType="string"/>
    </xmlCellPr>
  </singleXmlCell>
  <singleXmlCell id="653" r="K125" connectionId="0">
    <xmlCellPr id="1" uniqueName="1">
      <xmlPr mapId="43" xpath="/ns1:Root/ns1:Prog/ns1:Achieved__P4_4" xmlDataType="double"/>
    </xmlCellPr>
  </singleXmlCell>
  <singleXmlCell id="654" r="L125" connectionId="0">
    <xmlCellPr id="1" uniqueName="1">
      <xmlPr mapId="43" xpath="/ns1:Root/ns1:Prog/ns1:Achieved__P5_4" xmlDataType="string"/>
    </xmlCellPr>
  </singleXmlCell>
  <singleXmlCell id="655" r="M125" connectionId="0">
    <xmlCellPr id="1" uniqueName="1">
      <xmlPr mapId="43" xpath="/ns1:Root/ns1:Prog/ns1:Achieved__P6_4" xmlDataType="string"/>
    </xmlCellPr>
  </singleXmlCell>
  <singleXmlCell id="656" r="N125" connectionId="0">
    <xmlCellPr id="1" uniqueName="1">
      <xmlPr mapId="43" xpath="/ns1:Root/ns1:Prog/ns1:Achieved__P7_4" xmlDataType="string"/>
    </xmlCellPr>
  </singleXmlCell>
  <singleXmlCell id="657" r="O125" connectionId="0">
    <xmlCellPr id="1" uniqueName="1">
      <xmlPr mapId="43" xpath="/ns1:Root/ns1:Prog/ns1:Achieved__P8_4" xmlDataType="string"/>
    </xmlCellPr>
  </singleXmlCell>
  <singleXmlCell id="658" r="P125" connectionId="0">
    <xmlCellPr id="1" uniqueName="1">
      <xmlPr mapId="43" xpath="/ns1:Root/ns1:Prog/ns1:Achieved__P9_4" xmlDataType="string"/>
    </xmlCellPr>
  </singleXmlCell>
  <singleXmlCell id="659" r="Q125" connectionId="0">
    <xmlCellPr id="1" uniqueName="1">
      <xmlPr mapId="43" xpath="/ns1:Root/ns1:Prog/ns1:Achieved__P10_4" xmlDataType="string"/>
    </xmlCellPr>
  </singleXmlCell>
  <singleXmlCell id="660" r="R125" connectionId="0">
    <xmlCellPr id="1" uniqueName="1">
      <xmlPr mapId="43" xpath="/ns1:Root/ns1:Prog/ns1:Achieved__P11_4" xmlDataType="string"/>
    </xmlCellPr>
  </singleXmlCell>
  <singleXmlCell id="661" r="S125" connectionId="0">
    <xmlCellPr id="1" uniqueName="1">
      <xmlPr mapId="43" xpath="/ns1:Root/ns1:Prog/ns1:Achieved__P12_4" xmlDataType="string"/>
    </xmlCellPr>
  </singleXmlCell>
  <singleXmlCell id="662" r="H126" connectionId="0">
    <xmlCellPr id="1" uniqueName="1">
      <xmlPr mapId="43" xpath="/ns1:Root/ns1:Prog/ns1:Target_P1_5" xmlDataType="double"/>
    </xmlCellPr>
  </singleXmlCell>
  <singleXmlCell id="663" r="I126" connectionId="0">
    <xmlCellPr id="1" uniqueName="1">
      <xmlPr mapId="43" xpath="/ns1:Root/ns1:Prog/ns1:Target_P2_5" xmlDataType="double"/>
    </xmlCellPr>
  </singleXmlCell>
  <singleXmlCell id="664" r="J126" connectionId="0">
    <xmlCellPr id="1" uniqueName="1">
      <xmlPr mapId="43" xpath="/ns1:Root/ns1:Prog/ns1:Target_P3_5" xmlDataType="double"/>
    </xmlCellPr>
  </singleXmlCell>
  <singleXmlCell id="665" r="K126" connectionId="0">
    <xmlCellPr id="1" uniqueName="1">
      <xmlPr mapId="43" xpath="/ns1:Root/ns1:Prog/ns1:Target_P4_5" xmlDataType="double"/>
    </xmlCellPr>
  </singleXmlCell>
  <singleXmlCell id="666" r="L126" connectionId="0">
    <xmlCellPr id="1" uniqueName="1">
      <xmlPr mapId="43" xpath="/ns1:Root/ns1:Prog/ns1:Target_P5_5" xmlDataType="double"/>
    </xmlCellPr>
  </singleXmlCell>
  <singleXmlCell id="667" r="M126" connectionId="0">
    <xmlCellPr id="1" uniqueName="1">
      <xmlPr mapId="43" xpath="/ns1:Root/ns1:Prog/ns1:Target_P6_5" xmlDataType="double"/>
    </xmlCellPr>
  </singleXmlCell>
  <singleXmlCell id="668" r="N126" connectionId="0">
    <xmlCellPr id="1" uniqueName="1">
      <xmlPr mapId="43" xpath="/ns1:Root/ns1:Prog/ns1:Target_P7_5" xmlDataType="double"/>
    </xmlCellPr>
  </singleXmlCell>
  <singleXmlCell id="669" r="O126" connectionId="0">
    <xmlCellPr id="1" uniqueName="1">
      <xmlPr mapId="43" xpath="/ns1:Root/ns1:Prog/ns1:Target_P8_5" xmlDataType="double"/>
    </xmlCellPr>
  </singleXmlCell>
  <singleXmlCell id="670" r="P126" connectionId="0">
    <xmlCellPr id="1" uniqueName="1">
      <xmlPr mapId="43" xpath="/ns1:Root/ns1:Prog/ns1:Target_P9_5" xmlDataType="double"/>
    </xmlCellPr>
  </singleXmlCell>
  <singleXmlCell id="671" r="Q126" connectionId="0">
    <xmlCellPr id="1" uniqueName="1">
      <xmlPr mapId="43" xpath="/ns1:Root/ns1:Prog/ns1:Target_P10_5" xmlDataType="double"/>
    </xmlCellPr>
  </singleXmlCell>
  <singleXmlCell id="672" r="R126" connectionId="0">
    <xmlCellPr id="1" uniqueName="1">
      <xmlPr mapId="43" xpath="/ns1:Root/ns1:Prog/ns1:Target_P11_5" xmlDataType="double"/>
    </xmlCellPr>
  </singleXmlCell>
  <singleXmlCell id="673" r="S126" connectionId="0">
    <xmlCellPr id="1" uniqueName="1">
      <xmlPr mapId="43" xpath="/ns1:Root/ns1:Prog/ns1:Target_P12_5" xmlDataType="double"/>
    </xmlCellPr>
  </singleXmlCell>
  <singleXmlCell id="674" r="H127" connectionId="0">
    <xmlCellPr id="1" uniqueName="1">
      <xmlPr mapId="43" xpath="/ns1:Root/ns1:Prog/ns1:Achieved__P1_5" xmlDataType="double"/>
    </xmlCellPr>
  </singleXmlCell>
  <singleXmlCell id="675" r="I127" connectionId="0">
    <xmlCellPr id="1" uniqueName="1">
      <xmlPr mapId="43" xpath="/ns1:Root/ns1:Prog/ns1:Achieved__P2_5" xmlDataType="double"/>
    </xmlCellPr>
  </singleXmlCell>
  <singleXmlCell id="676" r="J127" connectionId="0">
    <xmlCellPr id="1" uniqueName="1">
      <xmlPr mapId="43" xpath="/ns1:Root/ns1:Prog/ns1:Achieved__P3_5" xmlDataType="double"/>
    </xmlCellPr>
  </singleXmlCell>
  <singleXmlCell id="677" r="K127" connectionId="0">
    <xmlCellPr id="1" uniqueName="1">
      <xmlPr mapId="43" xpath="/ns1:Root/ns1:Prog/ns1:Achieved__P4_5" xmlDataType="double"/>
    </xmlCellPr>
  </singleXmlCell>
  <singleXmlCell id="678" r="L127" connectionId="0">
    <xmlCellPr id="1" uniqueName="1">
      <xmlPr mapId="43" xpath="/ns1:Root/ns1:Prog/ns1:Achieved__P5_5" xmlDataType="string"/>
    </xmlCellPr>
  </singleXmlCell>
  <singleXmlCell id="679" r="M127" connectionId="0">
    <xmlCellPr id="1" uniqueName="1">
      <xmlPr mapId="43" xpath="/ns1:Root/ns1:Prog/ns1:Achieved__P6_5" xmlDataType="string"/>
    </xmlCellPr>
  </singleXmlCell>
  <singleXmlCell id="680" r="N127" connectionId="0">
    <xmlCellPr id="1" uniqueName="1">
      <xmlPr mapId="43" xpath="/ns1:Root/ns1:Prog/ns1:Achieved__P7_5" xmlDataType="string"/>
    </xmlCellPr>
  </singleXmlCell>
  <singleXmlCell id="681" r="O127" connectionId="0">
    <xmlCellPr id="1" uniqueName="1">
      <xmlPr mapId="43" xpath="/ns1:Root/ns1:Prog/ns1:Achieved__P8_5" xmlDataType="string"/>
    </xmlCellPr>
  </singleXmlCell>
  <singleXmlCell id="682" r="P127" connectionId="0">
    <xmlCellPr id="1" uniqueName="1">
      <xmlPr mapId="43" xpath="/ns1:Root/ns1:Prog/ns1:Achieved__P9_5" xmlDataType="string"/>
    </xmlCellPr>
  </singleXmlCell>
  <singleXmlCell id="683" r="Q127" connectionId="0">
    <xmlCellPr id="1" uniqueName="1">
      <xmlPr mapId="43" xpath="/ns1:Root/ns1:Prog/ns1:Achieved__P10_5" xmlDataType="string"/>
    </xmlCellPr>
  </singleXmlCell>
  <singleXmlCell id="684" r="R127" connectionId="0">
    <xmlCellPr id="1" uniqueName="1">
      <xmlPr mapId="43" xpath="/ns1:Root/ns1:Prog/ns1:Achieved__P11_5" xmlDataType="string"/>
    </xmlCellPr>
  </singleXmlCell>
  <singleXmlCell id="685" r="S127" connectionId="0">
    <xmlCellPr id="1" uniqueName="1">
      <xmlPr mapId="43" xpath="/ns1:Root/ns1:Prog/ns1:Achieved__P12_5" xmlDataType="string"/>
    </xmlCellPr>
  </singleXmlCell>
  <singleXmlCell id="686" r="H128" connectionId="0">
    <xmlCellPr id="1" uniqueName="1">
      <xmlPr mapId="43" xpath="/ns1:Root/ns1:Prog/ns1:Target_P1_6" xmlDataType="double"/>
    </xmlCellPr>
  </singleXmlCell>
  <singleXmlCell id="687" r="I128" connectionId="0">
    <xmlCellPr id="1" uniqueName="1">
      <xmlPr mapId="43" xpath="/ns1:Root/ns1:Prog/ns1:Target_P2_6" xmlDataType="double"/>
    </xmlCellPr>
  </singleXmlCell>
  <singleXmlCell id="688" r="J128" connectionId="0">
    <xmlCellPr id="1" uniqueName="1">
      <xmlPr mapId="43" xpath="/ns1:Root/ns1:Prog/ns1:Target_P3_6" xmlDataType="double"/>
    </xmlCellPr>
  </singleXmlCell>
  <singleXmlCell id="689" r="K128" connectionId="0">
    <xmlCellPr id="1" uniqueName="1">
      <xmlPr mapId="43" xpath="/ns1:Root/ns1:Prog/ns1:Target_P4_6" xmlDataType="double"/>
    </xmlCellPr>
  </singleXmlCell>
  <singleXmlCell id="690" r="L128" connectionId="0">
    <xmlCellPr id="1" uniqueName="1">
      <xmlPr mapId="43" xpath="/ns1:Root/ns1:Prog/ns1:Target_P5_6" xmlDataType="double"/>
    </xmlCellPr>
  </singleXmlCell>
  <singleXmlCell id="691" r="M128" connectionId="0">
    <xmlCellPr id="1" uniqueName="1">
      <xmlPr mapId="43" xpath="/ns1:Root/ns1:Prog/ns1:Target_P6_6" xmlDataType="double"/>
    </xmlCellPr>
  </singleXmlCell>
  <singleXmlCell id="692" r="N128" connectionId="0">
    <xmlCellPr id="1" uniqueName="1">
      <xmlPr mapId="43" xpath="/ns1:Root/ns1:Prog/ns1:Target_P7_6" xmlDataType="double"/>
    </xmlCellPr>
  </singleXmlCell>
  <singleXmlCell id="693" r="O128" connectionId="0">
    <xmlCellPr id="1" uniqueName="1">
      <xmlPr mapId="43" xpath="/ns1:Root/ns1:Prog/ns1:Target_P8_6" xmlDataType="double"/>
    </xmlCellPr>
  </singleXmlCell>
  <singleXmlCell id="694" r="P128" connectionId="0">
    <xmlCellPr id="1" uniqueName="1">
      <xmlPr mapId="43" xpath="/ns1:Root/ns1:Prog/ns1:Target_P9_6" xmlDataType="double"/>
    </xmlCellPr>
  </singleXmlCell>
  <singleXmlCell id="695" r="Q128" connectionId="0">
    <xmlCellPr id="1" uniqueName="1">
      <xmlPr mapId="43" xpath="/ns1:Root/ns1:Prog/ns1:Target_P10_6" xmlDataType="double"/>
    </xmlCellPr>
  </singleXmlCell>
  <singleXmlCell id="696" r="R128" connectionId="0">
    <xmlCellPr id="1" uniqueName="1">
      <xmlPr mapId="43" xpath="/ns1:Root/ns1:Prog/ns1:Target_P11_6" xmlDataType="double"/>
    </xmlCellPr>
  </singleXmlCell>
  <singleXmlCell id="697" r="S128" connectionId="0">
    <xmlCellPr id="1" uniqueName="1">
      <xmlPr mapId="43" xpath="/ns1:Root/ns1:Prog/ns1:Target_P12_6" xmlDataType="double"/>
    </xmlCellPr>
  </singleXmlCell>
  <singleXmlCell id="698" r="H129" connectionId="0">
    <xmlCellPr id="1" uniqueName="1">
      <xmlPr mapId="43" xpath="/ns1:Root/ns1:Prog/ns1:Achieved__P1_6" xmlDataType="double"/>
    </xmlCellPr>
  </singleXmlCell>
  <singleXmlCell id="699" r="I129" connectionId="0">
    <xmlCellPr id="1" uniqueName="1">
      <xmlPr mapId="43" xpath="/ns1:Root/ns1:Prog/ns1:Achieved__P2_6" xmlDataType="double"/>
    </xmlCellPr>
  </singleXmlCell>
  <singleXmlCell id="700" r="J129" connectionId="0">
    <xmlCellPr id="1" uniqueName="1">
      <xmlPr mapId="43" xpath="/ns1:Root/ns1:Prog/ns1:Achieved__P3_6" xmlDataType="double"/>
    </xmlCellPr>
  </singleXmlCell>
  <singleXmlCell id="701" r="K129" connectionId="0">
    <xmlCellPr id="1" uniqueName="1">
      <xmlPr mapId="43" xpath="/ns1:Root/ns1:Prog/ns1:Achieved__P4_6" xmlDataType="double"/>
    </xmlCellPr>
  </singleXmlCell>
  <singleXmlCell id="702" r="L129" connectionId="0">
    <xmlCellPr id="1" uniqueName="1">
      <xmlPr mapId="43" xpath="/ns1:Root/ns1:Prog/ns1:Achieved__P5_6" xmlDataType="string"/>
    </xmlCellPr>
  </singleXmlCell>
  <singleXmlCell id="703" r="M129" connectionId="0">
    <xmlCellPr id="1" uniqueName="1">
      <xmlPr mapId="43" xpath="/ns1:Root/ns1:Prog/ns1:Achieved__P6_6" xmlDataType="string"/>
    </xmlCellPr>
  </singleXmlCell>
  <singleXmlCell id="704" r="N129" connectionId="0">
    <xmlCellPr id="1" uniqueName="1">
      <xmlPr mapId="43" xpath="/ns1:Root/ns1:Prog/ns1:Achieved__P7_6" xmlDataType="string"/>
    </xmlCellPr>
  </singleXmlCell>
  <singleXmlCell id="705" r="O129" connectionId="0">
    <xmlCellPr id="1" uniqueName="1">
      <xmlPr mapId="43" xpath="/ns1:Root/ns1:Prog/ns1:Achieved__P8_6" xmlDataType="string"/>
    </xmlCellPr>
  </singleXmlCell>
  <singleXmlCell id="706" r="P129" connectionId="0">
    <xmlCellPr id="1" uniqueName="1">
      <xmlPr mapId="43" xpath="/ns1:Root/ns1:Prog/ns1:Achieved__P9_6" xmlDataType="string"/>
    </xmlCellPr>
  </singleXmlCell>
  <singleXmlCell id="707" r="Q129" connectionId="0">
    <xmlCellPr id="1" uniqueName="1">
      <xmlPr mapId="43" xpath="/ns1:Root/ns1:Prog/ns1:Achieved__P10_6" xmlDataType="string"/>
    </xmlCellPr>
  </singleXmlCell>
  <singleXmlCell id="708" r="R129" connectionId="0">
    <xmlCellPr id="1" uniqueName="1">
      <xmlPr mapId="43" xpath="/ns1:Root/ns1:Prog/ns1:Achieved__P11_6" xmlDataType="string"/>
    </xmlCellPr>
  </singleXmlCell>
  <singleXmlCell id="709" r="S129" connectionId="0">
    <xmlCellPr id="1" uniqueName="1">
      <xmlPr mapId="43" xpath="/ns1:Root/ns1:Prog/ns1:Achieved__P12_6" xmlDataType="string"/>
    </xmlCellPr>
  </singleXmlCell>
  <singleXmlCell id="710" r="H130" connectionId="0">
    <xmlCellPr id="1" uniqueName="1">
      <xmlPr mapId="43" xpath="/ns1:Root/ns1:Prog/ns1:Target_P1_7" xmlDataType="double"/>
    </xmlCellPr>
  </singleXmlCell>
  <singleXmlCell id="711" r="I130" connectionId="0">
    <xmlCellPr id="1" uniqueName="1">
      <xmlPr mapId="43" xpath="/ns1:Root/ns1:Prog/ns1:Target_P2_7" xmlDataType="double"/>
    </xmlCellPr>
  </singleXmlCell>
  <singleXmlCell id="712" r="J130" connectionId="0">
    <xmlCellPr id="1" uniqueName="1">
      <xmlPr mapId="43" xpath="/ns1:Root/ns1:Prog/ns1:Target_P3_7" xmlDataType="double"/>
    </xmlCellPr>
  </singleXmlCell>
  <singleXmlCell id="713" r="K130" connectionId="0">
    <xmlCellPr id="1" uniqueName="1">
      <xmlPr mapId="43" xpath="/ns1:Root/ns1:Prog/ns1:Target_P4_7" xmlDataType="double"/>
    </xmlCellPr>
  </singleXmlCell>
  <singleXmlCell id="714" r="L130" connectionId="0">
    <xmlCellPr id="1" uniqueName="1">
      <xmlPr mapId="43" xpath="/ns1:Root/ns1:Prog/ns1:Target_P5_7" xmlDataType="double"/>
    </xmlCellPr>
  </singleXmlCell>
  <singleXmlCell id="715" r="M130" connectionId="0">
    <xmlCellPr id="1" uniqueName="1">
      <xmlPr mapId="43" xpath="/ns1:Root/ns1:Prog/ns1:Target_P6_7" xmlDataType="double"/>
    </xmlCellPr>
  </singleXmlCell>
  <singleXmlCell id="716" r="N130" connectionId="0">
    <xmlCellPr id="1" uniqueName="1">
      <xmlPr mapId="43" xpath="/ns1:Root/ns1:Prog/ns1:Target_P7_7" xmlDataType="double"/>
    </xmlCellPr>
  </singleXmlCell>
  <singleXmlCell id="717" r="O130" connectionId="0">
    <xmlCellPr id="1" uniqueName="1">
      <xmlPr mapId="43" xpath="/ns1:Root/ns1:Prog/ns1:Target_P8_7" xmlDataType="double"/>
    </xmlCellPr>
  </singleXmlCell>
  <singleXmlCell id="718" r="P130" connectionId="0">
    <xmlCellPr id="1" uniqueName="1">
      <xmlPr mapId="43" xpath="/ns1:Root/ns1:Prog/ns1:Target_P9_7" xmlDataType="double"/>
    </xmlCellPr>
  </singleXmlCell>
  <singleXmlCell id="719" r="Q130" connectionId="0">
    <xmlCellPr id="1" uniqueName="1">
      <xmlPr mapId="43" xpath="/ns1:Root/ns1:Prog/ns1:Target_P10_7" xmlDataType="double"/>
    </xmlCellPr>
  </singleXmlCell>
  <singleXmlCell id="720" r="R130" connectionId="0">
    <xmlCellPr id="1" uniqueName="1">
      <xmlPr mapId="43" xpath="/ns1:Root/ns1:Prog/ns1:Target_P11_7" xmlDataType="double"/>
    </xmlCellPr>
  </singleXmlCell>
  <singleXmlCell id="721" r="S130" connectionId="0">
    <xmlCellPr id="1" uniqueName="1">
      <xmlPr mapId="43" xpath="/ns1:Root/ns1:Prog/ns1:Target_P12_7" xmlDataType="double"/>
    </xmlCellPr>
  </singleXmlCell>
  <singleXmlCell id="722" r="H131" connectionId="0">
    <xmlCellPr id="1" uniqueName="1">
      <xmlPr mapId="43" xpath="/ns1:Root/ns1:Prog/ns1:Achieved__P1_7" xmlDataType="double"/>
    </xmlCellPr>
  </singleXmlCell>
  <singleXmlCell id="723" r="I131" connectionId="0">
    <xmlCellPr id="1" uniqueName="1">
      <xmlPr mapId="43" xpath="/ns1:Root/ns1:Prog/ns1:Achieved__P2_7" xmlDataType="double"/>
    </xmlCellPr>
  </singleXmlCell>
  <singleXmlCell id="724" r="J131" connectionId="0">
    <xmlCellPr id="1" uniqueName="1">
      <xmlPr mapId="43" xpath="/ns1:Root/ns1:Prog/ns1:Achieved__P3_7" xmlDataType="double"/>
    </xmlCellPr>
  </singleXmlCell>
  <singleXmlCell id="725" r="K131" connectionId="0">
    <xmlCellPr id="1" uniqueName="1">
      <xmlPr mapId="43" xpath="/ns1:Root/ns1:Prog/ns1:Achieved__P4_7" xmlDataType="double"/>
    </xmlCellPr>
  </singleXmlCell>
  <singleXmlCell id="726" r="L131" connectionId="0">
    <xmlCellPr id="1" uniqueName="1">
      <xmlPr mapId="43" xpath="/ns1:Root/ns1:Prog/ns1:Achieved__P5_7" xmlDataType="string"/>
    </xmlCellPr>
  </singleXmlCell>
  <singleXmlCell id="727" r="M131" connectionId="0">
    <xmlCellPr id="1" uniqueName="1">
      <xmlPr mapId="43" xpath="/ns1:Root/ns1:Prog/ns1:Achieved__P6_7" xmlDataType="string"/>
    </xmlCellPr>
  </singleXmlCell>
  <singleXmlCell id="728" r="N131" connectionId="0">
    <xmlCellPr id="1" uniqueName="1">
      <xmlPr mapId="43" xpath="/ns1:Root/ns1:Prog/ns1:Achieved__P7_7" xmlDataType="string"/>
    </xmlCellPr>
  </singleXmlCell>
  <singleXmlCell id="729" r="O131" connectionId="0">
    <xmlCellPr id="1" uniqueName="1">
      <xmlPr mapId="43" xpath="/ns1:Root/ns1:Prog/ns1:Achieved__P8_7" xmlDataType="string"/>
    </xmlCellPr>
  </singleXmlCell>
  <singleXmlCell id="730" r="P131" connectionId="0">
    <xmlCellPr id="1" uniqueName="1">
      <xmlPr mapId="43" xpath="/ns1:Root/ns1:Prog/ns1:Achieved__P9_7" xmlDataType="string"/>
    </xmlCellPr>
  </singleXmlCell>
  <singleXmlCell id="731" r="Q131" connectionId="0">
    <xmlCellPr id="1" uniqueName="1">
      <xmlPr mapId="43" xpath="/ns1:Root/ns1:Prog/ns1:Achieved__P10_7" xmlDataType="string"/>
    </xmlCellPr>
  </singleXmlCell>
  <singleXmlCell id="732" r="R131" connectionId="0">
    <xmlCellPr id="1" uniqueName="1">
      <xmlPr mapId="43" xpath="/ns1:Root/ns1:Prog/ns1:Achieved__P11_7" xmlDataType="string"/>
    </xmlCellPr>
  </singleXmlCell>
  <singleXmlCell id="733" r="S131" connectionId="0">
    <xmlCellPr id="1" uniqueName="1">
      <xmlPr mapId="43" xpath="/ns1:Root/ns1:Prog/ns1:Achieved__P12_7" xmlDataType="string"/>
    </xmlCellPr>
  </singleXmlCell>
  <singleXmlCell id="734" r="H132" connectionId="0">
    <xmlCellPr id="1" uniqueName="1">
      <xmlPr mapId="43" xpath="/ns1:Root/ns1:Prog/ns1:Target_P1_8" xmlDataType="string"/>
    </xmlCellPr>
  </singleXmlCell>
  <singleXmlCell id="735" r="I132" connectionId="0">
    <xmlCellPr id="1" uniqueName="1">
      <xmlPr mapId="43" xpath="/ns1:Root/ns1:Prog/ns1:Target_P2_8" xmlDataType="double"/>
    </xmlCellPr>
  </singleXmlCell>
  <singleXmlCell id="736" r="J132" connectionId="0">
    <xmlCellPr id="1" uniqueName="1">
      <xmlPr mapId="43" xpath="/ns1:Root/ns1:Prog/ns1:Target_P3_8" xmlDataType="string"/>
    </xmlCellPr>
  </singleXmlCell>
  <singleXmlCell id="737" r="K132" connectionId="0">
    <xmlCellPr id="1" uniqueName="1">
      <xmlPr mapId="43" xpath="/ns1:Root/ns1:Prog/ns1:Target_P4_8" xmlDataType="double"/>
    </xmlCellPr>
  </singleXmlCell>
  <singleXmlCell id="738" r="L132" connectionId="0">
    <xmlCellPr id="1" uniqueName="1">
      <xmlPr mapId="43" xpath="/ns1:Root/ns1:Prog/ns1:Target_P5_8" xmlDataType="string"/>
    </xmlCellPr>
  </singleXmlCell>
  <singleXmlCell id="739" r="M132" connectionId="0">
    <xmlCellPr id="1" uniqueName="1">
      <xmlPr mapId="43" xpath="/ns1:Root/ns1:Prog/ns1:Target_P6_8" xmlDataType="double"/>
    </xmlCellPr>
  </singleXmlCell>
  <singleXmlCell id="740" r="N132" connectionId="0">
    <xmlCellPr id="1" uniqueName="1">
      <xmlPr mapId="43" xpath="/ns1:Root/ns1:Prog/ns1:Target_P7_8" xmlDataType="string"/>
    </xmlCellPr>
  </singleXmlCell>
  <singleXmlCell id="741" r="O132" connectionId="0">
    <xmlCellPr id="1" uniqueName="1">
      <xmlPr mapId="43" xpath="/ns1:Root/ns1:Prog/ns1:Target_P8_8" xmlDataType="double"/>
    </xmlCellPr>
  </singleXmlCell>
  <singleXmlCell id="742" r="P132" connectionId="0">
    <xmlCellPr id="1" uniqueName="1">
      <xmlPr mapId="43" xpath="/ns1:Root/ns1:Prog/ns1:Target_P9_8" xmlDataType="double"/>
    </xmlCellPr>
  </singleXmlCell>
  <singleXmlCell id="743" r="Q132" connectionId="0">
    <xmlCellPr id="1" uniqueName="1">
      <xmlPr mapId="43" xpath="/ns1:Root/ns1:Prog/ns1:Target_P10_8" xmlDataType="double"/>
    </xmlCellPr>
  </singleXmlCell>
  <singleXmlCell id="744" r="R132" connectionId="0">
    <xmlCellPr id="1" uniqueName="1">
      <xmlPr mapId="43" xpath="/ns1:Root/ns1:Prog/ns1:Target_P11_8" xmlDataType="double"/>
    </xmlCellPr>
  </singleXmlCell>
  <singleXmlCell id="745" r="S132" connectionId="0">
    <xmlCellPr id="1" uniqueName="1">
      <xmlPr mapId="43" xpath="/ns1:Root/ns1:Prog/ns1:Target_P12_8" xmlDataType="double"/>
    </xmlCellPr>
  </singleXmlCell>
  <singleXmlCell id="746" r="H133" connectionId="0">
    <xmlCellPr id="1" uniqueName="1">
      <xmlPr mapId="43" xpath="/ns1:Root/ns1:Prog/ns1:Achieved__P1_8" xmlDataType="string"/>
    </xmlCellPr>
  </singleXmlCell>
  <singleXmlCell id="747" r="I133" connectionId="0">
    <xmlCellPr id="1" uniqueName="1">
      <xmlPr mapId="43" xpath="/ns1:Root/ns1:Prog/ns1:Achieved__P2_8" xmlDataType="string"/>
    </xmlCellPr>
  </singleXmlCell>
  <singleXmlCell id="748" r="J133" connectionId="0">
    <xmlCellPr id="1" uniqueName="1">
      <xmlPr mapId="43" xpath="/ns1:Root/ns1:Prog/ns1:Achieved__P3_8" xmlDataType="string"/>
    </xmlCellPr>
  </singleXmlCell>
  <singleXmlCell id="749" r="K133" connectionId="0">
    <xmlCellPr id="1" uniqueName="1">
      <xmlPr mapId="43" xpath="/ns1:Root/ns1:Prog/ns1:Achieved__P4_8" xmlDataType="string"/>
    </xmlCellPr>
  </singleXmlCell>
  <singleXmlCell id="750" r="L133" connectionId="0">
    <xmlCellPr id="1" uniqueName="1">
      <xmlPr mapId="43" xpath="/ns1:Root/ns1:Prog/ns1:Achieved__P5_8" xmlDataType="string"/>
    </xmlCellPr>
  </singleXmlCell>
  <singleXmlCell id="751" r="M133" connectionId="0">
    <xmlCellPr id="1" uniqueName="1">
      <xmlPr mapId="43" xpath="/ns1:Root/ns1:Prog/ns1:Achieved__P6_8" xmlDataType="string"/>
    </xmlCellPr>
  </singleXmlCell>
  <singleXmlCell id="752" r="N133" connectionId="0">
    <xmlCellPr id="1" uniqueName="1">
      <xmlPr mapId="43" xpath="/ns1:Root/ns1:Prog/ns1:Achieved__P7_8" xmlDataType="string"/>
    </xmlCellPr>
  </singleXmlCell>
  <singleXmlCell id="753" r="O133" connectionId="0">
    <xmlCellPr id="1" uniqueName="1">
      <xmlPr mapId="43" xpath="/ns1:Root/ns1:Prog/ns1:Achieved__P8_8" xmlDataType="string"/>
    </xmlCellPr>
  </singleXmlCell>
  <singleXmlCell id="754" r="P133" connectionId="0">
    <xmlCellPr id="1" uniqueName="1">
      <xmlPr mapId="43" xpath="/ns1:Root/ns1:Prog/ns1:Achieved__P9_8" xmlDataType="string"/>
    </xmlCellPr>
  </singleXmlCell>
  <singleXmlCell id="755" r="Q133" connectionId="0">
    <xmlCellPr id="1" uniqueName="1">
      <xmlPr mapId="43" xpath="/ns1:Root/ns1:Prog/ns1:Achieved__P10_8" xmlDataType="string"/>
    </xmlCellPr>
  </singleXmlCell>
  <singleXmlCell id="756" r="R133" connectionId="0">
    <xmlCellPr id="1" uniqueName="1">
      <xmlPr mapId="43" xpath="/ns1:Root/ns1:Prog/ns1:Achieved__P11_8" xmlDataType="string"/>
    </xmlCellPr>
  </singleXmlCell>
  <singleXmlCell id="757" r="S133" connectionId="0">
    <xmlCellPr id="1" uniqueName="1">
      <xmlPr mapId="43" xpath="/ns1:Root/ns1:Prog/ns1:Achieved__P12_8" xmlDataType="string"/>
    </xmlCellPr>
  </singleXmlCell>
  <singleXmlCell id="758" r="H134" connectionId="0">
    <xmlCellPr id="1" uniqueName="1">
      <xmlPr mapId="43" xpath="/ns1:Root/ns1:Prog/ns1:Target_P1_9" xmlDataType="double"/>
    </xmlCellPr>
  </singleXmlCell>
  <singleXmlCell id="759" r="I134" connectionId="0">
    <xmlCellPr id="1" uniqueName="1">
      <xmlPr mapId="43" xpath="/ns1:Root/ns1:Prog/ns1:Target_P2_9" xmlDataType="double"/>
    </xmlCellPr>
  </singleXmlCell>
  <singleXmlCell id="760" r="J134" connectionId="0">
    <xmlCellPr id="1" uniqueName="1">
      <xmlPr mapId="43" xpath="/ns1:Root/ns1:Prog/ns1:Target_P3_9" xmlDataType="double"/>
    </xmlCellPr>
  </singleXmlCell>
  <singleXmlCell id="761" r="K134" connectionId="0">
    <xmlCellPr id="1" uniqueName="1">
      <xmlPr mapId="43" xpath="/ns1:Root/ns1:Prog/ns1:Target_P4_9" xmlDataType="double"/>
    </xmlCellPr>
  </singleXmlCell>
  <singleXmlCell id="762" r="L134" connectionId="0">
    <xmlCellPr id="1" uniqueName="1">
      <xmlPr mapId="43" xpath="/ns1:Root/ns1:Prog/ns1:Target_P5_9" xmlDataType="double"/>
    </xmlCellPr>
  </singleXmlCell>
  <singleXmlCell id="763" r="M134" connectionId="0">
    <xmlCellPr id="1" uniqueName="1">
      <xmlPr mapId="43" xpath="/ns1:Root/ns1:Prog/ns1:Target_P6_9" xmlDataType="double"/>
    </xmlCellPr>
  </singleXmlCell>
  <singleXmlCell id="764" r="N134" connectionId="0">
    <xmlCellPr id="1" uniqueName="1">
      <xmlPr mapId="43" xpath="/ns1:Root/ns1:Prog/ns1:Target_P7_9" xmlDataType="double"/>
    </xmlCellPr>
  </singleXmlCell>
  <singleXmlCell id="765" r="O134" connectionId="0">
    <xmlCellPr id="1" uniqueName="1">
      <xmlPr mapId="43" xpath="/ns1:Root/ns1:Prog/ns1:Target_P8_9" xmlDataType="double"/>
    </xmlCellPr>
  </singleXmlCell>
  <singleXmlCell id="766" r="P134" connectionId="0">
    <xmlCellPr id="1" uniqueName="1">
      <xmlPr mapId="43" xpath="/ns1:Root/ns1:Prog/ns1:Target_P9_9" xmlDataType="double"/>
    </xmlCellPr>
  </singleXmlCell>
  <singleXmlCell id="767" r="Q134" connectionId="0">
    <xmlCellPr id="1" uniqueName="1">
      <xmlPr mapId="43" xpath="/ns1:Root/ns1:Prog/ns1:Target_P10_9" xmlDataType="double"/>
    </xmlCellPr>
  </singleXmlCell>
  <singleXmlCell id="768" r="R134" connectionId="0">
    <xmlCellPr id="1" uniqueName="1">
      <xmlPr mapId="43" xpath="/ns1:Root/ns1:Prog/ns1:Target_P11_9" xmlDataType="double"/>
    </xmlCellPr>
  </singleXmlCell>
  <singleXmlCell id="769" r="S134" connectionId="0">
    <xmlCellPr id="1" uniqueName="1">
      <xmlPr mapId="43" xpath="/ns1:Root/ns1:Prog/ns1:Target_P12_9" xmlDataType="double"/>
    </xmlCellPr>
  </singleXmlCell>
  <singleXmlCell id="770" r="H135" connectionId="0">
    <xmlCellPr id="1" uniqueName="1">
      <xmlPr mapId="43" xpath="/ns1:Root/ns1:Prog/ns1:Achieved__P1_9" xmlDataType="string"/>
    </xmlCellPr>
  </singleXmlCell>
  <singleXmlCell id="771" r="I135" connectionId="0">
    <xmlCellPr id="1" uniqueName="1">
      <xmlPr mapId="43" xpath="/ns1:Root/ns1:Prog/ns1:Achieved__P2_9" xmlDataType="double"/>
    </xmlCellPr>
  </singleXmlCell>
  <singleXmlCell id="772" r="J135" connectionId="0">
    <xmlCellPr id="1" uniqueName="1">
      <xmlPr mapId="43" xpath="/ns1:Root/ns1:Prog/ns1:Achieved__P3_9" xmlDataType="string"/>
    </xmlCellPr>
  </singleXmlCell>
  <singleXmlCell id="773" r="K135" connectionId="0">
    <xmlCellPr id="1" uniqueName="1">
      <xmlPr mapId="43" xpath="/ns1:Root/ns1:Prog/ns1:Achieved__P4_9" xmlDataType="double"/>
    </xmlCellPr>
  </singleXmlCell>
  <singleXmlCell id="774" r="L135" connectionId="0">
    <xmlCellPr id="1" uniqueName="1">
      <xmlPr mapId="43" xpath="/ns1:Root/ns1:Prog/ns1:Achieved__P5_9" xmlDataType="string"/>
    </xmlCellPr>
  </singleXmlCell>
  <singleXmlCell id="775" r="M135" connectionId="0">
    <xmlCellPr id="1" uniqueName="1">
      <xmlPr mapId="43" xpath="/ns1:Root/ns1:Prog/ns1:Achieved__P6_9" xmlDataType="string"/>
    </xmlCellPr>
  </singleXmlCell>
  <singleXmlCell id="776" r="N135" connectionId="0">
    <xmlCellPr id="1" uniqueName="1">
      <xmlPr mapId="43" xpath="/ns1:Root/ns1:Prog/ns1:Achieved__P7_9" xmlDataType="string"/>
    </xmlCellPr>
  </singleXmlCell>
  <singleXmlCell id="777" r="O135" connectionId="0">
    <xmlCellPr id="1" uniqueName="1">
      <xmlPr mapId="43" xpath="/ns1:Root/ns1:Prog/ns1:Achieved__P8_9" xmlDataType="string"/>
    </xmlCellPr>
  </singleXmlCell>
  <singleXmlCell id="778" r="P135" connectionId="0">
    <xmlCellPr id="1" uniqueName="1">
      <xmlPr mapId="43" xpath="/ns1:Root/ns1:Prog/ns1:Achieved__P9_9" xmlDataType="string"/>
    </xmlCellPr>
  </singleXmlCell>
  <singleXmlCell id="779" r="Q135" connectionId="0">
    <xmlCellPr id="1" uniqueName="1">
      <xmlPr mapId="43" xpath="/ns1:Root/ns1:Prog/ns1:Achieved__P10_9" xmlDataType="string"/>
    </xmlCellPr>
  </singleXmlCell>
  <singleXmlCell id="780" r="R135" connectionId="0">
    <xmlCellPr id="1" uniqueName="1">
      <xmlPr mapId="43" xpath="/ns1:Root/ns1:Prog/ns1:Achieved__P11_9" xmlDataType="string"/>
    </xmlCellPr>
  </singleXmlCell>
  <singleXmlCell id="781" r="S135" connectionId="0">
    <xmlCellPr id="1" uniqueName="1">
      <xmlPr mapId="43" xpath="/ns1:Root/ns1:Prog/ns1:Achieved__P12_9" xmlDataType="string"/>
    </xmlCellPr>
  </singleXmlCell>
  <singleXmlCell id="782" r="H136" connectionId="0">
    <xmlCellPr id="1" uniqueName="1">
      <xmlPr mapId="43" xpath="/ns1:Root/ns1:Prog/ns1:Target_P1" xmlDataType="string"/>
    </xmlCellPr>
  </singleXmlCell>
  <singleXmlCell id="783" r="I136" connectionId="0">
    <xmlCellPr id="1" uniqueName="1">
      <xmlPr mapId="43" xpath="/ns1:Root/ns1:Prog/ns1:Target_P2" xmlDataType="string"/>
    </xmlCellPr>
  </singleXmlCell>
  <singleXmlCell id="784" r="J136" connectionId="0">
    <xmlCellPr id="1" uniqueName="1">
      <xmlPr mapId="43" xpath="/ns1:Root/ns1:Prog/ns1:Target_P3" xmlDataType="string"/>
    </xmlCellPr>
  </singleXmlCell>
  <singleXmlCell id="785" r="K136" connectionId="0">
    <xmlCellPr id="1" uniqueName="1">
      <xmlPr mapId="43" xpath="/ns1:Root/ns1:Prog/ns1:Target_P4" xmlDataType="double"/>
    </xmlCellPr>
  </singleXmlCell>
  <singleXmlCell id="786" r="L136" connectionId="0">
    <xmlCellPr id="1" uniqueName="1">
      <xmlPr mapId="43" xpath="/ns1:Root/ns1:Prog/ns1:Target_P5" xmlDataType="string"/>
    </xmlCellPr>
  </singleXmlCell>
  <singleXmlCell id="787" r="M136" connectionId="0">
    <xmlCellPr id="1" uniqueName="1">
      <xmlPr mapId="43" xpath="/ns1:Root/ns1:Prog/ns1:Target_P6" xmlDataType="string"/>
    </xmlCellPr>
  </singleXmlCell>
  <singleXmlCell id="788" r="N136" connectionId="0">
    <xmlCellPr id="1" uniqueName="1">
      <xmlPr mapId="43" xpath="/ns1:Root/ns1:Prog/ns1:Target_P7" xmlDataType="string"/>
    </xmlCellPr>
  </singleXmlCell>
  <singleXmlCell id="789" r="O136" connectionId="0">
    <xmlCellPr id="1" uniqueName="1">
      <xmlPr mapId="43" xpath="/ns1:Root/ns1:Prog/ns1:Target_P8" xmlDataType="string"/>
    </xmlCellPr>
  </singleXmlCell>
  <singleXmlCell id="790" r="P136" connectionId="0">
    <xmlCellPr id="1" uniqueName="1">
      <xmlPr mapId="43" xpath="/ns1:Root/ns1:Prog/ns1:Target_P9" xmlDataType="string"/>
    </xmlCellPr>
  </singleXmlCell>
  <singleXmlCell id="791" r="Q136" connectionId="0">
    <xmlCellPr id="1" uniqueName="1">
      <xmlPr mapId="43" xpath="/ns1:Root/ns1:Prog/ns1:Target_P10" xmlDataType="string"/>
    </xmlCellPr>
  </singleXmlCell>
  <singleXmlCell id="792" r="R136" connectionId="0">
    <xmlCellPr id="1" uniqueName="1">
      <xmlPr mapId="43" xpath="/ns1:Root/ns1:Prog/ns1:Target_P11" xmlDataType="string"/>
    </xmlCellPr>
  </singleXmlCell>
  <singleXmlCell id="793" r="S136" connectionId="0">
    <xmlCellPr id="1" uniqueName="1">
      <xmlPr mapId="43" xpath="/ns1:Root/ns1:Prog/ns1:Target_P12" xmlDataType="string"/>
    </xmlCellPr>
  </singleXmlCell>
  <singleXmlCell id="794" r="H137" connectionId="0">
    <xmlCellPr id="1" uniqueName="1">
      <xmlPr mapId="43" xpath="/ns1:Root/ns1:Prog/ns1:Achieved__P1" xmlDataType="string"/>
    </xmlCellPr>
  </singleXmlCell>
  <singleXmlCell id="795" r="I137" connectionId="0">
    <xmlCellPr id="1" uniqueName="1">
      <xmlPr mapId="43" xpath="/ns1:Root/ns1:Prog/ns1:Achieved__P2" xmlDataType="string"/>
    </xmlCellPr>
  </singleXmlCell>
  <singleXmlCell id="796" r="J137" connectionId="0">
    <xmlCellPr id="1" uniqueName="1">
      <xmlPr mapId="43" xpath="/ns1:Root/ns1:Prog/ns1:Achieved__P3" xmlDataType="string"/>
    </xmlCellPr>
  </singleXmlCell>
  <singleXmlCell id="797" r="K137" connectionId="0">
    <xmlCellPr id="1" uniqueName="1">
      <xmlPr mapId="43" xpath="/ns1:Root/ns1:Prog/ns1:Achieved__P4" xmlDataType="string"/>
    </xmlCellPr>
  </singleXmlCell>
  <singleXmlCell id="798" r="L137" connectionId="0">
    <xmlCellPr id="1" uniqueName="1">
      <xmlPr mapId="43" xpath="/ns1:Root/ns1:Prog/ns1:Achieved__P5" xmlDataType="string"/>
    </xmlCellPr>
  </singleXmlCell>
  <singleXmlCell id="799" r="M137" connectionId="0">
    <xmlCellPr id="1" uniqueName="1">
      <xmlPr mapId="43" xpath="/ns1:Root/ns1:Prog/ns1:Achieved__P6" xmlDataType="string"/>
    </xmlCellPr>
  </singleXmlCell>
  <singleXmlCell id="800" r="N137" connectionId="0">
    <xmlCellPr id="1" uniqueName="1">
      <xmlPr mapId="43" xpath="/ns1:Root/ns1:Prog/ns1:Achieved__P7" xmlDataType="string"/>
    </xmlCellPr>
  </singleXmlCell>
  <singleXmlCell id="801" r="O137" connectionId="0">
    <xmlCellPr id="1" uniqueName="1">
      <xmlPr mapId="43" xpath="/ns1:Root/ns1:Prog/ns1:Achieved__P8" xmlDataType="string"/>
    </xmlCellPr>
  </singleXmlCell>
  <singleXmlCell id="802" r="P137" connectionId="0">
    <xmlCellPr id="1" uniqueName="1">
      <xmlPr mapId="43" xpath="/ns1:Root/ns1:Prog/ns1:Achieved__P9" xmlDataType="string"/>
    </xmlCellPr>
  </singleXmlCell>
  <singleXmlCell id="803" r="Q137" connectionId="0">
    <xmlCellPr id="1" uniqueName="1">
      <xmlPr mapId="43" xpath="/ns1:Root/ns1:Prog/ns1:Achieved__P10" xmlDataType="string"/>
    </xmlCellPr>
  </singleXmlCell>
  <singleXmlCell id="804" r="R137" connectionId="0">
    <xmlCellPr id="1" uniqueName="1">
      <xmlPr mapId="43" xpath="/ns1:Root/ns1:Prog/ns1:Achieved__P11" xmlDataType="string"/>
    </xmlCellPr>
  </singleXmlCell>
  <singleXmlCell id="805" r="S137" connectionId="0">
    <xmlCellPr id="1" uniqueName="1">
      <xmlPr mapId="43" xpath="/ns1:Root/ns1:Prog/ns1:Achieved__P12" xmlDataType="string"/>
    </xmlCellPr>
  </singleXmlCell>
  <singleXmlCell id="806" r="K120" connectionId="0">
    <xmlCellPr id="1" uniqueName="1">
      <xmlPr mapId="43" xpath="/ns1:Root/ns1:Prog/ns1:Target_P4_2" xmlDataType="double"/>
    </xmlCellPr>
  </singleXmlCell>
  <singleXmlCell id="807" r="B118" connectionId="0">
    <xmlCellPr id="1" uniqueName="1">
      <xmlPr mapId="43" xpath="/ns1:Root/ns1:P1" xmlDataType="string"/>
    </xmlCellPr>
  </singleXmlCell>
  <singleXmlCell id="808" r="E118" connectionId="0">
    <xmlCellPr id="1" uniqueName="1">
      <xmlPr mapId="43" xpath="/ns1:Root/ns1:P1_Code" xmlDataType="double"/>
    </xmlCellPr>
  </singleXmlCell>
  <singleXmlCell id="809" r="F118" connectionId="0">
    <xmlCellPr id="1" uniqueName="1">
      <xmlPr mapId="43" xpath="/ns1:Root/ns1:P1_Tied" xmlDataType="string"/>
    </xmlCellPr>
  </singleXmlCell>
  <singleXmlCell id="810" r="B120" connectionId="0">
    <xmlCellPr id="1" uniqueName="1">
      <xmlPr mapId="43" xpath="/ns1:Root/ns1:P2" xmlDataType="string"/>
    </xmlCellPr>
  </singleXmlCell>
  <singleXmlCell id="811" r="E120" connectionId="0">
    <xmlCellPr id="1" uniqueName="1">
      <xmlPr mapId="43" xpath="/ns1:Root/ns1:P2_Code" xmlDataType="double"/>
    </xmlCellPr>
  </singleXmlCell>
  <singleXmlCell id="812" r="F120" connectionId="0">
    <xmlCellPr id="1" uniqueName="1">
      <xmlPr mapId="43" xpath="/ns1:Root/ns1:P2_Tied" xmlDataType="string"/>
    </xmlCellPr>
  </singleXmlCell>
  <singleXmlCell id="813" r="B122" connectionId="0">
    <xmlCellPr id="1" uniqueName="1">
      <xmlPr mapId="43" xpath="/ns1:Root/ns1:P3" xmlDataType="string"/>
    </xmlCellPr>
  </singleXmlCell>
  <singleXmlCell id="814" r="E122" connectionId="0">
    <xmlCellPr id="1" uniqueName="1">
      <xmlPr mapId="43" xpath="/ns1:Root/ns1:P3_Code" xmlDataType="double"/>
    </xmlCellPr>
  </singleXmlCell>
  <singleXmlCell id="815" r="F122" connectionId="0">
    <xmlCellPr id="1" uniqueName="1">
      <xmlPr mapId="43" xpath="/ns1:Root/ns1:P3_Tied" xmlDataType="string"/>
    </xmlCellPr>
  </singleXmlCell>
  <singleXmlCell id="816" r="B124" connectionId="0">
    <xmlCellPr id="1" uniqueName="1">
      <xmlPr mapId="43" xpath="/ns1:Root/ns1:P4" xmlDataType="string"/>
    </xmlCellPr>
  </singleXmlCell>
  <singleXmlCell id="817" r="E124" connectionId="0">
    <xmlCellPr id="1" uniqueName="1">
      <xmlPr mapId="43" xpath="/ns1:Root/ns1:P4_Code" xmlDataType="double"/>
    </xmlCellPr>
  </singleXmlCell>
  <singleXmlCell id="818" r="F124" connectionId="0">
    <xmlCellPr id="1" uniqueName="1">
      <xmlPr mapId="43" xpath="/ns1:Root/ns1:P4_Tied" xmlDataType="string"/>
    </xmlCellPr>
  </singleXmlCell>
  <singleXmlCell id="819" r="B126" connectionId="0">
    <xmlCellPr id="1" uniqueName="1">
      <xmlPr mapId="43" xpath="/ns1:Root/ns1:P5" xmlDataType="string"/>
    </xmlCellPr>
  </singleXmlCell>
  <singleXmlCell id="820" r="E126" connectionId="0">
    <xmlCellPr id="1" uniqueName="1">
      <xmlPr mapId="43" xpath="/ns1:Root/ns1:P5_Code" xmlDataType="double"/>
    </xmlCellPr>
  </singleXmlCell>
  <singleXmlCell id="821" r="F126" connectionId="0">
    <xmlCellPr id="1" uniqueName="1">
      <xmlPr mapId="43" xpath="/ns1:Root/ns1:P5_Tied" xmlDataType="string"/>
    </xmlCellPr>
  </singleXmlCell>
  <singleXmlCell id="822" r="B128" connectionId="0">
    <xmlCellPr id="1" uniqueName="1">
      <xmlPr mapId="43" xpath="/ns1:Root/ns1:P6" xmlDataType="string"/>
    </xmlCellPr>
  </singleXmlCell>
  <singleXmlCell id="823" r="E128" connectionId="0">
    <xmlCellPr id="1" uniqueName="1">
      <xmlPr mapId="43" xpath="/ns1:Root/ns1:P6_Code" xmlDataType="double"/>
    </xmlCellPr>
  </singleXmlCell>
  <singleXmlCell id="824" r="F128" connectionId="0">
    <xmlCellPr id="1" uniqueName="1">
      <xmlPr mapId="43" xpath="/ns1:Root/ns1:P6_Tied" xmlDataType="string"/>
    </xmlCellPr>
  </singleXmlCell>
  <singleXmlCell id="825" r="B130" connectionId="0">
    <xmlCellPr id="1" uniqueName="1">
      <xmlPr mapId="43" xpath="/ns1:Root/ns1:P7" xmlDataType="string"/>
    </xmlCellPr>
  </singleXmlCell>
  <singleXmlCell id="826" r="E130" connectionId="0">
    <xmlCellPr id="1" uniqueName="1">
      <xmlPr mapId="43" xpath="/ns1:Root/ns1:P7_Code" xmlDataType="double"/>
    </xmlCellPr>
  </singleXmlCell>
  <singleXmlCell id="827" r="F130" connectionId="0">
    <xmlCellPr id="1" uniqueName="1">
      <xmlPr mapId="43" xpath="/ns1:Root/ns1:P7_Tied" xmlDataType="string"/>
    </xmlCellPr>
  </singleXmlCell>
  <singleXmlCell id="828" r="B132" connectionId="0">
    <xmlCellPr id="1" uniqueName="1">
      <xmlPr mapId="43" xpath="/ns1:Root/ns1:P8" xmlDataType="string"/>
    </xmlCellPr>
  </singleXmlCell>
  <singleXmlCell id="829" r="E132" connectionId="0">
    <xmlCellPr id="1" uniqueName="1">
      <xmlPr mapId="43" xpath="/ns1:Root/ns1:P8_Code" xmlDataType="double"/>
    </xmlCellPr>
  </singleXmlCell>
  <singleXmlCell id="830" r="F132" connectionId="0">
    <xmlCellPr id="1" uniqueName="1">
      <xmlPr mapId="43" xpath="/ns1:Root/ns1:P8_Tied" xmlDataType="string"/>
    </xmlCellPr>
  </singleXmlCell>
  <singleXmlCell id="831" r="B134" connectionId="0">
    <xmlCellPr id="1" uniqueName="1">
      <xmlPr mapId="43" xpath="/ns1:Root/ns1:P9" xmlDataType="string"/>
    </xmlCellPr>
  </singleXmlCell>
  <singleXmlCell id="832" r="E134" connectionId="0">
    <xmlCellPr id="1" uniqueName="1">
      <xmlPr mapId="43" xpath="/ns1:Root/ns1:P9_Code" xmlDataType="double"/>
    </xmlCellPr>
  </singleXmlCell>
  <singleXmlCell id="833" r="F134" connectionId="0">
    <xmlCellPr id="1" uniqueName="1">
      <xmlPr mapId="43" xpath="/ns1:Root/ns1:P9_Tied" xmlDataType="double"/>
    </xmlCellPr>
  </singleXmlCell>
  <singleXmlCell id="834" r="B136" connectionId="0">
    <xmlCellPr id="1" uniqueName="1">
      <xmlPr mapId="43" xpath="/ns1:Root/ns1:P10" xmlDataType="string"/>
    </xmlCellPr>
  </singleXmlCell>
  <singleXmlCell id="835" r="E136" connectionId="0">
    <xmlCellPr id="1" uniqueName="1">
      <xmlPr mapId="43" xpath="/ns1:Root/ns1:P10_Code" xmlDataType="double"/>
    </xmlCellPr>
  </singleXmlCell>
  <singleXmlCell id="836" r="F136" connectionId="0">
    <xmlCellPr id="1" uniqueName="1">
      <xmlPr mapId="43" xpath="/ns1:Root/ns1:P10_Tied" xmlDataType="string"/>
    </xmlCellPr>
  </singleXmlCell>
  <singleXmlCell id="837" r="D26" connectionId="0">
    <xmlCellPr id="1" uniqueName="1">
      <xmlPr mapId="43" xpath="/ns1:Root/ns1:Currency" xmlDataType="string"/>
    </xmlCellPr>
  </singleXmlCell>
  <singleXmlCell id="568" r="I118" connectionId="0">
    <xmlCellPr id="1" uniqueName="1">
      <xmlPr mapId="43" xpath="/ns1:Root/ns1:Prog/ns1:Target_P2_1" xmlDataType="double"/>
    </xmlCellPr>
  </singleXmlCell>
  <singleXmlCell id="569" r="J118" connectionId="0">
    <xmlCellPr id="1" uniqueName="1">
      <xmlPr mapId="43" xpath="/ns1:Root/ns1:Prog/ns1:Target_P3_1" xmlDataType="double"/>
    </xmlCellPr>
  </singleXmlCell>
  <singleXmlCell id="570" r="K118" connectionId="0">
    <xmlCellPr id="1" uniqueName="1">
      <xmlPr mapId="43" xpath="/ns1:Root/ns1:Prog/ns1:Target_P4_1" xmlDataType="double"/>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workbookViewId="0">
      <selection activeCell="B22" sqref="B22:L22"/>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489" t="str">
        <f>+'Grant Detail'!B3:J3</f>
        <v>Dashboard:  Georgia - TB</v>
      </c>
      <c r="C2" s="489"/>
      <c r="D2" s="489"/>
      <c r="E2" s="489"/>
      <c r="F2" s="489"/>
      <c r="G2" s="489"/>
      <c r="H2" s="489"/>
      <c r="I2" s="489"/>
      <c r="J2" s="489"/>
      <c r="K2" s="489"/>
      <c r="L2" s="489"/>
      <c r="M2" s="1"/>
      <c r="N2" s="1"/>
      <c r="O2" s="1"/>
    </row>
    <row r="4" spans="2:15" ht="21">
      <c r="B4" s="490" t="str">
        <f>+IF('Data Entry'!G6="Please Select", "",'Data Entry'!G6) &amp;"  "&amp;+IF('Data Entry'!G8="Please Select", "", 'Data Entry'!G8&amp;",  ")&amp;+IF('Data Entry'!I8="Please Select","",'Data Entry'!I8)</f>
        <v>TB  NFM,  Phase 1</v>
      </c>
      <c r="C4" s="490"/>
      <c r="D4" s="490"/>
      <c r="E4" s="491"/>
      <c r="F4" s="233"/>
      <c r="G4" s="233"/>
      <c r="H4" s="356" t="str">
        <f>+'Data Entry'!B6&amp;" "&amp;+'Data Entry'!C6</f>
        <v>Grant No.: GEO-T-NCDC</v>
      </c>
      <c r="I4" s="356"/>
      <c r="J4" s="232"/>
      <c r="K4" s="233"/>
      <c r="L4" s="233"/>
    </row>
    <row r="22" spans="2:12" ht="26.25">
      <c r="B22" s="492" t="s">
        <v>408</v>
      </c>
      <c r="C22" s="493"/>
      <c r="D22" s="493"/>
      <c r="E22" s="493"/>
      <c r="F22" s="493"/>
      <c r="G22" s="493"/>
      <c r="H22" s="493"/>
      <c r="I22" s="493"/>
      <c r="J22" s="493"/>
      <c r="K22" s="493"/>
      <c r="L22" s="493"/>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&amp;L&amp;F&amp;C&amp;A&amp;R&amp;D</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zoomScalePageLayoutView="80" workbookViewId="0">
      <selection activeCell="G24" sqref="G24"/>
    </sheetView>
  </sheetViews>
  <sheetFormatPr defaultColWidth="11" defaultRowHeight="15"/>
  <cols>
    <col min="1" max="1" width="11.42578125" customWidth="1"/>
    <col min="2" max="2" width="16.140625" customWidth="1"/>
    <col min="3" max="3" width="14.7109375" customWidth="1"/>
    <col min="4" max="4" width="15.42578125" customWidth="1"/>
    <col min="5" max="6" width="11.42578125" customWidth="1"/>
    <col min="7" max="7" width="14.42578125" customWidth="1"/>
    <col min="8" max="8" width="35.42578125" customWidth="1"/>
    <col min="9" max="9" width="45.7109375" customWidth="1"/>
    <col min="10" max="10" width="33.42578125" customWidth="1"/>
    <col min="11" max="12" width="11.42578125" customWidth="1"/>
    <col min="13" max="13" width="28.42578125" customWidth="1"/>
    <col min="14" max="14" width="46.42578125" customWidth="1"/>
  </cols>
  <sheetData>
    <row r="2" spans="2:15" ht="25.5" customHeight="1"/>
    <row r="3" spans="2:15" ht="36">
      <c r="B3" s="901" t="str">
        <f>'Grant Detail'!B3:J3</f>
        <v>Dashboard:  Georgia - TB</v>
      </c>
      <c r="C3" s="901"/>
      <c r="D3" s="901"/>
      <c r="E3" s="901"/>
      <c r="F3" s="901"/>
      <c r="G3" s="901"/>
      <c r="H3" s="901"/>
      <c r="I3" s="1"/>
    </row>
    <row r="6" spans="2:15" ht="18.75">
      <c r="B6" s="853" t="s">
        <v>320</v>
      </c>
      <c r="C6" s="853"/>
      <c r="D6" s="853"/>
      <c r="E6" s="853"/>
      <c r="F6" s="853"/>
      <c r="G6" s="853"/>
      <c r="H6" s="853"/>
    </row>
    <row r="8" spans="2:15" ht="18.75">
      <c r="B8" s="62" t="s">
        <v>33</v>
      </c>
      <c r="C8" s="62" t="s">
        <v>36</v>
      </c>
      <c r="D8" s="62" t="s">
        <v>37</v>
      </c>
      <c r="E8" s="62" t="s">
        <v>42</v>
      </c>
      <c r="F8" s="62" t="s">
        <v>287</v>
      </c>
      <c r="G8" s="62" t="s">
        <v>266</v>
      </c>
      <c r="H8" s="62" t="s">
        <v>294</v>
      </c>
      <c r="I8" s="63" t="s">
        <v>88</v>
      </c>
      <c r="J8" s="63" t="s">
        <v>130</v>
      </c>
      <c r="M8" s="19"/>
      <c r="N8" s="19"/>
      <c r="O8" s="19"/>
    </row>
    <row r="9" spans="2:15">
      <c r="B9" s="86" t="s">
        <v>374</v>
      </c>
      <c r="C9" s="86" t="s">
        <v>374</v>
      </c>
      <c r="D9" s="86" t="s">
        <v>374</v>
      </c>
      <c r="E9" s="86" t="s">
        <v>374</v>
      </c>
      <c r="F9" s="86" t="s">
        <v>374</v>
      </c>
      <c r="G9" s="86" t="s">
        <v>374</v>
      </c>
      <c r="H9" s="86" t="s">
        <v>374</v>
      </c>
      <c r="I9" s="421" t="s">
        <v>374</v>
      </c>
      <c r="J9" s="86" t="s">
        <v>374</v>
      </c>
      <c r="M9" s="19"/>
      <c r="N9" s="19"/>
      <c r="O9" s="19"/>
    </row>
    <row r="10" spans="2:15">
      <c r="B10" s="57" t="s">
        <v>28</v>
      </c>
      <c r="C10" s="57" t="s">
        <v>19</v>
      </c>
      <c r="D10" s="57" t="s">
        <v>17</v>
      </c>
      <c r="E10" s="57" t="s">
        <v>18</v>
      </c>
      <c r="F10" s="57" t="s">
        <v>106</v>
      </c>
      <c r="G10" s="429" t="s">
        <v>44</v>
      </c>
      <c r="H10" s="60" t="s">
        <v>49</v>
      </c>
      <c r="I10" s="27" t="s">
        <v>300</v>
      </c>
      <c r="J10" s="86" t="s">
        <v>131</v>
      </c>
      <c r="M10" s="19"/>
      <c r="N10" s="19"/>
      <c r="O10" s="19"/>
    </row>
    <row r="11" spans="2:15">
      <c r="B11" s="57" t="s">
        <v>34</v>
      </c>
      <c r="C11" s="57" t="s">
        <v>14</v>
      </c>
      <c r="D11" s="57" t="s">
        <v>20</v>
      </c>
      <c r="E11" s="57" t="s">
        <v>16</v>
      </c>
      <c r="F11" s="57" t="s">
        <v>107</v>
      </c>
      <c r="G11" s="429" t="s">
        <v>45</v>
      </c>
      <c r="H11" s="60" t="s">
        <v>50</v>
      </c>
      <c r="I11" s="27" t="s">
        <v>301</v>
      </c>
      <c r="J11" s="86" t="s">
        <v>132</v>
      </c>
      <c r="M11" s="19"/>
      <c r="N11" s="19"/>
      <c r="O11" s="19"/>
    </row>
    <row r="12" spans="2:15">
      <c r="B12" s="57" t="s">
        <v>35</v>
      </c>
      <c r="D12" s="57" t="s">
        <v>23</v>
      </c>
      <c r="E12" s="57" t="s">
        <v>24</v>
      </c>
      <c r="F12" s="57" t="s">
        <v>108</v>
      </c>
      <c r="G12" s="429" t="s">
        <v>46</v>
      </c>
      <c r="H12" s="60" t="s">
        <v>51</v>
      </c>
      <c r="I12" s="27" t="s">
        <v>302</v>
      </c>
      <c r="J12" s="86" t="s">
        <v>133</v>
      </c>
      <c r="M12" s="199"/>
      <c r="N12" s="19"/>
      <c r="O12" s="19"/>
    </row>
    <row r="13" spans="2:15">
      <c r="B13" s="57" t="s">
        <v>84</v>
      </c>
      <c r="D13" s="57" t="s">
        <v>25</v>
      </c>
      <c r="E13" s="58"/>
      <c r="F13" s="57" t="s">
        <v>109</v>
      </c>
      <c r="G13" s="429" t="s">
        <v>47</v>
      </c>
      <c r="H13" s="60" t="s">
        <v>52</v>
      </c>
      <c r="I13" s="27" t="s">
        <v>303</v>
      </c>
      <c r="J13" s="86" t="s">
        <v>134</v>
      </c>
      <c r="M13" s="199"/>
      <c r="N13" s="19"/>
      <c r="O13" s="19"/>
    </row>
    <row r="14" spans="2:15">
      <c r="B14" s="57" t="s">
        <v>85</v>
      </c>
      <c r="D14" s="57" t="s">
        <v>38</v>
      </c>
      <c r="F14" s="57" t="s">
        <v>121</v>
      </c>
      <c r="G14" s="429" t="s">
        <v>48</v>
      </c>
      <c r="H14" s="60" t="s">
        <v>53</v>
      </c>
      <c r="I14" s="27" t="s">
        <v>272</v>
      </c>
      <c r="J14" s="86" t="s">
        <v>135</v>
      </c>
      <c r="M14" s="199"/>
      <c r="N14" s="19"/>
      <c r="O14" s="19"/>
    </row>
    <row r="15" spans="2:15">
      <c r="D15" s="57" t="s">
        <v>39</v>
      </c>
      <c r="F15" s="57" t="s">
        <v>122</v>
      </c>
      <c r="H15" s="60" t="s">
        <v>54</v>
      </c>
      <c r="I15" s="27" t="s">
        <v>71</v>
      </c>
      <c r="J15" s="86" t="s">
        <v>136</v>
      </c>
      <c r="M15" s="199"/>
      <c r="N15" s="19"/>
      <c r="O15" s="19"/>
    </row>
    <row r="16" spans="2:15">
      <c r="D16" s="57" t="s">
        <v>40</v>
      </c>
      <c r="F16" s="57" t="s">
        <v>123</v>
      </c>
      <c r="H16" s="60" t="s">
        <v>55</v>
      </c>
      <c r="I16" s="27" t="s">
        <v>72</v>
      </c>
      <c r="J16" s="86" t="s">
        <v>137</v>
      </c>
      <c r="M16" s="199"/>
      <c r="N16" s="19"/>
      <c r="O16" s="19"/>
    </row>
    <row r="17" spans="4:15">
      <c r="D17" s="57" t="s">
        <v>41</v>
      </c>
      <c r="F17" s="57" t="s">
        <v>124</v>
      </c>
      <c r="H17" s="60" t="s">
        <v>56</v>
      </c>
      <c r="I17" s="27" t="s">
        <v>73</v>
      </c>
      <c r="J17" s="86" t="s">
        <v>138</v>
      </c>
      <c r="M17" s="199"/>
      <c r="N17" s="19"/>
      <c r="O17" s="19"/>
    </row>
    <row r="18" spans="4:15">
      <c r="D18" s="57" t="s">
        <v>15</v>
      </c>
      <c r="F18" s="57" t="s">
        <v>125</v>
      </c>
      <c r="H18" s="60" t="s">
        <v>57</v>
      </c>
      <c r="I18" s="27" t="s">
        <v>74</v>
      </c>
      <c r="J18" s="86" t="s">
        <v>139</v>
      </c>
      <c r="M18" s="199"/>
      <c r="N18" s="19"/>
      <c r="O18" s="19"/>
    </row>
    <row r="19" spans="4:15">
      <c r="D19" s="428" t="s">
        <v>370</v>
      </c>
      <c r="F19" s="57" t="s">
        <v>126</v>
      </c>
      <c r="H19" s="60" t="s">
        <v>58</v>
      </c>
      <c r="I19" s="27" t="s">
        <v>75</v>
      </c>
      <c r="J19" s="86" t="s">
        <v>140</v>
      </c>
      <c r="M19" s="199"/>
      <c r="N19" s="19"/>
      <c r="O19" s="19"/>
    </row>
    <row r="20" spans="4:15">
      <c r="D20" s="59"/>
      <c r="F20" s="57" t="s">
        <v>127</v>
      </c>
      <c r="H20" s="60" t="s">
        <v>263</v>
      </c>
      <c r="I20" s="27" t="s">
        <v>76</v>
      </c>
      <c r="J20" s="86" t="s">
        <v>141</v>
      </c>
      <c r="M20" s="19"/>
      <c r="N20" s="19"/>
      <c r="O20" s="19"/>
    </row>
    <row r="21" spans="4:15">
      <c r="D21" s="61"/>
      <c r="F21" s="57" t="s">
        <v>288</v>
      </c>
      <c r="H21" s="61"/>
      <c r="I21" s="27" t="s">
        <v>78</v>
      </c>
      <c r="J21" s="86" t="s">
        <v>142</v>
      </c>
      <c r="M21" s="19"/>
      <c r="N21" s="19"/>
      <c r="O21" s="19"/>
    </row>
    <row r="22" spans="4:15">
      <c r="H22" s="61"/>
      <c r="I22" s="27" t="s">
        <v>79</v>
      </c>
      <c r="J22" s="86" t="s">
        <v>143</v>
      </c>
      <c r="M22" s="19"/>
      <c r="N22" s="19"/>
      <c r="O22" s="19"/>
    </row>
    <row r="23" spans="4:15">
      <c r="I23" s="27" t="s">
        <v>77</v>
      </c>
      <c r="J23" s="86" t="s">
        <v>144</v>
      </c>
      <c r="M23" s="19"/>
      <c r="N23" s="19"/>
      <c r="O23" s="19"/>
    </row>
    <row r="24" spans="4:15">
      <c r="I24" s="27" t="s">
        <v>311</v>
      </c>
      <c r="J24" s="86" t="s">
        <v>145</v>
      </c>
      <c r="M24" s="19"/>
      <c r="N24" s="19"/>
      <c r="O24" s="19"/>
    </row>
    <row r="25" spans="4:15">
      <c r="I25" s="45"/>
      <c r="J25" s="86" t="s">
        <v>146</v>
      </c>
    </row>
    <row r="26" spans="4:15">
      <c r="I26" s="27" t="s">
        <v>315</v>
      </c>
      <c r="J26" s="86" t="s">
        <v>147</v>
      </c>
    </row>
    <row r="27" spans="4:15">
      <c r="I27" s="27" t="s">
        <v>310</v>
      </c>
      <c r="J27" s="86" t="s">
        <v>148</v>
      </c>
    </row>
    <row r="28" spans="4:15">
      <c r="I28" s="45"/>
      <c r="J28" s="86" t="s">
        <v>149</v>
      </c>
    </row>
    <row r="29" spans="4:15">
      <c r="I29" s="45"/>
      <c r="J29" s="86" t="s">
        <v>150</v>
      </c>
    </row>
    <row r="30" spans="4:15">
      <c r="I30" s="45"/>
      <c r="J30" s="86" t="s">
        <v>151</v>
      </c>
    </row>
    <row r="31" spans="4:15">
      <c r="J31" s="86" t="s">
        <v>152</v>
      </c>
    </row>
    <row r="32" spans="4:15">
      <c r="J32" s="86" t="s">
        <v>153</v>
      </c>
    </row>
    <row r="33" spans="10:10">
      <c r="J33" s="86" t="s">
        <v>154</v>
      </c>
    </row>
    <row r="34" spans="10:10">
      <c r="J34" s="86" t="s">
        <v>155</v>
      </c>
    </row>
    <row r="35" spans="10:10">
      <c r="J35" s="86" t="s">
        <v>156</v>
      </c>
    </row>
    <row r="36" spans="10:10">
      <c r="J36" s="86" t="s">
        <v>156</v>
      </c>
    </row>
    <row r="37" spans="10:10">
      <c r="J37" s="86" t="s">
        <v>157</v>
      </c>
    </row>
    <row r="38" spans="10:10">
      <c r="J38" s="86" t="s">
        <v>158</v>
      </c>
    </row>
    <row r="39" spans="10:10">
      <c r="J39" s="86" t="s">
        <v>159</v>
      </c>
    </row>
    <row r="40" spans="10:10">
      <c r="J40" s="86" t="s">
        <v>160</v>
      </c>
    </row>
    <row r="41" spans="10:10">
      <c r="J41" s="86" t="s">
        <v>161</v>
      </c>
    </row>
    <row r="42" spans="10:10">
      <c r="J42" s="86" t="s">
        <v>162</v>
      </c>
    </row>
    <row r="43" spans="10:10">
      <c r="J43" s="86" t="s">
        <v>163</v>
      </c>
    </row>
    <row r="44" spans="10:10">
      <c r="J44" s="86" t="s">
        <v>164</v>
      </c>
    </row>
    <row r="45" spans="10:10">
      <c r="J45" s="86" t="s">
        <v>165</v>
      </c>
    </row>
    <row r="46" spans="10:10">
      <c r="J46" s="86" t="s">
        <v>166</v>
      </c>
    </row>
    <row r="47" spans="10:10">
      <c r="J47" s="86" t="s">
        <v>167</v>
      </c>
    </row>
    <row r="48" spans="10:10">
      <c r="J48" s="86" t="s">
        <v>168</v>
      </c>
    </row>
    <row r="49" spans="10:10">
      <c r="J49" s="86" t="s">
        <v>169</v>
      </c>
    </row>
    <row r="50" spans="10:10">
      <c r="J50" s="86" t="s">
        <v>170</v>
      </c>
    </row>
    <row r="51" spans="10:10">
      <c r="J51" s="86" t="s">
        <v>171</v>
      </c>
    </row>
    <row r="52" spans="10:10">
      <c r="J52" s="86" t="s">
        <v>172</v>
      </c>
    </row>
    <row r="53" spans="10:10">
      <c r="J53" s="86" t="s">
        <v>173</v>
      </c>
    </row>
    <row r="54" spans="10:10">
      <c r="J54" s="86" t="s">
        <v>174</v>
      </c>
    </row>
    <row r="55" spans="10:10">
      <c r="J55" s="86" t="s">
        <v>175</v>
      </c>
    </row>
    <row r="56" spans="10:10">
      <c r="J56" s="86" t="s">
        <v>176</v>
      </c>
    </row>
    <row r="57" spans="10:10">
      <c r="J57" s="86" t="s">
        <v>177</v>
      </c>
    </row>
    <row r="58" spans="10:10">
      <c r="J58" s="86" t="s">
        <v>178</v>
      </c>
    </row>
    <row r="59" spans="10:10">
      <c r="J59" s="86" t="s">
        <v>179</v>
      </c>
    </row>
    <row r="60" spans="10:10">
      <c r="J60" s="86" t="s">
        <v>180</v>
      </c>
    </row>
    <row r="61" spans="10:10">
      <c r="J61" s="86" t="s">
        <v>181</v>
      </c>
    </row>
    <row r="62" spans="10:10">
      <c r="J62" s="86" t="s">
        <v>182</v>
      </c>
    </row>
    <row r="63" spans="10:10">
      <c r="J63" s="86" t="s">
        <v>183</v>
      </c>
    </row>
    <row r="64" spans="10:10">
      <c r="J64" s="86" t="s">
        <v>184</v>
      </c>
    </row>
    <row r="65" spans="10:10">
      <c r="J65" s="86" t="s">
        <v>185</v>
      </c>
    </row>
    <row r="66" spans="10:10">
      <c r="J66" s="86" t="s">
        <v>186</v>
      </c>
    </row>
    <row r="67" spans="10:10">
      <c r="J67" s="86" t="s">
        <v>187</v>
      </c>
    </row>
    <row r="68" spans="10:10">
      <c r="J68" s="86" t="s">
        <v>188</v>
      </c>
    </row>
    <row r="69" spans="10:10">
      <c r="J69" s="86" t="s">
        <v>189</v>
      </c>
    </row>
    <row r="70" spans="10:10">
      <c r="J70" s="86" t="s">
        <v>190</v>
      </c>
    </row>
    <row r="71" spans="10:10">
      <c r="J71" s="86" t="s">
        <v>191</v>
      </c>
    </row>
    <row r="72" spans="10:10">
      <c r="J72" s="86" t="s">
        <v>192</v>
      </c>
    </row>
    <row r="73" spans="10:10">
      <c r="J73" s="86" t="s">
        <v>193</v>
      </c>
    </row>
    <row r="74" spans="10:10">
      <c r="J74" s="86" t="s">
        <v>194</v>
      </c>
    </row>
    <row r="75" spans="10:10">
      <c r="J75" s="86" t="s">
        <v>195</v>
      </c>
    </row>
    <row r="76" spans="10:10">
      <c r="J76" s="86" t="s">
        <v>196</v>
      </c>
    </row>
    <row r="77" spans="10:10">
      <c r="J77" s="86" t="s">
        <v>197</v>
      </c>
    </row>
    <row r="78" spans="10:10">
      <c r="J78" s="86" t="s">
        <v>198</v>
      </c>
    </row>
    <row r="79" spans="10:10">
      <c r="J79" s="86" t="s">
        <v>199</v>
      </c>
    </row>
    <row r="80" spans="10:10">
      <c r="J80" s="86" t="s">
        <v>200</v>
      </c>
    </row>
    <row r="81" spans="10:10">
      <c r="J81" s="86" t="s">
        <v>201</v>
      </c>
    </row>
    <row r="82" spans="10:10">
      <c r="J82" s="86" t="s">
        <v>202</v>
      </c>
    </row>
    <row r="83" spans="10:10">
      <c r="J83" s="86" t="s">
        <v>203</v>
      </c>
    </row>
    <row r="84" spans="10:10">
      <c r="J84" s="86" t="s">
        <v>204</v>
      </c>
    </row>
    <row r="85" spans="10:10">
      <c r="J85" s="86" t="s">
        <v>205</v>
      </c>
    </row>
    <row r="86" spans="10:10">
      <c r="J86" s="86" t="s">
        <v>206</v>
      </c>
    </row>
    <row r="87" spans="10:10">
      <c r="J87" s="86" t="s">
        <v>207</v>
      </c>
    </row>
    <row r="88" spans="10:10">
      <c r="J88" s="86" t="s">
        <v>208</v>
      </c>
    </row>
    <row r="89" spans="10:10">
      <c r="J89" s="86" t="s">
        <v>209</v>
      </c>
    </row>
    <row r="90" spans="10:10">
      <c r="J90" s="86" t="s">
        <v>210</v>
      </c>
    </row>
    <row r="91" spans="10:10">
      <c r="J91" s="86" t="s">
        <v>211</v>
      </c>
    </row>
    <row r="92" spans="10:10">
      <c r="J92" s="86" t="s">
        <v>212</v>
      </c>
    </row>
    <row r="93" spans="10:10">
      <c r="J93" s="86" t="s">
        <v>213</v>
      </c>
    </row>
    <row r="94" spans="10:10">
      <c r="J94" s="86" t="s">
        <v>214</v>
      </c>
    </row>
    <row r="95" spans="10:10">
      <c r="J95" s="86" t="s">
        <v>215</v>
      </c>
    </row>
    <row r="96" spans="10:10">
      <c r="J96" s="86" t="s">
        <v>216</v>
      </c>
    </row>
    <row r="97" spans="10:10">
      <c r="J97" s="86" t="s">
        <v>217</v>
      </c>
    </row>
    <row r="98" spans="10:10">
      <c r="J98" s="86" t="s">
        <v>218</v>
      </c>
    </row>
    <row r="99" spans="10:10">
      <c r="J99" s="86" t="s">
        <v>219</v>
      </c>
    </row>
    <row r="100" spans="10:10">
      <c r="J100" s="86" t="s">
        <v>220</v>
      </c>
    </row>
    <row r="101" spans="10:10">
      <c r="J101" s="86" t="s">
        <v>221</v>
      </c>
    </row>
    <row r="102" spans="10:10">
      <c r="J102" s="86" t="s">
        <v>222</v>
      </c>
    </row>
    <row r="103" spans="10:10">
      <c r="J103" s="86" t="s">
        <v>223</v>
      </c>
    </row>
    <row r="104" spans="10:10">
      <c r="J104" s="86" t="s">
        <v>224</v>
      </c>
    </row>
    <row r="105" spans="10:10">
      <c r="J105" s="86" t="s">
        <v>225</v>
      </c>
    </row>
    <row r="106" spans="10:10">
      <c r="J106" s="86" t="s">
        <v>226</v>
      </c>
    </row>
    <row r="107" spans="10:10">
      <c r="J107" s="86" t="s">
        <v>227</v>
      </c>
    </row>
    <row r="108" spans="10:10">
      <c r="J108" s="86" t="s">
        <v>228</v>
      </c>
    </row>
    <row r="109" spans="10:10">
      <c r="J109" s="86" t="s">
        <v>229</v>
      </c>
    </row>
    <row r="110" spans="10:10">
      <c r="J110" s="86" t="s">
        <v>230</v>
      </c>
    </row>
    <row r="111" spans="10:10">
      <c r="J111" s="86" t="s">
        <v>81</v>
      </c>
    </row>
    <row r="112" spans="10:10">
      <c r="J112" s="86" t="s">
        <v>231</v>
      </c>
    </row>
    <row r="113" spans="10:10">
      <c r="J113" s="86" t="s">
        <v>232</v>
      </c>
    </row>
    <row r="114" spans="10:10">
      <c r="J114" s="86" t="s">
        <v>233</v>
      </c>
    </row>
    <row r="115" spans="10:10">
      <c r="J115" s="86" t="s">
        <v>234</v>
      </c>
    </row>
    <row r="116" spans="10:10">
      <c r="J116" s="86" t="s">
        <v>235</v>
      </c>
    </row>
    <row r="117" spans="10:10">
      <c r="J117" s="86" t="s">
        <v>236</v>
      </c>
    </row>
    <row r="118" spans="10:10">
      <c r="J118" s="86" t="s">
        <v>237</v>
      </c>
    </row>
    <row r="119" spans="10:10">
      <c r="J119" s="86" t="s">
        <v>238</v>
      </c>
    </row>
    <row r="120" spans="10:10">
      <c r="J120" s="86" t="s">
        <v>239</v>
      </c>
    </row>
    <row r="121" spans="10:10">
      <c r="J121" s="86" t="s">
        <v>240</v>
      </c>
    </row>
    <row r="122" spans="10:10">
      <c r="J122" s="86" t="s">
        <v>241</v>
      </c>
    </row>
    <row r="123" spans="10:10">
      <c r="J123" s="86" t="s">
        <v>242</v>
      </c>
    </row>
    <row r="124" spans="10:10">
      <c r="J124" s="86" t="s">
        <v>243</v>
      </c>
    </row>
    <row r="125" spans="10:10">
      <c r="J125" s="86" t="s">
        <v>244</v>
      </c>
    </row>
    <row r="126" spans="10:10">
      <c r="J126" s="86" t="s">
        <v>245</v>
      </c>
    </row>
    <row r="127" spans="10:10">
      <c r="J127" s="86" t="s">
        <v>246</v>
      </c>
    </row>
    <row r="128" spans="10:10">
      <c r="J128" s="86" t="s">
        <v>247</v>
      </c>
    </row>
    <row r="129" spans="10:10">
      <c r="J129" s="86" t="s">
        <v>248</v>
      </c>
    </row>
    <row r="130" spans="10:10">
      <c r="J130" s="86" t="s">
        <v>249</v>
      </c>
    </row>
    <row r="131" spans="10:10">
      <c r="J131" s="86" t="s">
        <v>250</v>
      </c>
    </row>
    <row r="132" spans="10:10">
      <c r="J132" s="86" t="s">
        <v>251</v>
      </c>
    </row>
    <row r="133" spans="10:10">
      <c r="J133" s="86" t="s">
        <v>252</v>
      </c>
    </row>
    <row r="134" spans="10:10">
      <c r="J134" s="86" t="s">
        <v>253</v>
      </c>
    </row>
    <row r="135" spans="10:10">
      <c r="J135" s="86" t="s">
        <v>254</v>
      </c>
    </row>
    <row r="136" spans="10:10">
      <c r="J136" s="86" t="s">
        <v>255</v>
      </c>
    </row>
    <row r="137" spans="10:10">
      <c r="J137" s="86" t="s">
        <v>256</v>
      </c>
    </row>
    <row r="138" spans="10:10">
      <c r="J138" s="86" t="s">
        <v>257</v>
      </c>
    </row>
    <row r="139" spans="10:10">
      <c r="J139" s="86" t="s">
        <v>258</v>
      </c>
    </row>
    <row r="140" spans="10:10">
      <c r="J140" s="86" t="s">
        <v>259</v>
      </c>
    </row>
    <row r="141" spans="10:10">
      <c r="J141" s="86" t="s">
        <v>260</v>
      </c>
    </row>
    <row r="142" spans="10:10">
      <c r="J142" s="86" t="s">
        <v>261</v>
      </c>
    </row>
    <row r="143" spans="10:10">
      <c r="J143" s="86" t="s">
        <v>262</v>
      </c>
    </row>
    <row r="144" spans="10:10">
      <c r="J144" s="419"/>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headerFooter>
    <oddFooter>&amp;L&amp;"Calibri,Italic"&amp;8&amp;F: &amp;A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3"/>
  <sheetViews>
    <sheetView showGridLines="0" zoomScale="80" zoomScaleNormal="80" zoomScalePageLayoutView="80" workbookViewId="0">
      <pane ySplit="2" topLeftCell="A6" activePane="bottomLeft" state="frozen"/>
      <selection activeCell="E22" sqref="E22"/>
      <selection pane="bottomLeft"/>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13.140625" customWidth="1"/>
    <col min="13" max="13" width="49.42578125" customWidth="1"/>
    <col min="14" max="14" width="2.42578125" style="36" customWidth="1"/>
    <col min="15" max="15" width="3" style="36" customWidth="1"/>
    <col min="16" max="16" width="2.42578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498" t="str">
        <f>+"Dashboard: "&amp;" "&amp;+IF('Data Entry'!C4="Please Select","",'Data Entry'!C4&amp;" - ")&amp;+IF('Data Entry'!G6="Please Select","",'Data Entry'!G6)</f>
        <v>Dashboard:  Georgia - TB</v>
      </c>
      <c r="C2" s="498"/>
      <c r="D2" s="498"/>
      <c r="E2" s="498"/>
      <c r="F2" s="498"/>
      <c r="G2" s="498"/>
      <c r="H2" s="498"/>
      <c r="I2" s="498"/>
      <c r="J2" s="498"/>
      <c r="K2" s="498"/>
      <c r="L2" s="498"/>
      <c r="M2" s="498"/>
    </row>
    <row r="3" spans="1:15" ht="15.75" customHeight="1">
      <c r="A3" s="3"/>
      <c r="B3" s="224"/>
      <c r="C3" s="224"/>
      <c r="D3" s="224"/>
      <c r="E3" s="224"/>
      <c r="F3" s="224"/>
      <c r="G3" s="224"/>
      <c r="H3" s="224"/>
      <c r="I3" s="224"/>
      <c r="J3" s="224"/>
      <c r="K3" s="225"/>
      <c r="L3" s="225"/>
      <c r="M3" s="3"/>
    </row>
    <row r="5" spans="1:15" ht="23.25">
      <c r="B5" s="499" t="s">
        <v>284</v>
      </c>
      <c r="C5" s="499"/>
      <c r="D5" s="499"/>
      <c r="E5" s="499"/>
      <c r="F5" s="499"/>
      <c r="G5" s="499"/>
      <c r="H5" s="499"/>
      <c r="I5" s="499"/>
      <c r="J5" s="499"/>
      <c r="K5" s="499"/>
      <c r="L5" s="499"/>
      <c r="M5" s="499"/>
      <c r="N5" s="499"/>
      <c r="O5" s="499"/>
    </row>
    <row r="7" spans="1:15" ht="21">
      <c r="B7" s="500" t="s">
        <v>273</v>
      </c>
      <c r="C7" s="501"/>
      <c r="D7" s="502"/>
      <c r="E7" s="500" t="s">
        <v>274</v>
      </c>
      <c r="F7" s="501"/>
      <c r="G7" s="501"/>
      <c r="H7" s="501"/>
      <c r="I7" s="502"/>
      <c r="J7" s="500" t="s">
        <v>275</v>
      </c>
      <c r="K7" s="501"/>
      <c r="L7" s="502"/>
      <c r="M7" s="500" t="s">
        <v>348</v>
      </c>
      <c r="N7" s="501"/>
      <c r="O7" s="502"/>
    </row>
    <row r="8" spans="1:15" ht="92.25" customHeight="1">
      <c r="B8" s="514" t="str">
        <f>+'Data Entry'!B27</f>
        <v>F1: Budget and disbursements by Global Fund</v>
      </c>
      <c r="C8" s="515"/>
      <c r="D8" s="516"/>
      <c r="E8" s="503" t="s">
        <v>395</v>
      </c>
      <c r="F8" s="504"/>
      <c r="G8" s="504"/>
      <c r="H8" s="504"/>
      <c r="I8" s="505"/>
      <c r="J8" s="494" t="s">
        <v>349</v>
      </c>
      <c r="K8" s="495"/>
      <c r="L8" s="496"/>
      <c r="M8" s="494" t="s">
        <v>396</v>
      </c>
      <c r="N8" s="495"/>
      <c r="O8" s="496"/>
    </row>
    <row r="9" spans="1:15" ht="117.75" customHeight="1">
      <c r="B9" s="514" t="str">
        <f>+'Data Entry'!B36</f>
        <v>F2: Budget and actual expenditures by Grant Objective</v>
      </c>
      <c r="C9" s="515"/>
      <c r="D9" s="516"/>
      <c r="E9" s="511" t="s">
        <v>357</v>
      </c>
      <c r="F9" s="512"/>
      <c r="G9" s="512"/>
      <c r="H9" s="512"/>
      <c r="I9" s="513"/>
      <c r="J9" s="494" t="s">
        <v>351</v>
      </c>
      <c r="K9" s="495"/>
      <c r="L9" s="496"/>
      <c r="M9" s="494" t="s">
        <v>396</v>
      </c>
      <c r="N9" s="495"/>
      <c r="O9" s="496"/>
    </row>
    <row r="10" spans="1:15" ht="152.25" customHeight="1">
      <c r="B10" s="506" t="str">
        <f>+'Data Entry'!B49</f>
        <v>F3: Disbursements and expenditures</v>
      </c>
      <c r="C10" s="509"/>
      <c r="D10" s="510"/>
      <c r="E10" s="511" t="s">
        <v>397</v>
      </c>
      <c r="F10" s="512"/>
      <c r="G10" s="512"/>
      <c r="H10" s="512"/>
      <c r="I10" s="513"/>
      <c r="J10" s="494" t="s">
        <v>358</v>
      </c>
      <c r="K10" s="495"/>
      <c r="L10" s="496"/>
      <c r="M10" s="494" t="s">
        <v>350</v>
      </c>
      <c r="N10" s="495"/>
      <c r="O10" s="496"/>
    </row>
    <row r="11" spans="1:15" ht="279.75" customHeight="1">
      <c r="B11" s="506" t="str">
        <f>+'Data Entry'!B58</f>
        <v>F4: Latest PR reporting and disbursement cycle</v>
      </c>
      <c r="C11" s="507"/>
      <c r="D11" s="508"/>
      <c r="E11" s="511" t="s">
        <v>409</v>
      </c>
      <c r="F11" s="512"/>
      <c r="G11" s="512"/>
      <c r="H11" s="512"/>
      <c r="I11" s="513"/>
      <c r="J11" s="494" t="s">
        <v>359</v>
      </c>
      <c r="K11" s="495"/>
      <c r="L11" s="496"/>
      <c r="M11" s="494" t="s">
        <v>278</v>
      </c>
      <c r="N11" s="495"/>
      <c r="O11" s="496"/>
    </row>
    <row r="12" spans="1:15" s="19" customFormat="1">
      <c r="B12" s="533"/>
      <c r="C12" s="533"/>
      <c r="D12" s="533"/>
      <c r="E12" s="497"/>
      <c r="F12" s="497"/>
      <c r="G12" s="497"/>
      <c r="H12" s="497"/>
      <c r="I12" s="497"/>
      <c r="J12" s="497"/>
      <c r="K12" s="497"/>
      <c r="L12" s="497"/>
      <c r="M12" s="497"/>
      <c r="N12" s="497"/>
      <c r="O12" s="497"/>
    </row>
    <row r="13" spans="1:15" s="19" customFormat="1">
      <c r="B13" s="529"/>
      <c r="C13" s="529"/>
      <c r="D13" s="529"/>
      <c r="E13" s="530"/>
      <c r="F13" s="530"/>
      <c r="G13" s="530"/>
      <c r="H13" s="530"/>
      <c r="I13" s="530"/>
      <c r="J13" s="530"/>
      <c r="K13" s="530"/>
      <c r="L13" s="530"/>
      <c r="M13" s="530"/>
      <c r="N13" s="530"/>
      <c r="O13" s="530"/>
    </row>
    <row r="14" spans="1:15" s="19" customFormat="1">
      <c r="B14" s="529"/>
      <c r="C14" s="529"/>
      <c r="D14" s="529"/>
      <c r="E14" s="530"/>
      <c r="F14" s="530"/>
      <c r="G14" s="530"/>
      <c r="H14" s="530"/>
      <c r="I14" s="530"/>
      <c r="J14" s="530"/>
      <c r="K14" s="530"/>
      <c r="L14" s="530"/>
      <c r="M14" s="530"/>
      <c r="N14" s="530"/>
      <c r="O14" s="530"/>
    </row>
    <row r="15" spans="1:15" s="19" customFormat="1">
      <c r="B15" s="529"/>
      <c r="C15" s="529"/>
      <c r="D15" s="529"/>
      <c r="E15" s="530"/>
      <c r="F15" s="530"/>
      <c r="G15" s="530"/>
      <c r="H15" s="530"/>
      <c r="I15" s="530"/>
      <c r="J15" s="530"/>
      <c r="K15" s="530"/>
      <c r="L15" s="530"/>
      <c r="M15" s="530"/>
      <c r="N15" s="530"/>
      <c r="O15" s="530"/>
    </row>
    <row r="16" spans="1:15" ht="23.25">
      <c r="B16" s="499" t="s">
        <v>285</v>
      </c>
      <c r="C16" s="499"/>
      <c r="D16" s="499"/>
      <c r="E16" s="499"/>
      <c r="F16" s="499"/>
      <c r="G16" s="499"/>
      <c r="H16" s="499"/>
      <c r="I16" s="499"/>
      <c r="J16" s="499"/>
      <c r="K16" s="499"/>
      <c r="L16" s="499"/>
      <c r="M16" s="499"/>
      <c r="N16" s="499"/>
      <c r="O16" s="499"/>
    </row>
    <row r="18" spans="1:15" ht="21">
      <c r="B18" s="526" t="s">
        <v>273</v>
      </c>
      <c r="C18" s="527"/>
      <c r="D18" s="528"/>
      <c r="E18" s="526" t="s">
        <v>274</v>
      </c>
      <c r="F18" s="527"/>
      <c r="G18" s="527"/>
      <c r="H18" s="527"/>
      <c r="I18" s="528"/>
      <c r="J18" s="526" t="s">
        <v>275</v>
      </c>
      <c r="K18" s="527"/>
      <c r="L18" s="528"/>
      <c r="M18" s="526" t="s">
        <v>276</v>
      </c>
      <c r="N18" s="527"/>
      <c r="O18" s="528"/>
    </row>
    <row r="19" spans="1:15" ht="114" customHeight="1">
      <c r="B19" s="514" t="str">
        <f>+'Data Entry'!B69</f>
        <v>M1: Status of Conditions Precedent (CPs) and Time Bound Actions (TBAs)</v>
      </c>
      <c r="C19" s="531"/>
      <c r="D19" s="532"/>
      <c r="E19" s="511" t="s">
        <v>283</v>
      </c>
      <c r="F19" s="512"/>
      <c r="G19" s="512"/>
      <c r="H19" s="512"/>
      <c r="I19" s="513"/>
      <c r="J19" s="494" t="s">
        <v>352</v>
      </c>
      <c r="K19" s="495"/>
      <c r="L19" s="496"/>
      <c r="M19" s="494" t="s">
        <v>353</v>
      </c>
      <c r="N19" s="495"/>
      <c r="O19" s="496"/>
    </row>
    <row r="20" spans="1:15" ht="102.75" customHeight="1">
      <c r="B20" s="514" t="str">
        <f>+'Data Entry'!B76</f>
        <v>M2: Status of key PR management positions</v>
      </c>
      <c r="C20" s="531"/>
      <c r="D20" s="532"/>
      <c r="E20" s="511" t="s">
        <v>398</v>
      </c>
      <c r="F20" s="512"/>
      <c r="G20" s="512"/>
      <c r="H20" s="512"/>
      <c r="I20" s="513"/>
      <c r="J20" s="494" t="s">
        <v>280</v>
      </c>
      <c r="K20" s="495"/>
      <c r="L20" s="496"/>
      <c r="M20" s="494" t="s">
        <v>279</v>
      </c>
      <c r="N20" s="495"/>
      <c r="O20" s="496"/>
    </row>
    <row r="21" spans="1:15" ht="111.75" customHeight="1">
      <c r="B21" s="514" t="str">
        <f>+'Data Entry'!B81</f>
        <v xml:space="preserve">M3: Contractual arrangements (SRs) </v>
      </c>
      <c r="C21" s="531"/>
      <c r="D21" s="532"/>
      <c r="E21" s="558" t="s">
        <v>0</v>
      </c>
      <c r="F21" s="512"/>
      <c r="G21" s="512"/>
      <c r="H21" s="512"/>
      <c r="I21" s="513"/>
      <c r="J21" s="494" t="s">
        <v>354</v>
      </c>
      <c r="K21" s="495"/>
      <c r="L21" s="496"/>
      <c r="M21" s="494" t="s">
        <v>355</v>
      </c>
      <c r="N21" s="495"/>
      <c r="O21" s="496"/>
    </row>
    <row r="22" spans="1:15" ht="74.25" customHeight="1">
      <c r="B22" s="514" t="str">
        <f>+'Data Entry'!B86</f>
        <v>M4: Number of complete reports received on time</v>
      </c>
      <c r="C22" s="531"/>
      <c r="D22" s="532"/>
      <c r="E22" s="558" t="s">
        <v>410</v>
      </c>
      <c r="F22" s="559"/>
      <c r="G22" s="559"/>
      <c r="H22" s="559"/>
      <c r="I22" s="560"/>
      <c r="J22" s="494" t="s">
        <v>360</v>
      </c>
      <c r="K22" s="495"/>
      <c r="L22" s="496"/>
      <c r="M22" s="494" t="s">
        <v>281</v>
      </c>
      <c r="N22" s="495"/>
      <c r="O22" s="496"/>
    </row>
    <row r="23" spans="1:15" ht="207.75" customHeight="1">
      <c r="B23" s="593" t="str">
        <f>+'Data Entry'!B92</f>
        <v>M5: Budget and Procurement of health products, health equipment, medicines and pharmaceuticals</v>
      </c>
      <c r="C23" s="594"/>
      <c r="D23" s="595"/>
      <c r="E23" s="570" t="s">
        <v>361</v>
      </c>
      <c r="F23" s="571"/>
      <c r="G23" s="571"/>
      <c r="H23" s="571"/>
      <c r="I23" s="572"/>
      <c r="J23" s="564" t="s">
        <v>277</v>
      </c>
      <c r="K23" s="565"/>
      <c r="L23" s="566"/>
      <c r="M23" s="564" t="s">
        <v>282</v>
      </c>
      <c r="N23" s="565"/>
      <c r="O23" s="566"/>
    </row>
    <row r="24" spans="1:15" ht="114.75" customHeight="1">
      <c r="B24" s="596"/>
      <c r="C24" s="597"/>
      <c r="D24" s="598"/>
      <c r="E24" s="573" t="s">
        <v>356</v>
      </c>
      <c r="F24" s="574"/>
      <c r="G24" s="574"/>
      <c r="H24" s="574"/>
      <c r="I24" s="575"/>
      <c r="J24" s="567"/>
      <c r="K24" s="568"/>
      <c r="L24" s="569"/>
      <c r="M24" s="567"/>
      <c r="N24" s="568"/>
      <c r="O24" s="569"/>
    </row>
    <row r="25" spans="1:15" ht="409.5" customHeight="1">
      <c r="B25" s="514" t="str">
        <f>+'Data Entry'!B105</f>
        <v>M6: Difference between current and safety stock</v>
      </c>
      <c r="C25" s="531"/>
      <c r="D25" s="532"/>
      <c r="E25" s="576" t="s">
        <v>411</v>
      </c>
      <c r="F25" s="577"/>
      <c r="G25" s="577"/>
      <c r="H25" s="577"/>
      <c r="I25" s="578"/>
      <c r="J25" s="582" t="s">
        <v>362</v>
      </c>
      <c r="K25" s="583"/>
      <c r="L25" s="584"/>
      <c r="M25" s="579" t="s">
        <v>367</v>
      </c>
      <c r="N25" s="580"/>
      <c r="O25" s="581"/>
    </row>
    <row r="29" spans="1:15" ht="18.75">
      <c r="B29" s="259"/>
    </row>
    <row r="30" spans="1:15" ht="23.25">
      <c r="B30" s="499" t="s">
        <v>298</v>
      </c>
      <c r="C30" s="499"/>
      <c r="D30" s="499"/>
      <c r="E30" s="499"/>
      <c r="F30" s="499"/>
      <c r="G30" s="499"/>
      <c r="H30" s="499"/>
      <c r="I30" s="499"/>
      <c r="J30" s="499"/>
      <c r="K30" s="499"/>
      <c r="L30" s="499"/>
      <c r="M30" s="499"/>
      <c r="N30" s="499"/>
      <c r="O30" s="499"/>
    </row>
    <row r="32" spans="1:15" ht="28.5" customHeight="1">
      <c r="A32" s="250"/>
      <c r="B32" s="537" t="s">
        <v>346</v>
      </c>
      <c r="C32" s="538"/>
      <c r="D32" s="539"/>
      <c r="E32" s="540" t="s">
        <v>304</v>
      </c>
      <c r="F32" s="541"/>
      <c r="G32" s="541"/>
      <c r="H32" s="541"/>
      <c r="I32" s="542"/>
      <c r="J32" s="540" t="s">
        <v>275</v>
      </c>
      <c r="K32" s="541"/>
      <c r="L32" s="542"/>
      <c r="M32" s="540" t="s">
        <v>276</v>
      </c>
      <c r="N32" s="541"/>
      <c r="O32" s="542"/>
    </row>
    <row r="33" spans="1:15" ht="47.25" customHeight="1">
      <c r="A33" s="251"/>
      <c r="B33" s="585"/>
      <c r="C33" s="586"/>
      <c r="D33" s="587"/>
      <c r="E33" s="520"/>
      <c r="F33" s="521"/>
      <c r="G33" s="521"/>
      <c r="H33" s="521"/>
      <c r="I33" s="522"/>
      <c r="J33" s="523"/>
      <c r="K33" s="524"/>
      <c r="L33" s="525"/>
      <c r="M33" s="523"/>
      <c r="N33" s="524"/>
      <c r="O33" s="525"/>
    </row>
    <row r="34" spans="1:15" ht="59.25" customHeight="1">
      <c r="A34" s="251"/>
      <c r="B34" s="585"/>
      <c r="C34" s="586"/>
      <c r="D34" s="587"/>
      <c r="E34" s="520"/>
      <c r="F34" s="521"/>
      <c r="G34" s="521"/>
      <c r="H34" s="521"/>
      <c r="I34" s="522"/>
      <c r="J34" s="523"/>
      <c r="K34" s="524"/>
      <c r="L34" s="525"/>
      <c r="M34" s="523"/>
      <c r="N34" s="524"/>
      <c r="O34" s="525"/>
    </row>
    <row r="35" spans="1:15" ht="57.75" customHeight="1">
      <c r="A35" s="251"/>
      <c r="B35" s="585"/>
      <c r="C35" s="586"/>
      <c r="D35" s="587"/>
      <c r="E35" s="523"/>
      <c r="F35" s="524"/>
      <c r="G35" s="524"/>
      <c r="H35" s="524"/>
      <c r="I35" s="525"/>
      <c r="J35" s="523"/>
      <c r="K35" s="524"/>
      <c r="L35" s="525"/>
      <c r="M35" s="523"/>
      <c r="N35" s="524"/>
      <c r="O35" s="525"/>
    </row>
    <row r="36" spans="1:15" ht="9.75" customHeight="1">
      <c r="A36" s="251"/>
      <c r="B36" s="588"/>
      <c r="C36" s="589"/>
      <c r="D36" s="590"/>
      <c r="E36" s="252"/>
      <c r="F36" s="253"/>
      <c r="G36" s="253"/>
      <c r="H36" s="253"/>
      <c r="I36" s="254"/>
      <c r="J36" s="271"/>
      <c r="K36" s="272"/>
      <c r="L36" s="273"/>
      <c r="M36" s="271"/>
      <c r="N36" s="272"/>
      <c r="O36" s="273"/>
    </row>
    <row r="37" spans="1:15" ht="46.5" customHeight="1">
      <c r="A37" s="251"/>
      <c r="B37" s="585"/>
      <c r="C37" s="586"/>
      <c r="D37" s="587"/>
      <c r="E37" s="523"/>
      <c r="F37" s="591"/>
      <c r="G37" s="591"/>
      <c r="H37" s="591"/>
      <c r="I37" s="592"/>
      <c r="J37" s="266"/>
      <c r="K37" s="267"/>
      <c r="L37" s="268"/>
      <c r="M37" s="266"/>
      <c r="N37" s="267"/>
      <c r="O37" s="268"/>
    </row>
    <row r="38" spans="1:15" ht="69" customHeight="1">
      <c r="A38" s="251"/>
      <c r="B38" s="585"/>
      <c r="C38" s="586"/>
      <c r="D38" s="587"/>
      <c r="E38" s="520"/>
      <c r="F38" s="521"/>
      <c r="G38" s="521"/>
      <c r="H38" s="521"/>
      <c r="I38" s="522"/>
      <c r="J38" s="523"/>
      <c r="K38" s="524"/>
      <c r="L38" s="525"/>
      <c r="M38" s="523"/>
      <c r="N38" s="524"/>
      <c r="O38" s="525"/>
    </row>
    <row r="39" spans="1:15" ht="64.5" customHeight="1">
      <c r="A39" s="251"/>
      <c r="B39" s="585"/>
      <c r="C39" s="586"/>
      <c r="D39" s="587"/>
      <c r="E39" s="523"/>
      <c r="F39" s="524"/>
      <c r="G39" s="524"/>
      <c r="H39" s="524"/>
      <c r="I39" s="525"/>
      <c r="J39" s="266"/>
      <c r="K39" s="267"/>
      <c r="L39" s="268"/>
      <c r="M39" s="266"/>
      <c r="N39" s="267"/>
      <c r="O39" s="268"/>
    </row>
    <row r="40" spans="1:15" ht="45" customHeight="1">
      <c r="A40" s="251"/>
      <c r="B40" s="517"/>
      <c r="C40" s="518"/>
      <c r="D40" s="519"/>
      <c r="E40" s="555"/>
      <c r="F40" s="556"/>
      <c r="G40" s="556"/>
      <c r="H40" s="556"/>
      <c r="I40" s="557"/>
      <c r="J40" s="523"/>
      <c r="K40" s="524"/>
      <c r="L40" s="525"/>
      <c r="M40" s="523"/>
      <c r="N40" s="524"/>
      <c r="O40" s="525"/>
    </row>
    <row r="41" spans="1:15" ht="62.25" customHeight="1">
      <c r="A41" s="251"/>
      <c r="B41" s="552"/>
      <c r="C41" s="553"/>
      <c r="D41" s="554"/>
      <c r="E41" s="520"/>
      <c r="F41" s="521"/>
      <c r="G41" s="521"/>
      <c r="H41" s="521"/>
      <c r="I41" s="522"/>
      <c r="J41" s="523"/>
      <c r="K41" s="524"/>
      <c r="L41" s="525"/>
      <c r="M41" s="523"/>
      <c r="N41" s="524"/>
      <c r="O41" s="525"/>
    </row>
    <row r="42" spans="1:15" ht="84" customHeight="1">
      <c r="A42" s="251"/>
      <c r="B42" s="552"/>
      <c r="C42" s="553"/>
      <c r="D42" s="554"/>
      <c r="E42" s="523"/>
      <c r="F42" s="524"/>
      <c r="G42" s="524"/>
      <c r="H42" s="524"/>
      <c r="I42" s="525"/>
      <c r="J42" s="266"/>
      <c r="K42" s="267"/>
      <c r="L42" s="268"/>
      <c r="M42" s="266"/>
      <c r="N42" s="267"/>
      <c r="O42" s="268"/>
    </row>
    <row r="43" spans="1:15" ht="45" customHeight="1">
      <c r="A43" s="251"/>
      <c r="B43" s="552"/>
      <c r="C43" s="553"/>
      <c r="D43" s="554"/>
      <c r="E43" s="520"/>
      <c r="F43" s="521"/>
      <c r="G43" s="521"/>
      <c r="H43" s="521"/>
      <c r="I43" s="522"/>
      <c r="J43" s="523"/>
      <c r="K43" s="524"/>
      <c r="L43" s="525"/>
      <c r="M43" s="266"/>
      <c r="N43" s="267"/>
      <c r="O43" s="268"/>
    </row>
    <row r="44" spans="1:15" ht="64.5" customHeight="1">
      <c r="A44" s="251"/>
      <c r="B44" s="517"/>
      <c r="C44" s="518"/>
      <c r="D44" s="519"/>
      <c r="E44" s="520"/>
      <c r="F44" s="521"/>
      <c r="G44" s="521"/>
      <c r="H44" s="521"/>
      <c r="I44" s="522"/>
      <c r="J44" s="523"/>
      <c r="K44" s="524"/>
      <c r="L44" s="525"/>
      <c r="M44" s="266"/>
      <c r="N44" s="267"/>
      <c r="O44" s="268"/>
    </row>
    <row r="45" spans="1:15" ht="49.5" customHeight="1">
      <c r="B45" s="517"/>
      <c r="C45" s="518"/>
      <c r="D45" s="519"/>
      <c r="E45" s="520"/>
      <c r="F45" s="521"/>
      <c r="G45" s="521"/>
      <c r="H45" s="521"/>
      <c r="I45" s="522"/>
      <c r="J45" s="523"/>
      <c r="K45" s="524"/>
      <c r="L45" s="525"/>
      <c r="M45" s="266"/>
      <c r="N45" s="267"/>
      <c r="O45" s="268"/>
    </row>
    <row r="46" spans="1:15" ht="30" customHeight="1">
      <c r="B46" s="561"/>
      <c r="C46" s="562"/>
      <c r="D46" s="563"/>
      <c r="E46" s="255"/>
      <c r="F46" s="256"/>
      <c r="G46" s="256"/>
      <c r="H46" s="256"/>
      <c r="I46" s="257"/>
      <c r="J46" s="266"/>
      <c r="K46" s="267"/>
      <c r="L46" s="268"/>
      <c r="M46" s="266"/>
      <c r="N46" s="267"/>
      <c r="O46" s="268"/>
    </row>
    <row r="47" spans="1:15" ht="44.25" customHeight="1">
      <c r="B47" s="546" t="s">
        <v>299</v>
      </c>
      <c r="C47" s="547"/>
      <c r="D47" s="548"/>
      <c r="E47" s="549" t="s">
        <v>274</v>
      </c>
      <c r="F47" s="550"/>
      <c r="G47" s="550"/>
      <c r="H47" s="550"/>
      <c r="I47" s="551"/>
      <c r="J47" s="549" t="s">
        <v>275</v>
      </c>
      <c r="K47" s="550"/>
      <c r="L47" s="551"/>
      <c r="M47" s="549" t="s">
        <v>276</v>
      </c>
      <c r="N47" s="550"/>
      <c r="O47" s="551"/>
    </row>
    <row r="48" spans="1:15" ht="33.75" customHeight="1">
      <c r="B48" s="246"/>
      <c r="C48" s="247"/>
      <c r="D48" s="247"/>
      <c r="E48" s="240"/>
      <c r="F48" s="242"/>
      <c r="G48" s="242"/>
      <c r="H48" s="242"/>
      <c r="I48" s="242"/>
      <c r="J48" s="240"/>
      <c r="K48" s="240"/>
      <c r="L48" s="241"/>
      <c r="M48" s="239"/>
      <c r="N48" s="240"/>
      <c r="O48" s="241"/>
    </row>
    <row r="49" spans="2:15" ht="15.75" customHeight="1">
      <c r="B49" s="543" t="s">
        <v>296</v>
      </c>
      <c r="C49" s="544"/>
      <c r="D49" s="544"/>
      <c r="E49" s="544"/>
      <c r="F49" s="544"/>
      <c r="G49" s="544"/>
      <c r="H49" s="544"/>
      <c r="I49" s="544"/>
      <c r="J49" s="544"/>
      <c r="K49" s="544"/>
      <c r="L49" s="545"/>
      <c r="M49" s="534" t="s">
        <v>286</v>
      </c>
      <c r="N49" s="535"/>
      <c r="O49" s="536"/>
    </row>
    <row r="50" spans="2:15">
      <c r="D50" s="226"/>
    </row>
    <row r="52" spans="2:15">
      <c r="D52" s="226"/>
    </row>
    <row r="53" spans="2:15">
      <c r="D53" s="226"/>
    </row>
  </sheetData>
  <mergeCells count="120">
    <mergeCell ref="E45:I45"/>
    <mergeCell ref="B43:D43"/>
    <mergeCell ref="M20:O20"/>
    <mergeCell ref="J21:L21"/>
    <mergeCell ref="M21:O21"/>
    <mergeCell ref="M22:O22"/>
    <mergeCell ref="B39:D39"/>
    <mergeCell ref="M38:O38"/>
    <mergeCell ref="E39:I39"/>
    <mergeCell ref="B37:D37"/>
    <mergeCell ref="B35:D35"/>
    <mergeCell ref="J35:L35"/>
    <mergeCell ref="B38:D38"/>
    <mergeCell ref="E38:I38"/>
    <mergeCell ref="J38:L38"/>
    <mergeCell ref="B36:D36"/>
    <mergeCell ref="E37:I37"/>
    <mergeCell ref="E35:I35"/>
    <mergeCell ref="B20:D20"/>
    <mergeCell ref="E20:I20"/>
    <mergeCell ref="B21:D21"/>
    <mergeCell ref="E21:I21"/>
    <mergeCell ref="B22:D22"/>
    <mergeCell ref="B23:D24"/>
    <mergeCell ref="E22:I22"/>
    <mergeCell ref="J22:L22"/>
    <mergeCell ref="J20:L20"/>
    <mergeCell ref="M40:O40"/>
    <mergeCell ref="B46:D46"/>
    <mergeCell ref="M23:O24"/>
    <mergeCell ref="E23:I23"/>
    <mergeCell ref="E24:I24"/>
    <mergeCell ref="E33:I33"/>
    <mergeCell ref="E34:I34"/>
    <mergeCell ref="E25:I25"/>
    <mergeCell ref="M25:O25"/>
    <mergeCell ref="J25:L25"/>
    <mergeCell ref="J23:L24"/>
    <mergeCell ref="M33:O33"/>
    <mergeCell ref="M34:O34"/>
    <mergeCell ref="B25:D25"/>
    <mergeCell ref="B33:D33"/>
    <mergeCell ref="B34:D34"/>
    <mergeCell ref="J33:L33"/>
    <mergeCell ref="J34:L34"/>
    <mergeCell ref="J43:L43"/>
    <mergeCell ref="J44:L44"/>
    <mergeCell ref="J45:L45"/>
    <mergeCell ref="E44:I44"/>
    <mergeCell ref="B44:D44"/>
    <mergeCell ref="B45:D45"/>
    <mergeCell ref="B12:D12"/>
    <mergeCell ref="J11:L11"/>
    <mergeCell ref="M49:O49"/>
    <mergeCell ref="B30:O30"/>
    <mergeCell ref="B32:D32"/>
    <mergeCell ref="E32:I32"/>
    <mergeCell ref="J32:L32"/>
    <mergeCell ref="M32:O32"/>
    <mergeCell ref="B49:L49"/>
    <mergeCell ref="B47:D47"/>
    <mergeCell ref="E47:I47"/>
    <mergeCell ref="J47:L47"/>
    <mergeCell ref="M47:O47"/>
    <mergeCell ref="J41:L41"/>
    <mergeCell ref="M41:O41"/>
    <mergeCell ref="M35:O35"/>
    <mergeCell ref="E42:I42"/>
    <mergeCell ref="E43:I43"/>
    <mergeCell ref="B42:D42"/>
    <mergeCell ref="E40:I40"/>
    <mergeCell ref="B41:D41"/>
    <mergeCell ref="B40:D40"/>
    <mergeCell ref="E41:I41"/>
    <mergeCell ref="J40:L40"/>
    <mergeCell ref="J19:L19"/>
    <mergeCell ref="E18:I18"/>
    <mergeCell ref="J18:L18"/>
    <mergeCell ref="B18:D18"/>
    <mergeCell ref="B15:D15"/>
    <mergeCell ref="B13:D13"/>
    <mergeCell ref="B16:O16"/>
    <mergeCell ref="J15:L15"/>
    <mergeCell ref="E13:I13"/>
    <mergeCell ref="J13:L13"/>
    <mergeCell ref="M14:O14"/>
    <mergeCell ref="B14:D14"/>
    <mergeCell ref="E14:I14"/>
    <mergeCell ref="B19:D19"/>
    <mergeCell ref="M19:O19"/>
    <mergeCell ref="M15:O15"/>
    <mergeCell ref="M13:O13"/>
    <mergeCell ref="M18:O18"/>
    <mergeCell ref="J14:L14"/>
    <mergeCell ref="E15:I15"/>
    <mergeCell ref="E19:I19"/>
    <mergeCell ref="M11:O11"/>
    <mergeCell ref="J12:L12"/>
    <mergeCell ref="M12:O12"/>
    <mergeCell ref="E12:I12"/>
    <mergeCell ref="B2:M2"/>
    <mergeCell ref="B5:O5"/>
    <mergeCell ref="M8:O8"/>
    <mergeCell ref="J8:L8"/>
    <mergeCell ref="E7:I7"/>
    <mergeCell ref="B7:D7"/>
    <mergeCell ref="E8:I8"/>
    <mergeCell ref="B11:D11"/>
    <mergeCell ref="B10:D10"/>
    <mergeCell ref="E10:I10"/>
    <mergeCell ref="J10:L10"/>
    <mergeCell ref="J7:L7"/>
    <mergeCell ref="M7:O7"/>
    <mergeCell ref="M10:O10"/>
    <mergeCell ref="B8:D8"/>
    <mergeCell ref="M9:O9"/>
    <mergeCell ref="B9:D9"/>
    <mergeCell ref="E9:I9"/>
    <mergeCell ref="J9:L9"/>
    <mergeCell ref="E11:I11"/>
  </mergeCells>
  <phoneticPr fontId="30" type="noConversion"/>
  <pageMargins left="0.70866141732283472" right="0.70866141732283472" top="0.74803149606299213" bottom="0.74803149606299213" header="0.31496062992125984" footer="0.31496062992125984"/>
  <pageSetup paperSize="9" scale="44" orientation="landscape"/>
  <headerFooter alignWithMargins="0">
    <oddFooter>&amp;L&amp;F&amp;C&amp;A&amp;RV1.0          &amp;D</oddFooter>
  </headerFooter>
  <rowBreaks count="1" manualBreakCount="1">
    <brk id="11" max="16383" man="1"/>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52"/>
  <sheetViews>
    <sheetView showGridLines="0" tabSelected="1" topLeftCell="I97" workbookViewId="0">
      <selection activeCell="Q110" sqref="Q110"/>
    </sheetView>
  </sheetViews>
  <sheetFormatPr defaultColWidth="11" defaultRowHeight="15"/>
  <cols>
    <col min="1" max="1" width="2.7109375" customWidth="1"/>
    <col min="2" max="2" width="46.140625" customWidth="1"/>
    <col min="3" max="3" width="23" customWidth="1"/>
    <col min="4" max="4" width="19.140625" customWidth="1"/>
    <col min="5" max="5" width="16.42578125" customWidth="1"/>
    <col min="6" max="6" width="17.42578125" customWidth="1"/>
    <col min="7" max="7" width="16.42578125" customWidth="1"/>
    <col min="8" max="8" width="17.42578125" customWidth="1"/>
    <col min="9" max="9" width="16.28515625" customWidth="1"/>
    <col min="10" max="10" width="16.85546875" customWidth="1"/>
    <col min="11" max="11" width="16" customWidth="1"/>
    <col min="12" max="12" width="15.28515625" customWidth="1"/>
    <col min="13" max="13" width="15.42578125" customWidth="1"/>
    <col min="14" max="14" width="14.28515625" style="36" customWidth="1"/>
    <col min="15" max="15" width="15.42578125" style="36"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style="36" customWidth="1"/>
    <col min="35" max="35" width="3.28515625" style="36" customWidth="1"/>
    <col min="36" max="36" width="2.28515625" style="36" customWidth="1"/>
    <col min="37" max="37" width="40.7109375" customWidth="1"/>
    <col min="38" max="38" width="15.42578125" customWidth="1"/>
  </cols>
  <sheetData>
    <row r="1" spans="1:13" ht="29.25" customHeight="1">
      <c r="A1" s="3"/>
      <c r="B1" s="3"/>
      <c r="C1" s="3"/>
      <c r="D1" s="3"/>
      <c r="E1" s="3"/>
      <c r="F1" s="3"/>
      <c r="G1" s="3"/>
      <c r="H1" s="3"/>
      <c r="I1" s="3"/>
      <c r="J1" s="3"/>
      <c r="K1" s="3"/>
      <c r="L1" s="3"/>
      <c r="M1" s="3"/>
    </row>
    <row r="2" spans="1:13" ht="15.75" customHeight="1">
      <c r="A2" s="3"/>
      <c r="B2" s="659" t="s">
        <v>375</v>
      </c>
      <c r="C2" s="659"/>
      <c r="D2" s="659"/>
      <c r="E2" s="659"/>
      <c r="F2" s="659"/>
      <c r="G2" s="659"/>
      <c r="H2" s="659"/>
      <c r="I2" s="659"/>
      <c r="J2" s="659"/>
      <c r="K2" s="290"/>
      <c r="L2" s="290"/>
      <c r="M2" s="290"/>
    </row>
    <row r="3" spans="1:13" ht="4.5" customHeight="1">
      <c r="A3" s="3"/>
      <c r="B3" s="3"/>
      <c r="C3" s="3"/>
      <c r="D3" s="3"/>
      <c r="E3" s="3"/>
      <c r="F3" s="3"/>
      <c r="G3" s="3"/>
      <c r="H3" s="3"/>
      <c r="I3" s="3"/>
      <c r="J3" s="3"/>
      <c r="K3" s="3"/>
      <c r="L3" s="3"/>
      <c r="M3" s="3"/>
    </row>
    <row r="4" spans="1:13">
      <c r="A4" s="3"/>
      <c r="B4" s="288" t="s">
        <v>26</v>
      </c>
      <c r="C4" s="668" t="s">
        <v>177</v>
      </c>
      <c r="D4" s="669"/>
      <c r="E4" s="672" t="s">
        <v>12</v>
      </c>
      <c r="F4" s="672"/>
      <c r="G4" s="673" t="s">
        <v>432</v>
      </c>
      <c r="H4" s="674"/>
      <c r="I4" s="674"/>
      <c r="J4" s="675"/>
      <c r="K4" s="3"/>
      <c r="L4" s="3"/>
      <c r="M4" s="3"/>
    </row>
    <row r="5" spans="1:13" ht="3" customHeight="1">
      <c r="A5" s="3"/>
      <c r="B5" s="288"/>
      <c r="C5" s="3"/>
      <c r="D5" s="3"/>
      <c r="E5" s="291"/>
      <c r="F5" s="291"/>
      <c r="G5" s="3"/>
      <c r="H5" s="3"/>
      <c r="I5" s="3"/>
      <c r="J5" s="3"/>
      <c r="K5" s="3"/>
      <c r="L5" s="3"/>
      <c r="M5" s="3"/>
    </row>
    <row r="6" spans="1:13">
      <c r="A6" s="3"/>
      <c r="B6" s="288" t="s">
        <v>117</v>
      </c>
      <c r="C6" s="668" t="s">
        <v>421</v>
      </c>
      <c r="D6" s="669"/>
      <c r="E6" s="672" t="s">
        <v>27</v>
      </c>
      <c r="F6" s="672"/>
      <c r="G6" s="320" t="s">
        <v>35</v>
      </c>
      <c r="H6" s="288" t="s">
        <v>322</v>
      </c>
      <c r="I6" s="676">
        <v>12125491</v>
      </c>
      <c r="J6" s="677"/>
      <c r="K6" s="3"/>
      <c r="L6" s="3"/>
      <c r="M6" s="3"/>
    </row>
    <row r="7" spans="1:13" ht="3" customHeight="1">
      <c r="A7" s="3"/>
      <c r="B7" s="288"/>
      <c r="C7" s="3"/>
      <c r="D7" s="3"/>
      <c r="E7" s="291"/>
      <c r="F7" s="291"/>
      <c r="G7" s="3"/>
      <c r="H7" s="288"/>
      <c r="I7" s="3"/>
      <c r="J7" s="3"/>
      <c r="K7" s="3"/>
      <c r="L7" s="3"/>
      <c r="M7" s="3"/>
    </row>
    <row r="8" spans="1:13">
      <c r="A8" s="3"/>
      <c r="B8" s="288" t="s">
        <v>269</v>
      </c>
      <c r="C8" s="668" t="s">
        <v>420</v>
      </c>
      <c r="D8" s="669"/>
      <c r="E8" s="292"/>
      <c r="F8" s="287" t="s">
        <v>324</v>
      </c>
      <c r="G8" s="406" t="s">
        <v>425</v>
      </c>
      <c r="H8" s="287" t="s">
        <v>323</v>
      </c>
      <c r="I8" s="668" t="s">
        <v>18</v>
      </c>
      <c r="J8" s="669"/>
      <c r="K8" s="3"/>
      <c r="L8" s="3"/>
      <c r="M8" s="3"/>
    </row>
    <row r="9" spans="1:13" ht="3" customHeight="1">
      <c r="A9" s="3"/>
      <c r="B9" s="291"/>
      <c r="C9" s="3"/>
      <c r="D9" s="3"/>
      <c r="E9" s="291"/>
      <c r="F9" s="291"/>
      <c r="G9" s="3"/>
      <c r="H9" s="3"/>
      <c r="I9" s="3"/>
      <c r="J9" s="3"/>
      <c r="K9" s="3"/>
      <c r="L9" s="3"/>
      <c r="M9" s="3"/>
    </row>
    <row r="10" spans="1:13">
      <c r="A10" s="3"/>
      <c r="B10" s="288" t="s">
        <v>405</v>
      </c>
      <c r="C10" s="670">
        <v>42736</v>
      </c>
      <c r="D10" s="671"/>
      <c r="E10" s="667" t="s">
        <v>31</v>
      </c>
      <c r="F10" s="666"/>
      <c r="G10" s="668" t="s">
        <v>263</v>
      </c>
      <c r="H10" s="679"/>
      <c r="I10" s="679"/>
      <c r="J10" s="669"/>
      <c r="K10" s="3"/>
      <c r="L10" s="3"/>
      <c r="M10" s="3"/>
    </row>
    <row r="11" spans="1:13" ht="5.25" customHeight="1">
      <c r="A11" s="3"/>
      <c r="B11" s="3"/>
      <c r="C11" s="3"/>
      <c r="D11" s="3"/>
      <c r="E11" s="3"/>
      <c r="F11" s="3"/>
      <c r="G11" s="3"/>
      <c r="H11" s="3"/>
      <c r="I11" s="3"/>
      <c r="J11" s="3"/>
      <c r="K11" s="3"/>
      <c r="L11" s="3"/>
      <c r="M11" s="3"/>
    </row>
    <row r="12" spans="1:13" ht="15" customHeight="1">
      <c r="A12" s="3"/>
      <c r="B12" s="288" t="s">
        <v>29</v>
      </c>
      <c r="C12" s="645" t="s">
        <v>45</v>
      </c>
      <c r="D12" s="645"/>
      <c r="E12" s="667" t="s">
        <v>290</v>
      </c>
      <c r="F12" s="672"/>
      <c r="G12" s="678"/>
      <c r="H12" s="678"/>
      <c r="I12" s="678"/>
      <c r="J12" s="678"/>
      <c r="K12" s="3"/>
      <c r="L12" s="3"/>
      <c r="M12" s="3"/>
    </row>
    <row r="13" spans="1:13" ht="5.25" customHeight="1">
      <c r="A13" s="3"/>
      <c r="B13" s="3"/>
      <c r="C13" s="3"/>
      <c r="D13" s="3"/>
      <c r="E13" s="3"/>
      <c r="F13" s="3"/>
      <c r="G13" s="3"/>
      <c r="H13" s="3"/>
      <c r="I13" s="3"/>
      <c r="J13" s="3"/>
      <c r="K13" s="3"/>
      <c r="L13" s="3"/>
      <c r="M13" s="3"/>
    </row>
    <row r="14" spans="1:13" ht="15.75" customHeight="1">
      <c r="A14" s="3"/>
      <c r="B14" s="659" t="s">
        <v>2</v>
      </c>
      <c r="C14" s="659"/>
      <c r="D14" s="659"/>
      <c r="E14" s="659"/>
      <c r="F14" s="659"/>
      <c r="G14" s="659"/>
      <c r="H14" s="659"/>
      <c r="I14" s="659"/>
      <c r="J14" s="659"/>
      <c r="K14" s="3"/>
      <c r="L14" s="3"/>
      <c r="M14" s="3"/>
    </row>
    <row r="15" spans="1:13" ht="3" customHeight="1">
      <c r="A15" s="3"/>
      <c r="B15" s="3"/>
      <c r="C15" s="3"/>
      <c r="D15" s="3"/>
      <c r="E15" s="3"/>
      <c r="F15" s="3"/>
      <c r="G15" s="3"/>
      <c r="H15" s="3"/>
      <c r="I15" s="3"/>
      <c r="J15" s="3"/>
      <c r="K15" s="3"/>
      <c r="L15" s="3"/>
      <c r="M15" s="3"/>
    </row>
    <row r="16" spans="1:13">
      <c r="A16" s="3"/>
      <c r="B16" s="288" t="s">
        <v>21</v>
      </c>
      <c r="C16" s="406" t="s">
        <v>125</v>
      </c>
      <c r="D16" s="287" t="s">
        <v>325</v>
      </c>
      <c r="E16" s="293">
        <v>43466</v>
      </c>
      <c r="F16" s="289" t="s">
        <v>8</v>
      </c>
      <c r="G16" s="293">
        <v>43555</v>
      </c>
      <c r="H16" s="667" t="s">
        <v>326</v>
      </c>
      <c r="I16" s="666"/>
      <c r="J16" s="486">
        <v>43612</v>
      </c>
      <c r="K16" s="3"/>
      <c r="L16" s="3"/>
      <c r="M16" s="3"/>
    </row>
    <row r="17" spans="1:35" ht="3" customHeight="1">
      <c r="A17" s="3"/>
      <c r="B17" s="3"/>
      <c r="C17" s="3"/>
      <c r="D17" s="3"/>
      <c r="E17" s="3"/>
      <c r="F17" s="3"/>
      <c r="G17" s="3"/>
      <c r="H17" s="3"/>
      <c r="I17" s="3"/>
      <c r="J17" s="3"/>
      <c r="K17" s="3"/>
      <c r="L17" s="3"/>
      <c r="M17" s="3"/>
    </row>
    <row r="18" spans="1:35">
      <c r="A18" s="3"/>
      <c r="B18" s="665" t="s">
        <v>32</v>
      </c>
      <c r="C18" s="666"/>
      <c r="D18" s="646" t="s">
        <v>443</v>
      </c>
      <c r="E18" s="646"/>
      <c r="F18" s="646"/>
      <c r="G18" s="294"/>
      <c r="H18" s="294"/>
      <c r="I18" s="294"/>
      <c r="J18" s="294"/>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59" t="s">
        <v>363</v>
      </c>
      <c r="C21" s="659"/>
      <c r="D21" s="659"/>
      <c r="E21" s="659"/>
      <c r="F21" s="659"/>
      <c r="G21" s="659"/>
      <c r="H21" s="659"/>
      <c r="I21" s="659"/>
      <c r="J21" s="659"/>
      <c r="K21" s="3"/>
      <c r="L21" s="3"/>
      <c r="M21" s="3"/>
    </row>
    <row r="22" spans="1:35">
      <c r="A22" s="3"/>
      <c r="B22" s="291" t="s">
        <v>3</v>
      </c>
      <c r="C22" s="3"/>
      <c r="D22" s="3"/>
      <c r="E22" s="295"/>
      <c r="F22" s="295"/>
      <c r="G22" s="3"/>
      <c r="H22" s="3"/>
      <c r="I22" s="295"/>
      <c r="J22" s="295"/>
      <c r="K22" s="3"/>
      <c r="L22" s="3"/>
      <c r="M22" s="3"/>
    </row>
    <row r="23" spans="1:35" ht="3" customHeight="1">
      <c r="A23" s="3"/>
      <c r="B23" s="3"/>
      <c r="C23" s="3"/>
      <c r="D23" s="3"/>
      <c r="E23" s="3"/>
      <c r="F23" s="3"/>
      <c r="G23" s="3"/>
      <c r="H23" s="3"/>
      <c r="I23" s="3"/>
      <c r="J23" s="3"/>
      <c r="K23" s="3"/>
      <c r="L23" s="3"/>
      <c r="M23" s="3"/>
    </row>
    <row r="24" spans="1:35" ht="15.75" thickBot="1">
      <c r="A24" s="3"/>
      <c r="B24" s="288" t="s">
        <v>400</v>
      </c>
      <c r="C24" s="393"/>
      <c r="D24" s="672" t="s">
        <v>401</v>
      </c>
      <c r="E24" s="672"/>
      <c r="F24" s="394"/>
      <c r="G24" s="672" t="s">
        <v>402</v>
      </c>
      <c r="H24" s="672"/>
      <c r="I24" s="680"/>
      <c r="J24" s="681"/>
      <c r="K24" s="3"/>
      <c r="L24" s="3"/>
      <c r="M24" s="3"/>
      <c r="N24" s="20"/>
    </row>
    <row r="25" spans="1:35" ht="19.5" thickBot="1">
      <c r="A25" s="3"/>
      <c r="B25" s="87" t="s">
        <v>400</v>
      </c>
      <c r="C25" s="88"/>
      <c r="D25" s="88"/>
      <c r="E25" s="88"/>
      <c r="F25" s="88"/>
      <c r="G25" s="88"/>
      <c r="H25" s="274"/>
      <c r="I25" s="89"/>
      <c r="J25" s="89"/>
      <c r="K25" s="274" t="s">
        <v>327</v>
      </c>
      <c r="L25" s="88"/>
      <c r="M25" s="88"/>
      <c r="N25" s="414"/>
      <c r="O25" s="40"/>
      <c r="AI25" s="44"/>
    </row>
    <row r="26" spans="1:35">
      <c r="A26" s="3"/>
      <c r="B26" s="651" t="s">
        <v>371</v>
      </c>
      <c r="C26" s="652"/>
      <c r="D26" s="427" t="s">
        <v>19</v>
      </c>
      <c r="E26" s="91"/>
      <c r="F26" s="91"/>
      <c r="G26" s="91"/>
      <c r="H26" s="91"/>
      <c r="I26" s="91"/>
      <c r="J26" s="92"/>
      <c r="K26" s="91"/>
      <c r="L26" s="91"/>
      <c r="M26" s="91"/>
      <c r="N26" s="40"/>
      <c r="O26" s="40"/>
      <c r="AI26" s="44"/>
    </row>
    <row r="27" spans="1:35" ht="18.75">
      <c r="A27" s="3"/>
      <c r="B27" s="90" t="s">
        <v>381</v>
      </c>
      <c r="C27" s="91"/>
      <c r="D27" s="91"/>
      <c r="E27" s="91"/>
      <c r="F27" s="91"/>
      <c r="G27" s="91"/>
      <c r="H27" s="91"/>
      <c r="I27" s="91"/>
      <c r="J27" s="92"/>
      <c r="K27" s="91"/>
      <c r="L27" s="91"/>
      <c r="M27" s="91"/>
      <c r="N27" s="40"/>
      <c r="O27" s="40"/>
      <c r="AI27" s="44"/>
    </row>
    <row r="28" spans="1:35" ht="15.75" thickBot="1">
      <c r="A28" s="3"/>
      <c r="B28" s="3"/>
      <c r="C28" s="3"/>
      <c r="D28" s="3"/>
      <c r="E28" s="3"/>
      <c r="F28" s="3"/>
      <c r="G28" s="3"/>
      <c r="H28" s="3"/>
      <c r="I28" s="3"/>
      <c r="J28" s="3"/>
      <c r="K28" s="3"/>
      <c r="L28" s="3"/>
      <c r="M28" s="3"/>
    </row>
    <row r="29" spans="1:35" ht="15.75" thickBot="1">
      <c r="A29" s="3"/>
      <c r="B29" s="683" t="s">
        <v>60</v>
      </c>
      <c r="C29" s="684"/>
      <c r="D29" s="684"/>
      <c r="E29" s="684"/>
      <c r="F29" s="684"/>
      <c r="G29" s="684"/>
      <c r="H29" s="684"/>
      <c r="I29" s="684"/>
      <c r="J29" s="684"/>
      <c r="K29" s="684"/>
      <c r="L29" s="684"/>
      <c r="M29" s="684"/>
      <c r="N29" s="685"/>
      <c r="P29" s="211"/>
      <c r="Q29" s="212"/>
      <c r="R29" s="213">
        <f>+C33</f>
        <v>444558.86488592584</v>
      </c>
      <c r="S29" s="211"/>
    </row>
    <row r="30" spans="1:35">
      <c r="A30" s="3"/>
      <c r="B30" s="93" t="s">
        <v>268</v>
      </c>
      <c r="C30" s="374" t="s">
        <v>106</v>
      </c>
      <c r="D30" s="374" t="s">
        <v>107</v>
      </c>
      <c r="E30" s="374" t="s">
        <v>108</v>
      </c>
      <c r="F30" s="374" t="s">
        <v>109</v>
      </c>
      <c r="G30" s="374" t="s">
        <v>121</v>
      </c>
      <c r="H30" s="374" t="s">
        <v>122</v>
      </c>
      <c r="I30" s="374" t="s">
        <v>123</v>
      </c>
      <c r="J30" s="374" t="s">
        <v>124</v>
      </c>
      <c r="K30" s="374" t="s">
        <v>125</v>
      </c>
      <c r="L30" s="374" t="s">
        <v>126</v>
      </c>
      <c r="M30" s="374" t="s">
        <v>127</v>
      </c>
      <c r="N30" s="375" t="s">
        <v>288</v>
      </c>
      <c r="O30" s="376" t="s">
        <v>4</v>
      </c>
      <c r="P30" s="211"/>
      <c r="Q30" s="212"/>
      <c r="R30" s="213">
        <f>+D33</f>
        <v>2614252.7382121803</v>
      </c>
      <c r="S30" s="211"/>
    </row>
    <row r="31" spans="1:35">
      <c r="A31" s="3"/>
      <c r="B31" s="284" t="str">
        <f>CONCATENATE("Budget (in ",'Data Entry'!$D$26,")")</f>
        <v>Budget (in $)</v>
      </c>
      <c r="C31" s="386">
        <v>444558.86488592584</v>
      </c>
      <c r="D31" s="385">
        <v>2169693.8733262545</v>
      </c>
      <c r="E31" s="385">
        <v>1537816.9650550163</v>
      </c>
      <c r="F31" s="385">
        <v>1536942.7249900626</v>
      </c>
      <c r="G31" s="385">
        <v>705914.63009024388</v>
      </c>
      <c r="H31" s="385">
        <v>1524545.7024829609</v>
      </c>
      <c r="I31" s="385">
        <v>1108922.3783291313</v>
      </c>
      <c r="J31" s="385">
        <v>473041.77150525991</v>
      </c>
      <c r="K31" s="385">
        <v>515541.4678072643</v>
      </c>
      <c r="L31" s="385">
        <v>1002225.2847618536</v>
      </c>
      <c r="M31" s="385">
        <v>764900.50255428348</v>
      </c>
      <c r="N31" s="385">
        <v>341386.51477899484</v>
      </c>
      <c r="O31" s="599">
        <f>+SUM(C35:N35)</f>
        <v>0.80257439282066578</v>
      </c>
      <c r="P31" s="211"/>
      <c r="Q31" s="212"/>
      <c r="R31" s="213">
        <f>+E33</f>
        <v>4152069.7032671967</v>
      </c>
      <c r="S31" s="211"/>
    </row>
    <row r="32" spans="1:35">
      <c r="A32" s="3"/>
      <c r="B32" s="93" t="str">
        <f>CONCATENATE("Disbursements by GF (in ", $D$26,")")</f>
        <v>Disbursements by GF (in $)</v>
      </c>
      <c r="C32" s="386">
        <f>444559+428004</f>
        <v>872563</v>
      </c>
      <c r="D32" s="386"/>
      <c r="E32" s="386">
        <f>854012+2416543</f>
        <v>3270555</v>
      </c>
      <c r="F32" s="386">
        <f>1536942+25000</f>
        <v>1561942</v>
      </c>
      <c r="G32" s="386">
        <v>655915</v>
      </c>
      <c r="H32" s="386">
        <v>1524546</v>
      </c>
      <c r="I32" s="386">
        <v>0</v>
      </c>
      <c r="J32" s="385">
        <v>153849.34</v>
      </c>
      <c r="K32" s="385">
        <v>0</v>
      </c>
      <c r="L32" s="385"/>
      <c r="M32" s="385"/>
      <c r="N32" s="385"/>
      <c r="O32" s="600"/>
      <c r="P32" s="211"/>
      <c r="Q32" s="212"/>
      <c r="R32" s="213">
        <f>+F33</f>
        <v>5689012.4282572595</v>
      </c>
      <c r="S32" s="211"/>
    </row>
    <row r="33" spans="1:35">
      <c r="A33" s="3"/>
      <c r="B33" s="94" t="s">
        <v>387</v>
      </c>
      <c r="C33" s="387">
        <f>+C31</f>
        <v>444558.86488592584</v>
      </c>
      <c r="D33" s="387">
        <f>IF(AND(D31=0,D32=0),0,+C33+D31)</f>
        <v>2614252.7382121803</v>
      </c>
      <c r="E33" s="387">
        <f t="shared" ref="E33:N33" si="0">IF(AND(E31=0,E32=0),0,+D33+E31)</f>
        <v>4152069.7032671967</v>
      </c>
      <c r="F33" s="387">
        <f t="shared" si="0"/>
        <v>5689012.4282572595</v>
      </c>
      <c r="G33" s="387">
        <f>IF(AND(G31=0,G32=0),0,+F33+G31)</f>
        <v>6394927.0583475037</v>
      </c>
      <c r="H33" s="387">
        <f t="shared" si="0"/>
        <v>7919472.7608304648</v>
      </c>
      <c r="I33" s="387">
        <f t="shared" si="0"/>
        <v>9028395.1391595956</v>
      </c>
      <c r="J33" s="387">
        <f>IF(AND(J31=0,J32=0),0,+I33+J31)</f>
        <v>9501436.9106648564</v>
      </c>
      <c r="K33" s="387">
        <f t="shared" si="0"/>
        <v>10016978.378472121</v>
      </c>
      <c r="L33" s="387">
        <f t="shared" si="0"/>
        <v>11019203.663233975</v>
      </c>
      <c r="M33" s="387">
        <f t="shared" si="0"/>
        <v>11784104.165788259</v>
      </c>
      <c r="N33" s="387">
        <f t="shared" si="0"/>
        <v>12125490.680567253</v>
      </c>
      <c r="O33" s="600"/>
      <c r="P33" s="371"/>
      <c r="Q33" s="212"/>
      <c r="R33" s="213">
        <f>+G33</f>
        <v>6394927.0583475037</v>
      </c>
      <c r="S33" s="211"/>
    </row>
    <row r="34" spans="1:35" ht="15.75" thickBot="1">
      <c r="A34" s="3"/>
      <c r="B34" s="95" t="s">
        <v>388</v>
      </c>
      <c r="C34" s="388">
        <f>+C32</f>
        <v>872563</v>
      </c>
      <c r="D34" s="388">
        <f>IF(AND(D31=0,D32=0),0,+C34+D32)</f>
        <v>872563</v>
      </c>
      <c r="E34" s="388">
        <f t="shared" ref="E34:N34" si="1">IF(AND(E31=0,E32=0),0,+D34+E32)</f>
        <v>4143118</v>
      </c>
      <c r="F34" s="388">
        <f t="shared" si="1"/>
        <v>5705060</v>
      </c>
      <c r="G34" s="388">
        <f>IF(AND(G31=0,G32=0),0,+F34+G32)</f>
        <v>6360975</v>
      </c>
      <c r="H34" s="388">
        <f t="shared" si="1"/>
        <v>7885521</v>
      </c>
      <c r="I34" s="388">
        <f t="shared" si="1"/>
        <v>7885521</v>
      </c>
      <c r="J34" s="388">
        <f t="shared" si="1"/>
        <v>8039370.3399999999</v>
      </c>
      <c r="K34" s="388">
        <f t="shared" si="1"/>
        <v>8039370.3399999999</v>
      </c>
      <c r="L34" s="388">
        <f t="shared" si="1"/>
        <v>8039370.3399999999</v>
      </c>
      <c r="M34" s="388">
        <f t="shared" si="1"/>
        <v>8039370.3399999999</v>
      </c>
      <c r="N34" s="388">
        <f t="shared" si="1"/>
        <v>8039370.3399999999</v>
      </c>
      <c r="O34" s="601"/>
      <c r="P34" s="371"/>
      <c r="Q34" s="212"/>
      <c r="R34" s="213">
        <f>+H33</f>
        <v>7919472.7608304648</v>
      </c>
      <c r="S34" s="211"/>
    </row>
    <row r="35" spans="1:35">
      <c r="A35" s="3"/>
      <c r="B35" s="3"/>
      <c r="C35" s="348">
        <f>+IF(AND(C30=$C$16,C33&lt;&gt;0),C34/C33,0)</f>
        <v>0</v>
      </c>
      <c r="D35" s="348">
        <f t="shared" ref="D35:N35" si="2">+IF(AND(D30=$C$16,D33&lt;&gt;0),D34/D33,0)</f>
        <v>0</v>
      </c>
      <c r="E35" s="348">
        <f t="shared" si="2"/>
        <v>0</v>
      </c>
      <c r="F35" s="348">
        <f t="shared" si="2"/>
        <v>0</v>
      </c>
      <c r="G35" s="348">
        <f t="shared" si="2"/>
        <v>0</v>
      </c>
      <c r="H35" s="348">
        <f t="shared" si="2"/>
        <v>0</v>
      </c>
      <c r="I35" s="348">
        <f t="shared" si="2"/>
        <v>0</v>
      </c>
      <c r="J35" s="348">
        <f t="shared" si="2"/>
        <v>0</v>
      </c>
      <c r="K35" s="348">
        <f t="shared" si="2"/>
        <v>0.80257439282066578</v>
      </c>
      <c r="L35" s="348">
        <f t="shared" si="2"/>
        <v>0</v>
      </c>
      <c r="M35" s="348">
        <f t="shared" si="2"/>
        <v>0</v>
      </c>
      <c r="N35" s="348">
        <f t="shared" si="2"/>
        <v>0</v>
      </c>
      <c r="O35" s="296"/>
      <c r="P35" s="214"/>
      <c r="Q35" s="215"/>
      <c r="R35" s="213">
        <f>+I33</f>
        <v>9028395.1391595956</v>
      </c>
      <c r="S35" s="211"/>
    </row>
    <row r="36" spans="1:35" ht="18.75">
      <c r="A36" s="3"/>
      <c r="B36" s="90" t="s">
        <v>380</v>
      </c>
      <c r="C36" s="3"/>
      <c r="D36" s="3"/>
      <c r="E36" s="362"/>
      <c r="F36" s="3"/>
      <c r="G36" s="265"/>
      <c r="H36" s="3"/>
      <c r="I36" s="3"/>
      <c r="J36" s="3"/>
      <c r="K36" s="3"/>
      <c r="L36" s="3"/>
      <c r="M36" s="3"/>
      <c r="N36" s="41"/>
      <c r="O36" s="41"/>
      <c r="AI36" s="20"/>
    </row>
    <row r="37" spans="1:35" ht="15.75" thickBot="1">
      <c r="A37" s="3"/>
      <c r="B37" s="3"/>
      <c r="C37" s="3"/>
      <c r="D37" s="3"/>
      <c r="E37" s="3"/>
      <c r="F37" s="3"/>
      <c r="G37" s="3"/>
      <c r="H37" s="3"/>
      <c r="I37" s="3"/>
      <c r="J37" s="3"/>
      <c r="K37" s="3"/>
      <c r="L37" s="3"/>
      <c r="M37" s="3"/>
      <c r="N37" s="39"/>
      <c r="O37" s="39"/>
    </row>
    <row r="38" spans="1:35" ht="30" customHeight="1">
      <c r="A38" s="3"/>
      <c r="B38" s="397" t="s">
        <v>404</v>
      </c>
      <c r="C38" s="398" t="str">
        <f>CONCATENATE("Cumulative Budget (in ",'Data Entry'!$D$26,")")</f>
        <v>Cumulative Budget (in $)</v>
      </c>
      <c r="D38" s="399" t="str">
        <f>CONCATENATE("Cumulative Expenditures (in ",'Data Entry'!$D$26,")")</f>
        <v>Cumulative Expenditures (in $)</v>
      </c>
      <c r="E38" s="280"/>
      <c r="F38" s="481" t="s">
        <v>422</v>
      </c>
      <c r="G38" s="3"/>
      <c r="H38" s="3"/>
      <c r="I38" s="3"/>
      <c r="J38" s="101"/>
      <c r="K38" s="42"/>
      <c r="N38"/>
      <c r="O38"/>
      <c r="AE38" s="20"/>
      <c r="AF38" s="36"/>
    </row>
    <row r="39" spans="1:35" ht="27.75" customHeight="1">
      <c r="A39" s="3"/>
      <c r="B39" s="400" t="s">
        <v>436</v>
      </c>
      <c r="C39" s="396">
        <v>6910640.4257468926</v>
      </c>
      <c r="D39" s="488">
        <v>4214230.2516973177</v>
      </c>
      <c r="E39" s="372"/>
      <c r="F39" s="487"/>
      <c r="G39" s="373"/>
      <c r="H39" s="3"/>
      <c r="I39" s="205"/>
      <c r="J39" s="102"/>
      <c r="K39" s="43"/>
      <c r="N39"/>
      <c r="O39"/>
      <c r="AE39" s="20"/>
      <c r="AF39" s="36"/>
    </row>
    <row r="40" spans="1:35" ht="14.25" customHeight="1">
      <c r="A40" s="3"/>
      <c r="B40" s="400" t="s">
        <v>437</v>
      </c>
      <c r="C40" s="396">
        <v>866946.43058141053</v>
      </c>
      <c r="D40" s="488">
        <v>683498.29971826402</v>
      </c>
      <c r="E40" s="372"/>
      <c r="F40" s="487"/>
      <c r="G40" s="373"/>
      <c r="H40" s="3"/>
      <c r="I40" s="205"/>
      <c r="J40" s="3"/>
      <c r="K40" s="43"/>
      <c r="N40"/>
      <c r="O40"/>
      <c r="AE40" s="20"/>
      <c r="AF40" s="36"/>
    </row>
    <row r="41" spans="1:35" ht="18" customHeight="1">
      <c r="A41" s="3"/>
      <c r="B41" s="402" t="s">
        <v>438</v>
      </c>
      <c r="C41" s="396">
        <v>169123.93047318066</v>
      </c>
      <c r="D41" s="488">
        <v>98272.608944583073</v>
      </c>
      <c r="E41" s="372"/>
      <c r="F41" s="487"/>
      <c r="G41" s="3"/>
      <c r="H41" s="3"/>
      <c r="I41" s="205"/>
      <c r="J41" s="3"/>
      <c r="K41" s="43"/>
      <c r="N41"/>
      <c r="O41"/>
      <c r="AE41" s="20"/>
      <c r="AF41" s="36"/>
    </row>
    <row r="42" spans="1:35" ht="27" customHeight="1">
      <c r="A42" s="3"/>
      <c r="B42" s="400" t="s">
        <v>439</v>
      </c>
      <c r="C42" s="396">
        <v>712801.61045932723</v>
      </c>
      <c r="D42" s="488">
        <v>242278.03299851966</v>
      </c>
      <c r="E42" s="372"/>
      <c r="F42" s="487"/>
      <c r="G42" s="3"/>
      <c r="H42" s="3"/>
      <c r="I42" s="205"/>
      <c r="J42" s="3"/>
      <c r="K42" s="20"/>
      <c r="N42"/>
      <c r="O42"/>
      <c r="AE42" s="20"/>
      <c r="AF42" s="36"/>
    </row>
    <row r="43" spans="1:35">
      <c r="A43" s="3"/>
      <c r="B43" s="402" t="s">
        <v>440</v>
      </c>
      <c r="C43" s="396">
        <v>738311.50699164474</v>
      </c>
      <c r="D43" s="488">
        <v>307116.21758435492</v>
      </c>
      <c r="E43" s="372"/>
      <c r="F43" s="487"/>
      <c r="G43" s="3"/>
      <c r="H43" s="3"/>
      <c r="I43" s="205"/>
      <c r="J43" s="3"/>
      <c r="K43" s="20"/>
      <c r="N43"/>
      <c r="O43"/>
      <c r="AE43" s="20"/>
      <c r="AF43" s="36"/>
    </row>
    <row r="44" spans="1:35">
      <c r="A44" s="3"/>
      <c r="B44" s="402" t="s">
        <v>441</v>
      </c>
      <c r="C44" s="396">
        <v>400352.74254296726</v>
      </c>
      <c r="D44" s="488">
        <v>316783.89190046926</v>
      </c>
      <c r="E44" s="372"/>
      <c r="F44" s="487"/>
      <c r="G44" s="3"/>
      <c r="H44" s="3"/>
      <c r="I44" s="205"/>
      <c r="J44" s="3"/>
      <c r="K44" s="20"/>
      <c r="N44"/>
      <c r="O44"/>
      <c r="AE44" s="20"/>
      <c r="AF44" s="36"/>
    </row>
    <row r="45" spans="1:35">
      <c r="A45" s="3"/>
      <c r="B45" s="402" t="s">
        <v>442</v>
      </c>
      <c r="C45" s="396">
        <v>218801.73167669598</v>
      </c>
      <c r="D45" s="488">
        <v>951.39810603236162</v>
      </c>
      <c r="E45" s="372"/>
      <c r="F45" s="487"/>
      <c r="G45" s="15"/>
      <c r="H45" s="15"/>
      <c r="I45" s="205"/>
      <c r="J45" s="15"/>
      <c r="K45" s="20"/>
      <c r="N45"/>
      <c r="O45"/>
      <c r="AE45" s="36"/>
      <c r="AF45" s="36"/>
    </row>
    <row r="46" spans="1:35" ht="15.75" thickBot="1">
      <c r="A46" s="3"/>
      <c r="B46" s="403"/>
      <c r="C46" s="395"/>
      <c r="D46" s="401"/>
      <c r="E46" s="372"/>
      <c r="F46" s="372"/>
      <c r="G46" s="15"/>
      <c r="H46" s="15"/>
      <c r="I46" s="15"/>
      <c r="J46" s="15"/>
      <c r="K46" s="20"/>
      <c r="N46"/>
      <c r="O46"/>
      <c r="AE46" s="36"/>
      <c r="AF46" s="36"/>
    </row>
    <row r="47" spans="1:35" ht="15.75" thickBot="1">
      <c r="A47" s="3"/>
      <c r="B47" s="404" t="s">
        <v>59</v>
      </c>
      <c r="C47" s="405">
        <f>ROUNDUP(SUM(C39:C46),2)</f>
        <v>10016978.379999999</v>
      </c>
      <c r="D47" s="405">
        <f>ROUNDUP(SUM(D39:D46),2)</f>
        <v>5863130.71</v>
      </c>
      <c r="E47" s="296"/>
      <c r="F47" s="609" t="str">
        <f ca="1">+IF((ROUND(C47,0)=ROUND(OFFSET(B33,0,RIGHT('Data Entry'!$C$16,LEN('Data Entry'!$C$16)-1),1,1),0)),"OK: Data match","Warning: Data does not match")</f>
        <v>OK: Data match</v>
      </c>
      <c r="G47" s="610"/>
      <c r="H47" s="610"/>
      <c r="I47" s="611"/>
      <c r="J47" s="205"/>
      <c r="K47" s="205"/>
      <c r="L47" s="205"/>
      <c r="M47" s="214"/>
      <c r="N47" s="215"/>
      <c r="O47" s="213"/>
      <c r="P47" s="211"/>
      <c r="AE47" s="36"/>
      <c r="AF47" s="36"/>
    </row>
    <row r="48" spans="1:35">
      <c r="A48" s="3"/>
      <c r="B48" s="3"/>
      <c r="C48" s="205"/>
      <c r="D48" s="205"/>
      <c r="E48" s="277"/>
      <c r="F48" s="205"/>
      <c r="G48" s="205"/>
      <c r="H48" s="205"/>
      <c r="I48" s="205"/>
      <c r="J48" s="205"/>
      <c r="K48" s="205"/>
      <c r="L48" s="205"/>
      <c r="M48" s="205"/>
      <c r="N48" s="205"/>
      <c r="O48" s="205"/>
      <c r="P48" s="214"/>
      <c r="Q48" s="215"/>
      <c r="R48" s="213"/>
      <c r="S48" s="211"/>
    </row>
    <row r="49" spans="1:35" ht="18.75">
      <c r="A49" s="3"/>
      <c r="B49" s="90" t="s">
        <v>379</v>
      </c>
      <c r="C49" s="3"/>
      <c r="D49" s="3"/>
      <c r="E49" s="3"/>
      <c r="F49" s="3"/>
      <c r="G49" s="3"/>
      <c r="H49" s="3"/>
      <c r="I49" s="3"/>
      <c r="J49" s="3"/>
      <c r="K49" s="3"/>
      <c r="L49" s="3"/>
      <c r="M49" s="3"/>
      <c r="P49" s="211"/>
      <c r="Q49" s="212"/>
      <c r="R49" s="213">
        <f>+J33</f>
        <v>9501436.9106648564</v>
      </c>
      <c r="S49" s="211"/>
    </row>
    <row r="50" spans="1:35" ht="15.75" thickBot="1">
      <c r="A50" s="3"/>
      <c r="B50" s="3"/>
      <c r="C50" s="3"/>
      <c r="D50" s="3"/>
      <c r="E50" s="3"/>
      <c r="F50" s="3"/>
      <c r="G50" s="3"/>
      <c r="H50" s="3"/>
      <c r="I50" s="3"/>
      <c r="J50" s="3"/>
      <c r="K50" s="3"/>
      <c r="L50" s="3"/>
      <c r="M50" s="3"/>
      <c r="P50" s="211"/>
      <c r="Q50" s="212"/>
      <c r="R50" s="213">
        <f>+K33</f>
        <v>10016978.378472121</v>
      </c>
      <c r="S50" s="211"/>
    </row>
    <row r="51" spans="1:35" ht="35.25" customHeight="1">
      <c r="A51" s="3"/>
      <c r="B51" s="301"/>
      <c r="C51" s="302" t="s">
        <v>377</v>
      </c>
      <c r="D51" s="302" t="s">
        <v>378</v>
      </c>
      <c r="E51" s="420" t="str">
        <f>CONCATENATE("Total Spent and Disbursement (in ",D26,")")</f>
        <v>Total Spent and Disbursement (in $)</v>
      </c>
      <c r="F51" s="3"/>
      <c r="G51" s="482"/>
      <c r="H51" s="298"/>
      <c r="I51" s="285"/>
      <c r="J51" s="285"/>
      <c r="K51" s="285"/>
      <c r="L51" s="285"/>
      <c r="M51" s="22"/>
      <c r="N51" s="22"/>
      <c r="O51" s="211"/>
      <c r="P51" s="212"/>
      <c r="Q51" s="213">
        <f>+M33</f>
        <v>11784104.165788259</v>
      </c>
      <c r="R51" s="211"/>
      <c r="AH51" s="20"/>
    </row>
    <row r="52" spans="1:35">
      <c r="A52" s="3"/>
      <c r="B52" s="299" t="s">
        <v>312</v>
      </c>
      <c r="C52" s="396">
        <f>C32+E32+D32+F32+G32+H325+H32+I32+J32</f>
        <v>8039370.3399999999</v>
      </c>
      <c r="D52" s="401">
        <f>K32</f>
        <v>0</v>
      </c>
      <c r="E52" s="389">
        <f>+D52+C52</f>
        <v>8039370.3399999999</v>
      </c>
      <c r="F52" s="3"/>
      <c r="G52" s="97"/>
      <c r="H52" s="483"/>
      <c r="I52" s="96"/>
      <c r="J52" s="208"/>
      <c r="K52" s="209"/>
      <c r="L52" s="98"/>
      <c r="M52" s="37"/>
      <c r="N52" s="37"/>
      <c r="O52" s="211"/>
      <c r="P52" s="211"/>
      <c r="Q52" s="211"/>
      <c r="R52" s="211"/>
      <c r="AH52" s="20"/>
    </row>
    <row r="53" spans="1:35">
      <c r="A53" s="3"/>
      <c r="B53" s="299" t="s">
        <v>291</v>
      </c>
      <c r="C53" s="396">
        <v>4742753.0747971553</v>
      </c>
      <c r="D53" s="401">
        <v>232857.88028962218</v>
      </c>
      <c r="E53" s="389">
        <f>+D53+C53</f>
        <v>4975610.9550867779</v>
      </c>
      <c r="F53" s="205"/>
      <c r="G53" s="3"/>
      <c r="H53" s="303"/>
      <c r="I53" s="96"/>
      <c r="J53" s="208"/>
      <c r="K53" s="208"/>
      <c r="L53" s="98"/>
      <c r="M53" s="38"/>
      <c r="N53" s="38"/>
      <c r="O53" s="211"/>
      <c r="P53" s="211"/>
      <c r="Q53" s="211"/>
      <c r="R53" s="211"/>
      <c r="AH53" s="20"/>
    </row>
    <row r="54" spans="1:35">
      <c r="A54" s="3"/>
      <c r="B54" s="299" t="s">
        <v>270</v>
      </c>
      <c r="C54" s="396">
        <v>810342.00474567548</v>
      </c>
      <c r="D54" s="401">
        <v>77178.003253871808</v>
      </c>
      <c r="E54" s="389">
        <f>+D54+C54</f>
        <v>887520.00799954729</v>
      </c>
      <c r="F54" s="205"/>
      <c r="G54" s="97"/>
      <c r="H54" s="303"/>
      <c r="I54" s="96"/>
      <c r="J54" s="208"/>
      <c r="K54" s="209"/>
      <c r="L54" s="98"/>
      <c r="M54" s="37"/>
      <c r="N54" s="37"/>
      <c r="O54"/>
      <c r="AH54" s="20"/>
    </row>
    <row r="55" spans="1:35" ht="15.75" thickBot="1">
      <c r="A55" s="3"/>
      <c r="B55" s="300" t="s">
        <v>271</v>
      </c>
      <c r="C55" s="396">
        <v>865134.21</v>
      </c>
      <c r="D55" s="401">
        <v>87940</v>
      </c>
      <c r="E55" s="390">
        <f>+D55+C55</f>
        <v>953074.21</v>
      </c>
      <c r="F55" s="205"/>
      <c r="G55" s="260"/>
      <c r="H55" s="304"/>
      <c r="I55" s="99"/>
      <c r="J55" s="99"/>
      <c r="K55" s="99"/>
      <c r="L55" s="98"/>
      <c r="M55" s="38"/>
      <c r="N55" s="38"/>
      <c r="O55"/>
      <c r="AH55" s="20"/>
    </row>
    <row r="56" spans="1:35" ht="15.75" customHeight="1">
      <c r="A56" s="3"/>
      <c r="B56" s="3"/>
      <c r="C56" s="3"/>
      <c r="D56" s="3"/>
      <c r="E56" s="3"/>
      <c r="F56" s="3"/>
      <c r="G56" s="3"/>
      <c r="H56" s="3"/>
      <c r="I56" s="3"/>
      <c r="J56" s="3"/>
      <c r="K56" s="3"/>
      <c r="L56" s="3"/>
      <c r="M56" s="3"/>
      <c r="AI56" s="20"/>
    </row>
    <row r="57" spans="1:35">
      <c r="A57" s="3"/>
      <c r="B57" s="3"/>
      <c r="C57" s="3"/>
      <c r="D57" s="283"/>
      <c r="E57" s="3"/>
      <c r="F57" s="3"/>
      <c r="G57" s="3"/>
      <c r="H57" s="3"/>
      <c r="I57" s="3"/>
      <c r="J57" s="3"/>
      <c r="K57" s="3"/>
      <c r="L57" s="3"/>
      <c r="M57" s="3"/>
    </row>
    <row r="58" spans="1:35" ht="18.75">
      <c r="A58" s="3"/>
      <c r="B58" s="90" t="s">
        <v>382</v>
      </c>
      <c r="C58" s="3"/>
      <c r="D58" s="3"/>
      <c r="E58" s="3"/>
      <c r="F58" s="3"/>
      <c r="G58" s="3"/>
      <c r="H58" s="3"/>
      <c r="I58" s="3"/>
      <c r="J58" s="3"/>
      <c r="K58" s="3"/>
      <c r="L58" s="3"/>
      <c r="M58" s="3"/>
    </row>
    <row r="59" spans="1:35" ht="15.75" thickBot="1">
      <c r="A59" s="3"/>
      <c r="B59" s="3"/>
      <c r="C59" s="3"/>
      <c r="D59" s="3"/>
      <c r="E59" s="3"/>
      <c r="F59" s="3"/>
      <c r="G59" s="3"/>
      <c r="H59" s="3"/>
      <c r="I59" s="3"/>
      <c r="J59" s="3"/>
      <c r="K59" s="3"/>
      <c r="L59" s="3"/>
      <c r="M59" s="3"/>
    </row>
    <row r="60" spans="1:35">
      <c r="A60" s="3"/>
      <c r="B60" s="692" t="s">
        <v>347</v>
      </c>
      <c r="C60" s="693"/>
      <c r="D60" s="694"/>
      <c r="E60" s="3"/>
      <c r="F60" s="3"/>
      <c r="G60" s="3"/>
      <c r="H60" s="3"/>
      <c r="I60" s="3"/>
      <c r="J60" s="3"/>
      <c r="K60" s="3"/>
      <c r="L60" s="3"/>
      <c r="M60" s="36"/>
      <c r="O60"/>
    </row>
    <row r="61" spans="1:35">
      <c r="A61" s="3"/>
      <c r="B61" s="103"/>
      <c r="C61" s="306" t="s">
        <v>61</v>
      </c>
      <c r="D61" s="307" t="s">
        <v>62</v>
      </c>
      <c r="E61" s="3"/>
      <c r="F61" s="3"/>
      <c r="G61" s="3"/>
      <c r="H61" s="3"/>
      <c r="I61" s="3"/>
      <c r="J61" s="3"/>
      <c r="K61" s="3"/>
      <c r="L61" s="3"/>
      <c r="M61" s="36"/>
      <c r="O61"/>
    </row>
    <row r="62" spans="1:35">
      <c r="A62" s="3"/>
      <c r="B62" s="104" t="s">
        <v>1</v>
      </c>
      <c r="C62" s="396">
        <v>60</v>
      </c>
      <c r="D62" s="396">
        <v>60</v>
      </c>
      <c r="E62" s="3"/>
      <c r="F62" s="3"/>
      <c r="G62" s="3"/>
      <c r="H62" s="3"/>
      <c r="I62" s="3"/>
      <c r="J62" s="3"/>
      <c r="K62" s="3"/>
      <c r="L62" s="3"/>
      <c r="M62" s="36"/>
      <c r="O62"/>
    </row>
    <row r="63" spans="1:35">
      <c r="A63" s="3"/>
      <c r="B63" s="305" t="s">
        <v>364</v>
      </c>
      <c r="C63" s="396">
        <v>45</v>
      </c>
      <c r="D63" s="485" t="s">
        <v>424</v>
      </c>
      <c r="E63" s="3"/>
      <c r="F63" s="3"/>
      <c r="G63" s="3"/>
      <c r="H63" s="303"/>
      <c r="I63" s="303"/>
      <c r="J63" s="3"/>
      <c r="K63" s="3"/>
      <c r="L63" s="3"/>
      <c r="M63" s="36"/>
      <c r="O63"/>
    </row>
    <row r="64" spans="1:35" ht="15.75" thickBot="1">
      <c r="A64" s="3"/>
      <c r="B64" s="105" t="s">
        <v>365</v>
      </c>
      <c r="C64" s="396">
        <v>5</v>
      </c>
      <c r="D64" s="401">
        <v>3</v>
      </c>
      <c r="E64" s="3"/>
      <c r="F64" s="3"/>
      <c r="G64" s="3"/>
      <c r="H64" s="303"/>
      <c r="I64" s="303"/>
      <c r="J64" s="3"/>
      <c r="K64" s="3"/>
      <c r="L64" s="3"/>
      <c r="M64" s="36"/>
      <c r="O64"/>
    </row>
    <row r="65" spans="1:30">
      <c r="A65" s="3"/>
      <c r="B65" s="3"/>
      <c r="C65" s="3"/>
      <c r="D65" s="3"/>
      <c r="E65" s="3"/>
      <c r="F65" s="3"/>
      <c r="G65" s="3"/>
      <c r="H65" s="3"/>
      <c r="I65" s="3"/>
      <c r="J65" s="3"/>
      <c r="K65" s="3"/>
      <c r="L65" s="3"/>
      <c r="M65" s="3"/>
    </row>
    <row r="66" spans="1:30" ht="15.75" thickBot="1">
      <c r="A66" s="3"/>
      <c r="B66" s="3"/>
      <c r="C66" s="3"/>
      <c r="D66" s="3"/>
      <c r="E66" s="3"/>
      <c r="F66" s="3"/>
      <c r="G66" s="3"/>
      <c r="H66" s="3"/>
      <c r="I66" s="3"/>
      <c r="J66" s="3"/>
      <c r="K66" s="3"/>
      <c r="L66" s="416"/>
      <c r="M66" s="3"/>
      <c r="AC66" s="19"/>
      <c r="AD66" s="19"/>
    </row>
    <row r="67" spans="1:30" ht="19.5" thickBot="1">
      <c r="A67" s="3"/>
      <c r="B67" s="106" t="s">
        <v>264</v>
      </c>
      <c r="C67" s="107"/>
      <c r="D67" s="107"/>
      <c r="E67" s="107"/>
      <c r="F67" s="107"/>
      <c r="G67" s="107"/>
      <c r="H67" s="331" t="s">
        <v>305</v>
      </c>
      <c r="I67" s="107"/>
      <c r="J67" s="108"/>
      <c r="K67" s="108"/>
      <c r="L67" s="417"/>
      <c r="M67" s="418"/>
      <c r="N67" s="84"/>
      <c r="O67" s="84"/>
      <c r="P67" s="84"/>
      <c r="S67" s="44"/>
      <c r="AC67" s="19"/>
      <c r="AD67" s="19"/>
    </row>
    <row r="68" spans="1:30" ht="18.75">
      <c r="A68" s="3"/>
      <c r="B68" s="110"/>
      <c r="C68" s="109"/>
      <c r="D68" s="109"/>
      <c r="E68" s="109"/>
      <c r="F68" s="109"/>
      <c r="G68" s="109"/>
      <c r="H68" s="109"/>
      <c r="I68" s="109"/>
      <c r="J68" s="109"/>
      <c r="K68" s="111"/>
      <c r="L68" s="111"/>
      <c r="M68" s="109"/>
      <c r="N68" s="84"/>
      <c r="O68" s="84"/>
      <c r="P68" s="84"/>
      <c r="S68" s="44"/>
      <c r="AC68" s="19"/>
      <c r="AD68" s="19"/>
    </row>
    <row r="69" spans="1:30" ht="18.75">
      <c r="A69" s="3"/>
      <c r="B69" s="110" t="s">
        <v>383</v>
      </c>
      <c r="C69" s="109"/>
      <c r="D69" s="109"/>
      <c r="E69" s="109"/>
      <c r="F69" s="109"/>
      <c r="G69" s="109"/>
      <c r="H69" s="109"/>
      <c r="I69" s="109"/>
      <c r="J69" s="109"/>
      <c r="K69" s="111"/>
      <c r="L69" s="111"/>
      <c r="M69" s="109"/>
      <c r="N69" s="84"/>
      <c r="O69" s="84"/>
      <c r="P69" s="84"/>
      <c r="S69" s="44"/>
      <c r="AC69" s="19"/>
      <c r="AD69" s="19"/>
    </row>
    <row r="70" spans="1:30" ht="15.75" thickBot="1">
      <c r="A70" s="3"/>
      <c r="B70" s="2"/>
      <c r="C70" s="112"/>
      <c r="D70" s="112"/>
      <c r="E70" s="112"/>
      <c r="F70" s="112"/>
      <c r="G70" s="112"/>
      <c r="H70" s="2"/>
      <c r="I70" s="112"/>
      <c r="J70" s="2"/>
      <c r="K70" s="2"/>
      <c r="L70" s="2"/>
      <c r="M70" s="2"/>
      <c r="N70" s="20"/>
      <c r="O70" s="19"/>
      <c r="P70" s="19"/>
      <c r="Q70" s="19"/>
      <c r="R70" s="19"/>
      <c r="S70" s="19"/>
      <c r="AD70" s="19"/>
    </row>
    <row r="71" spans="1:30" ht="30">
      <c r="A71" s="3"/>
      <c r="B71" s="649"/>
      <c r="C71" s="650"/>
      <c r="D71" s="114" t="s">
        <v>118</v>
      </c>
      <c r="E71" s="115" t="s">
        <v>297</v>
      </c>
      <c r="F71" s="115" t="s">
        <v>119</v>
      </c>
      <c r="G71" s="116" t="s">
        <v>59</v>
      </c>
      <c r="H71" s="315"/>
      <c r="I71" s="316"/>
      <c r="J71" s="15"/>
      <c r="K71" s="2"/>
      <c r="L71" s="2"/>
      <c r="M71" s="2"/>
      <c r="N71" s="20"/>
      <c r="O71" s="19"/>
      <c r="P71" s="19"/>
      <c r="Q71" s="19"/>
      <c r="R71" s="19"/>
      <c r="S71" s="19"/>
    </row>
    <row r="72" spans="1:30">
      <c r="A72" s="3"/>
      <c r="B72" s="660" t="s">
        <v>403</v>
      </c>
      <c r="C72" s="661"/>
      <c r="D72" s="262">
        <v>6</v>
      </c>
      <c r="E72" s="262">
        <v>0</v>
      </c>
      <c r="F72" s="262">
        <v>0</v>
      </c>
      <c r="G72" s="118">
        <v>6</v>
      </c>
      <c r="H72" s="297"/>
      <c r="I72" s="314"/>
      <c r="J72" s="314"/>
      <c r="K72" s="2"/>
      <c r="L72" s="2"/>
      <c r="M72" s="2"/>
      <c r="N72" s="20"/>
      <c r="O72" s="19"/>
      <c r="P72" s="19"/>
      <c r="Q72" s="19"/>
      <c r="R72" s="19"/>
      <c r="S72" s="19"/>
    </row>
    <row r="73" spans="1:30" ht="15.75" thickBot="1">
      <c r="A73" s="3"/>
      <c r="B73" s="699" t="s">
        <v>11</v>
      </c>
      <c r="C73" s="700"/>
      <c r="D73" s="263">
        <v>5</v>
      </c>
      <c r="E73" s="263">
        <v>1</v>
      </c>
      <c r="F73" s="263">
        <v>0</v>
      </c>
      <c r="G73" s="120">
        <f>SUM(D73:F73)</f>
        <v>6</v>
      </c>
      <c r="H73" s="297"/>
      <c r="I73" s="15"/>
      <c r="J73" s="15"/>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Q74" s="19"/>
      <c r="R74" s="19"/>
      <c r="S74" s="19"/>
    </row>
    <row r="75" spans="1:30">
      <c r="A75" s="3"/>
      <c r="B75" s="2"/>
      <c r="C75" s="2"/>
      <c r="D75" s="2"/>
      <c r="E75" s="2"/>
      <c r="F75" s="2"/>
      <c r="G75" s="2"/>
      <c r="H75" s="2"/>
      <c r="I75" s="2"/>
      <c r="J75" s="2"/>
      <c r="K75" s="2"/>
      <c r="L75" s="2"/>
      <c r="M75" s="2"/>
      <c r="N75" s="19"/>
      <c r="O75" s="19"/>
      <c r="P75" s="19"/>
      <c r="S75" s="19"/>
    </row>
    <row r="76" spans="1:30" ht="18.75">
      <c r="A76" s="3"/>
      <c r="B76" s="110" t="s">
        <v>384</v>
      </c>
      <c r="C76" s="2"/>
      <c r="D76" s="2"/>
      <c r="E76" s="2"/>
      <c r="F76" s="2"/>
      <c r="G76" s="2"/>
      <c r="H76" s="2"/>
      <c r="I76" s="2"/>
      <c r="J76" s="2"/>
      <c r="K76" s="2"/>
      <c r="L76" s="2"/>
      <c r="M76" s="2"/>
      <c r="N76" s="19"/>
      <c r="O76" s="19"/>
      <c r="P76" s="19"/>
      <c r="S76" s="19"/>
    </row>
    <row r="77" spans="1:30" ht="15.75" thickBot="1">
      <c r="A77" s="3"/>
      <c r="B77" s="2"/>
      <c r="C77" s="2"/>
      <c r="D77" s="2"/>
      <c r="E77" s="2"/>
      <c r="F77" s="2"/>
      <c r="G77" s="2"/>
      <c r="H77" s="2"/>
      <c r="I77" s="2"/>
      <c r="J77" s="2"/>
      <c r="K77" s="2"/>
      <c r="L77" s="2"/>
      <c r="M77" s="2"/>
      <c r="N77" s="19"/>
      <c r="O77" s="19"/>
      <c r="P77" s="19"/>
      <c r="S77" s="19"/>
    </row>
    <row r="78" spans="1:30">
      <c r="A78" s="3"/>
      <c r="B78" s="121"/>
      <c r="C78" s="113" t="s">
        <v>64</v>
      </c>
      <c r="D78" s="113" t="s">
        <v>82</v>
      </c>
      <c r="E78" s="122" t="s">
        <v>65</v>
      </c>
      <c r="F78" s="15"/>
      <c r="G78" s="15"/>
      <c r="H78" s="15"/>
      <c r="I78" s="316"/>
      <c r="J78" s="2"/>
      <c r="K78" s="2"/>
      <c r="L78" s="2"/>
      <c r="M78" s="2"/>
      <c r="N78" s="19"/>
      <c r="O78" s="19"/>
      <c r="P78" s="19"/>
      <c r="S78" s="19"/>
    </row>
    <row r="79" spans="1:30" ht="15.75" thickBot="1">
      <c r="A79" s="3"/>
      <c r="B79" s="123" t="s">
        <v>313</v>
      </c>
      <c r="C79" s="363">
        <v>11</v>
      </c>
      <c r="D79" s="363">
        <v>11</v>
      </c>
      <c r="E79" s="364">
        <f>+C79-D79</f>
        <v>0</v>
      </c>
      <c r="F79" s="270"/>
      <c r="G79" s="278"/>
      <c r="H79" s="15"/>
      <c r="I79" s="314"/>
      <c r="J79" s="2"/>
      <c r="K79" s="2"/>
      <c r="L79" s="2"/>
      <c r="M79" s="2"/>
      <c r="N79" s="19"/>
      <c r="O79" s="19"/>
      <c r="P79" s="19"/>
      <c r="S79" s="19"/>
    </row>
    <row r="80" spans="1:30">
      <c r="A80" s="3"/>
      <c r="B80" s="2"/>
      <c r="C80" s="2"/>
      <c r="D80" s="2"/>
      <c r="E80" s="2"/>
      <c r="F80" s="2"/>
      <c r="G80" s="2"/>
      <c r="H80" s="2"/>
      <c r="I80" s="2"/>
      <c r="J80" s="2"/>
      <c r="K80" s="2"/>
      <c r="L80" s="2"/>
      <c r="M80" s="2"/>
      <c r="N80" s="19"/>
      <c r="O80" s="19"/>
      <c r="P80" s="19"/>
      <c r="S80" s="19"/>
    </row>
    <row r="81" spans="1:36" ht="18.75">
      <c r="A81" s="3"/>
      <c r="B81" s="110" t="s">
        <v>389</v>
      </c>
      <c r="C81" s="2"/>
      <c r="D81" s="2"/>
      <c r="E81" s="2"/>
      <c r="F81" s="2"/>
      <c r="G81" s="2"/>
      <c r="H81" s="2"/>
      <c r="I81" s="2"/>
      <c r="J81" s="2"/>
      <c r="K81" s="2"/>
      <c r="L81" s="2"/>
      <c r="M81" s="2"/>
      <c r="N81" s="19"/>
      <c r="O81" s="19"/>
      <c r="P81" s="19"/>
      <c r="S81" s="19"/>
    </row>
    <row r="82" spans="1:36" ht="15.75" thickBot="1">
      <c r="A82" s="3"/>
      <c r="B82" s="2"/>
      <c r="C82" s="2"/>
      <c r="D82" s="2"/>
      <c r="E82" s="2"/>
      <c r="F82" s="2"/>
      <c r="G82" s="2"/>
      <c r="H82" s="2"/>
      <c r="I82" s="2"/>
      <c r="J82" s="2"/>
      <c r="K82" s="2"/>
      <c r="L82" s="2"/>
      <c r="M82" s="2"/>
      <c r="N82" s="19"/>
      <c r="O82" s="19"/>
      <c r="P82" s="19"/>
      <c r="S82" s="19"/>
    </row>
    <row r="83" spans="1:36" ht="30">
      <c r="A83" s="3"/>
      <c r="B83" s="121"/>
      <c r="C83" s="113" t="s">
        <v>292</v>
      </c>
      <c r="D83" s="113" t="s">
        <v>68</v>
      </c>
      <c r="E83" s="113" t="s">
        <v>83</v>
      </c>
      <c r="F83" s="113" t="s">
        <v>69</v>
      </c>
      <c r="G83" s="153" t="s">
        <v>120</v>
      </c>
      <c r="H83" s="279"/>
      <c r="I83" s="316"/>
      <c r="J83" s="2"/>
      <c r="K83" s="2"/>
      <c r="L83" s="2"/>
      <c r="M83" s="2"/>
      <c r="N83" s="19"/>
      <c r="O83" s="19"/>
      <c r="P83" s="19"/>
      <c r="S83" s="19"/>
    </row>
    <row r="84" spans="1:36" ht="15.75" thickBot="1">
      <c r="A84" s="3"/>
      <c r="B84" s="123" t="s">
        <v>128</v>
      </c>
      <c r="C84" s="363">
        <v>1</v>
      </c>
      <c r="D84" s="363">
        <v>1</v>
      </c>
      <c r="E84" s="363">
        <v>1</v>
      </c>
      <c r="F84" s="363">
        <v>1</v>
      </c>
      <c r="G84" s="365">
        <v>1</v>
      </c>
      <c r="H84" s="317"/>
      <c r="I84" s="297"/>
      <c r="J84" s="2"/>
      <c r="K84" s="2"/>
      <c r="L84" s="2"/>
      <c r="M84" s="2"/>
      <c r="N84" s="19"/>
      <c r="O84" s="19"/>
      <c r="P84" s="19"/>
      <c r="S84" s="19"/>
    </row>
    <row r="85" spans="1:36">
      <c r="A85" s="3"/>
      <c r="B85" s="2"/>
      <c r="C85" s="2"/>
      <c r="D85" s="2"/>
      <c r="E85" s="2"/>
      <c r="F85" s="2"/>
      <c r="G85" s="2"/>
      <c r="H85" s="2"/>
      <c r="J85" s="2"/>
      <c r="K85" s="2"/>
      <c r="L85" s="2"/>
      <c r="M85" s="2"/>
      <c r="N85" s="19"/>
      <c r="O85" s="19"/>
      <c r="P85" s="19"/>
      <c r="S85" s="19"/>
    </row>
    <row r="86" spans="1:36" ht="18.75">
      <c r="A86" s="3"/>
      <c r="B86" s="110" t="s">
        <v>385</v>
      </c>
      <c r="C86" s="2"/>
      <c r="D86" s="2"/>
      <c r="E86" s="2"/>
      <c r="F86" s="2"/>
      <c r="G86" s="2"/>
      <c r="H86" s="2"/>
      <c r="I86" s="2"/>
      <c r="J86" s="2"/>
      <c r="K86" s="2"/>
      <c r="L86" s="2"/>
      <c r="M86" s="2"/>
      <c r="N86" s="19"/>
      <c r="O86" s="19"/>
      <c r="P86" s="19"/>
      <c r="S86" s="19"/>
    </row>
    <row r="87" spans="1:36" ht="15.75" thickBot="1">
      <c r="A87" s="3"/>
      <c r="B87" s="2"/>
      <c r="C87" s="2"/>
      <c r="D87" s="2"/>
      <c r="E87" s="2"/>
      <c r="F87" s="2"/>
      <c r="G87" s="2"/>
      <c r="H87" s="2"/>
      <c r="I87" s="2"/>
      <c r="J87" s="2"/>
      <c r="K87" s="2"/>
      <c r="L87" s="2"/>
      <c r="M87" s="2"/>
      <c r="N87" s="19"/>
      <c r="O87" s="19"/>
      <c r="P87" s="19"/>
      <c r="S87" s="19"/>
    </row>
    <row r="88" spans="1:36">
      <c r="A88" s="3"/>
      <c r="B88" s="121"/>
      <c r="C88" s="124" t="s">
        <v>66</v>
      </c>
      <c r="D88" s="124" t="s">
        <v>67</v>
      </c>
      <c r="E88" s="125" t="s">
        <v>289</v>
      </c>
      <c r="F88" s="2"/>
      <c r="G88" s="2"/>
      <c r="H88" s="2"/>
      <c r="I88" s="2"/>
      <c r="J88" s="19"/>
      <c r="K88" s="19"/>
      <c r="L88" s="19"/>
      <c r="N88"/>
      <c r="O88" s="19"/>
      <c r="AG88" s="36"/>
      <c r="AJ88"/>
    </row>
    <row r="89" spans="1:36">
      <c r="A89" s="3"/>
      <c r="B89" s="117" t="s">
        <v>390</v>
      </c>
      <c r="C89" s="262"/>
      <c r="D89" s="264"/>
      <c r="E89" s="318">
        <f>C89-D89</f>
        <v>0</v>
      </c>
      <c r="F89" s="2"/>
      <c r="G89" s="2"/>
      <c r="H89" s="2"/>
      <c r="I89" s="2"/>
      <c r="J89" s="19"/>
      <c r="K89" s="19"/>
      <c r="L89" s="19"/>
      <c r="N89"/>
      <c r="O89" s="19"/>
      <c r="AG89" s="36"/>
      <c r="AJ89"/>
    </row>
    <row r="90" spans="1:36" ht="15.75" thickBot="1">
      <c r="A90" s="3"/>
      <c r="B90" s="119" t="s">
        <v>391</v>
      </c>
      <c r="C90" s="263">
        <v>3</v>
      </c>
      <c r="D90" s="319">
        <v>3</v>
      </c>
      <c r="E90" s="469">
        <f>C90-D90</f>
        <v>0</v>
      </c>
      <c r="F90" s="2"/>
      <c r="G90" s="2"/>
      <c r="H90" s="2"/>
      <c r="I90" s="2"/>
      <c r="J90" s="19"/>
      <c r="K90" s="19"/>
      <c r="L90" s="19"/>
      <c r="N90"/>
      <c r="O90" s="19"/>
      <c r="AG90" s="36"/>
      <c r="AJ90"/>
    </row>
    <row r="91" spans="1:36">
      <c r="A91" s="3"/>
      <c r="B91" s="2"/>
      <c r="C91" s="2"/>
      <c r="D91" s="2"/>
      <c r="E91" s="2"/>
      <c r="F91" s="2"/>
      <c r="G91" s="2"/>
      <c r="H91" s="2"/>
      <c r="I91" s="2"/>
      <c r="J91" s="2"/>
      <c r="K91" s="2"/>
      <c r="L91" s="2"/>
      <c r="M91" s="2"/>
      <c r="N91" s="19"/>
      <c r="O91" s="19"/>
      <c r="P91" s="19"/>
      <c r="S91" s="19"/>
    </row>
    <row r="92" spans="1:36" ht="18.75">
      <c r="A92" s="3"/>
      <c r="B92" s="110" t="s">
        <v>392</v>
      </c>
      <c r="C92" s="2"/>
      <c r="D92" s="2"/>
      <c r="E92" s="2"/>
      <c r="F92" s="2"/>
      <c r="G92" s="2"/>
      <c r="H92" s="2"/>
      <c r="I92" s="2"/>
      <c r="J92" s="2"/>
      <c r="K92" s="2"/>
      <c r="L92" s="2"/>
      <c r="M92" s="2"/>
      <c r="N92" s="19"/>
      <c r="O92" s="19"/>
      <c r="P92" s="19"/>
      <c r="S92" s="19"/>
    </row>
    <row r="93" spans="1:36" ht="15.75" thickBot="1">
      <c r="A93" s="3"/>
      <c r="B93" s="2"/>
      <c r="C93" s="2"/>
      <c r="D93" s="2"/>
      <c r="E93" s="2"/>
      <c r="F93" s="2"/>
      <c r="G93" s="2"/>
      <c r="H93" s="2"/>
      <c r="I93" s="15"/>
      <c r="J93" s="15"/>
      <c r="K93" s="15"/>
      <c r="L93" s="15"/>
      <c r="M93" s="15"/>
      <c r="N93" s="20"/>
      <c r="O93" s="20"/>
      <c r="P93" s="20"/>
      <c r="S93" s="19"/>
    </row>
    <row r="94" spans="1:36">
      <c r="A94" s="3"/>
      <c r="B94" s="223"/>
      <c r="C94" s="377" t="s">
        <v>106</v>
      </c>
      <c r="D94" s="377" t="s">
        <v>107</v>
      </c>
      <c r="E94" s="377" t="s">
        <v>108</v>
      </c>
      <c r="F94" s="377" t="s">
        <v>109</v>
      </c>
      <c r="G94" s="377" t="s">
        <v>121</v>
      </c>
      <c r="H94" s="377" t="s">
        <v>122</v>
      </c>
      <c r="I94" s="377" t="s">
        <v>123</v>
      </c>
      <c r="J94" s="377" t="s">
        <v>124</v>
      </c>
      <c r="K94" s="377" t="s">
        <v>125</v>
      </c>
      <c r="L94" s="377" t="s">
        <v>126</v>
      </c>
      <c r="M94" s="377" t="s">
        <v>127</v>
      </c>
      <c r="N94" s="378" t="s">
        <v>288</v>
      </c>
      <c r="O94" s="20"/>
      <c r="P94" s="20"/>
      <c r="S94" s="19"/>
    </row>
    <row r="95" spans="1:36" ht="15" customHeight="1">
      <c r="A95" s="3"/>
      <c r="B95" s="379" t="s">
        <v>369</v>
      </c>
      <c r="C95" s="366">
        <v>76920</v>
      </c>
      <c r="D95" s="366">
        <v>1379064.3412315312</v>
      </c>
      <c r="E95" s="366">
        <v>772075.35871231998</v>
      </c>
      <c r="F95" s="366">
        <v>951000</v>
      </c>
      <c r="G95" s="366">
        <v>82240</v>
      </c>
      <c r="H95" s="366">
        <v>768482.09763625008</v>
      </c>
      <c r="I95" s="366">
        <v>542991.98794943991</v>
      </c>
      <c r="J95" s="366">
        <v>6000</v>
      </c>
      <c r="K95" s="366">
        <v>82240</v>
      </c>
      <c r="L95" s="366">
        <v>522104.67004725005</v>
      </c>
      <c r="M95" s="366">
        <v>349826.90824031999</v>
      </c>
      <c r="N95" s="470">
        <v>6000</v>
      </c>
      <c r="O95" s="20"/>
      <c r="P95" s="20"/>
      <c r="S95" s="19"/>
    </row>
    <row r="96" spans="1:36" ht="15" customHeight="1">
      <c r="A96" s="3"/>
      <c r="B96" s="379" t="s">
        <v>366</v>
      </c>
      <c r="C96" s="366">
        <f>117510.6/2.4452</f>
        <v>48057.663994765258</v>
      </c>
      <c r="D96" s="366">
        <f>601252/2.4072</f>
        <v>249772.34961781322</v>
      </c>
      <c r="E96" s="366">
        <f>623049/2.4767</f>
        <v>251564.17814026726</v>
      </c>
      <c r="F96" s="366">
        <f>723768/2.5922</f>
        <v>279209.93750482216</v>
      </c>
      <c r="G96" s="366">
        <f>204419/2.4144</f>
        <v>84666.583830351228</v>
      </c>
      <c r="H96" s="366">
        <v>109662.13</v>
      </c>
      <c r="I96" s="366">
        <v>213595</v>
      </c>
      <c r="J96" s="366">
        <v>5331.3905701262793</v>
      </c>
      <c r="K96" s="366">
        <f>286951/2.6914</f>
        <v>106617.74541131011</v>
      </c>
      <c r="L96" s="366"/>
      <c r="M96" s="366"/>
      <c r="N96" s="470"/>
      <c r="O96" s="20"/>
      <c r="P96" s="20"/>
      <c r="S96" s="19"/>
    </row>
    <row r="97" spans="1:19" ht="15" customHeight="1">
      <c r="A97" s="3"/>
      <c r="B97" s="379" t="s">
        <v>314</v>
      </c>
      <c r="C97" s="366">
        <v>17214</v>
      </c>
      <c r="D97" s="366">
        <v>41519</v>
      </c>
      <c r="E97" s="366">
        <v>1143140</v>
      </c>
      <c r="F97" s="366">
        <v>380417</v>
      </c>
      <c r="G97" s="366">
        <v>237861</v>
      </c>
      <c r="H97" s="366">
        <v>624873</v>
      </c>
      <c r="I97" s="366">
        <v>326148</v>
      </c>
      <c r="J97" s="366">
        <f>199809-8300</f>
        <v>191509</v>
      </c>
      <c r="K97" s="366">
        <v>46913.324497496476</v>
      </c>
      <c r="L97" s="366"/>
      <c r="M97" s="366"/>
      <c r="N97" s="470"/>
      <c r="O97" s="20"/>
      <c r="P97" s="20"/>
      <c r="S97" s="19"/>
    </row>
    <row r="98" spans="1:19" ht="15" customHeight="1">
      <c r="A98" s="3"/>
      <c r="B98" s="321" t="s">
        <v>412</v>
      </c>
      <c r="C98" s="367">
        <f>+C95</f>
        <v>76920</v>
      </c>
      <c r="D98" s="367">
        <f t="shared" ref="D98:N98" si="3">+C98+D95</f>
        <v>1455984.3412315312</v>
      </c>
      <c r="E98" s="367">
        <f>+D98+E95</f>
        <v>2228059.6999438512</v>
      </c>
      <c r="F98" s="367">
        <f t="shared" si="3"/>
        <v>3179059.6999438512</v>
      </c>
      <c r="G98" s="367">
        <f t="shared" si="3"/>
        <v>3261299.6999438512</v>
      </c>
      <c r="H98" s="367">
        <f t="shared" si="3"/>
        <v>4029781.7975801015</v>
      </c>
      <c r="I98" s="367">
        <f t="shared" si="3"/>
        <v>4572773.7855295418</v>
      </c>
      <c r="J98" s="367">
        <f t="shared" si="3"/>
        <v>4578773.7855295418</v>
      </c>
      <c r="K98" s="367">
        <f t="shared" si="3"/>
        <v>4661013.7855295418</v>
      </c>
      <c r="L98" s="367">
        <f t="shared" si="3"/>
        <v>5183118.4555767914</v>
      </c>
      <c r="M98" s="367">
        <f t="shared" si="3"/>
        <v>5532945.3638171116</v>
      </c>
      <c r="N98" s="471">
        <f t="shared" si="3"/>
        <v>5538945.3638171116</v>
      </c>
      <c r="O98" s="20"/>
      <c r="P98" s="20"/>
      <c r="S98" s="19"/>
    </row>
    <row r="99" spans="1:19" ht="15" customHeight="1">
      <c r="A99" s="3"/>
      <c r="B99" s="321" t="s">
        <v>5</v>
      </c>
      <c r="C99" s="367">
        <f>+C96</f>
        <v>48057.663994765258</v>
      </c>
      <c r="D99" s="367">
        <f t="shared" ref="D99:N99" si="4">+C99+D96</f>
        <v>297830.01361257851</v>
      </c>
      <c r="E99" s="367">
        <f>+D99+E96</f>
        <v>549394.19175284577</v>
      </c>
      <c r="F99" s="367">
        <f t="shared" si="4"/>
        <v>828604.12925766793</v>
      </c>
      <c r="G99" s="367">
        <f t="shared" si="4"/>
        <v>913270.71308801917</v>
      </c>
      <c r="H99" s="367">
        <f t="shared" si="4"/>
        <v>1022932.8430880192</v>
      </c>
      <c r="I99" s="367">
        <f t="shared" si="4"/>
        <v>1236527.8430880192</v>
      </c>
      <c r="J99" s="367">
        <f t="shared" si="4"/>
        <v>1241859.2336581454</v>
      </c>
      <c r="K99" s="367">
        <f t="shared" si="4"/>
        <v>1348476.9790694555</v>
      </c>
      <c r="L99" s="367">
        <f t="shared" si="4"/>
        <v>1348476.9790694555</v>
      </c>
      <c r="M99" s="367">
        <f t="shared" si="4"/>
        <v>1348476.9790694555</v>
      </c>
      <c r="N99" s="471">
        <f t="shared" si="4"/>
        <v>1348476.9790694555</v>
      </c>
      <c r="O99" s="20"/>
      <c r="P99" s="20"/>
      <c r="S99" s="19"/>
    </row>
    <row r="100" spans="1:19" ht="15.75" thickBot="1">
      <c r="A100" s="3"/>
      <c r="B100" s="466" t="s">
        <v>6</v>
      </c>
      <c r="C100" s="467">
        <f>+C97</f>
        <v>17214</v>
      </c>
      <c r="D100" s="468">
        <f t="shared" ref="D100:N100" si="5">+C100+D97</f>
        <v>58733</v>
      </c>
      <c r="E100" s="468">
        <f>+D100+E97</f>
        <v>1201873</v>
      </c>
      <c r="F100" s="468">
        <f t="shared" si="5"/>
        <v>1582290</v>
      </c>
      <c r="G100" s="468">
        <f t="shared" si="5"/>
        <v>1820151</v>
      </c>
      <c r="H100" s="468">
        <f t="shared" si="5"/>
        <v>2445024</v>
      </c>
      <c r="I100" s="468">
        <f t="shared" si="5"/>
        <v>2771172</v>
      </c>
      <c r="J100" s="468">
        <f t="shared" si="5"/>
        <v>2962681</v>
      </c>
      <c r="K100" s="468">
        <f t="shared" si="5"/>
        <v>3009594.3244974967</v>
      </c>
      <c r="L100" s="468">
        <f t="shared" si="5"/>
        <v>3009594.3244974967</v>
      </c>
      <c r="M100" s="468">
        <f t="shared" si="5"/>
        <v>3009594.3244974967</v>
      </c>
      <c r="N100" s="472">
        <f t="shared" si="5"/>
        <v>3009594.3244974967</v>
      </c>
      <c r="O100" s="20"/>
      <c r="P100" s="20"/>
      <c r="S100" s="19"/>
    </row>
    <row r="101" spans="1:19">
      <c r="A101" s="3"/>
      <c r="B101" s="3"/>
      <c r="C101" s="2"/>
      <c r="D101" s="2"/>
      <c r="E101" s="2"/>
      <c r="F101" s="2"/>
      <c r="G101" s="2"/>
      <c r="H101" s="2"/>
      <c r="I101" s="15"/>
      <c r="J101" s="126"/>
      <c r="K101" s="127"/>
      <c r="L101" s="15"/>
      <c r="M101" s="128"/>
      <c r="N101" s="20"/>
      <c r="O101" s="20"/>
      <c r="P101" s="20"/>
      <c r="S101" s="19"/>
    </row>
    <row r="102" spans="1:19">
      <c r="A102" s="3"/>
      <c r="B102" s="2" t="s">
        <v>406</v>
      </c>
      <c r="C102" s="2"/>
      <c r="D102" s="2"/>
      <c r="E102" s="2"/>
      <c r="F102" s="2"/>
      <c r="G102" s="2"/>
      <c r="H102" s="2"/>
      <c r="I102" s="15"/>
      <c r="J102" s="126"/>
      <c r="K102" s="127"/>
      <c r="L102" s="15"/>
      <c r="M102" s="128"/>
      <c r="N102" s="20"/>
      <c r="O102" s="20"/>
      <c r="P102" s="20"/>
      <c r="S102" s="19"/>
    </row>
    <row r="103" spans="1:19">
      <c r="A103" s="3"/>
      <c r="C103" s="2"/>
      <c r="D103" s="2"/>
      <c r="E103" s="2"/>
      <c r="F103" s="2"/>
      <c r="G103" s="2"/>
      <c r="H103" s="2"/>
      <c r="I103" s="15"/>
      <c r="J103" s="126"/>
      <c r="K103" s="128"/>
      <c r="L103" s="15"/>
      <c r="M103" s="128"/>
      <c r="N103" s="20"/>
      <c r="O103" s="20"/>
      <c r="P103" s="20"/>
      <c r="S103" s="19"/>
    </row>
    <row r="104" spans="1:19">
      <c r="A104" s="3"/>
      <c r="B104" s="3"/>
      <c r="C104" s="3"/>
      <c r="D104" s="3"/>
      <c r="E104" s="3"/>
      <c r="F104" s="3"/>
      <c r="G104" s="3"/>
      <c r="H104" s="3"/>
      <c r="I104" s="15"/>
      <c r="J104" s="15"/>
      <c r="K104" s="15"/>
      <c r="L104" s="15"/>
      <c r="M104" s="15"/>
      <c r="N104" s="20"/>
      <c r="O104" s="20"/>
      <c r="P104" s="20"/>
    </row>
    <row r="105" spans="1:19" ht="18.75">
      <c r="A105" s="3"/>
      <c r="B105" s="110" t="s">
        <v>386</v>
      </c>
      <c r="C105" s="3"/>
      <c r="D105" s="3"/>
      <c r="E105" s="3"/>
      <c r="F105" s="3"/>
      <c r="G105" s="3"/>
      <c r="H105" s="3"/>
      <c r="I105" s="15"/>
      <c r="J105" s="15"/>
      <c r="K105" s="15"/>
      <c r="L105" s="15"/>
      <c r="M105" s="15"/>
      <c r="N105" s="20"/>
      <c r="O105" s="20"/>
      <c r="P105" s="20"/>
    </row>
    <row r="106" spans="1:19" ht="15.75" thickBot="1">
      <c r="A106" s="3"/>
      <c r="B106" s="3"/>
      <c r="C106" s="15"/>
      <c r="D106" s="15"/>
      <c r="E106" s="15"/>
      <c r="F106" s="15"/>
      <c r="G106" s="2"/>
      <c r="H106" s="2"/>
      <c r="I106" s="2"/>
      <c r="J106" s="15"/>
      <c r="K106" s="2"/>
      <c r="L106" s="15"/>
      <c r="M106" s="15"/>
      <c r="N106" s="20"/>
      <c r="O106" s="20"/>
      <c r="P106" s="20"/>
      <c r="Q106" s="19"/>
      <c r="S106" s="20"/>
    </row>
    <row r="107" spans="1:19" ht="90.75" customHeight="1">
      <c r="A107" s="3"/>
      <c r="B107" s="322" t="s">
        <v>33</v>
      </c>
      <c r="C107" s="323" t="s">
        <v>80</v>
      </c>
      <c r="D107" s="325" t="s">
        <v>368</v>
      </c>
      <c r="E107" s="325" t="s">
        <v>337</v>
      </c>
      <c r="F107" s="324" t="s">
        <v>338</v>
      </c>
      <c r="G107" s="324" t="s">
        <v>339</v>
      </c>
      <c r="H107" s="325" t="s">
        <v>340</v>
      </c>
      <c r="I107" s="325" t="s">
        <v>341</v>
      </c>
      <c r="J107" s="325" t="s">
        <v>342</v>
      </c>
      <c r="K107" s="326" t="s">
        <v>343</v>
      </c>
      <c r="L107" s="2"/>
      <c r="M107" s="20"/>
      <c r="N107" s="20"/>
      <c r="O107" s="20"/>
      <c r="P107" s="19"/>
      <c r="R107" s="20"/>
    </row>
    <row r="108" spans="1:19">
      <c r="A108" s="3"/>
      <c r="B108" s="653" t="s">
        <v>35</v>
      </c>
      <c r="C108" s="407" t="s">
        <v>416</v>
      </c>
      <c r="D108" s="408">
        <v>3</v>
      </c>
      <c r="E108" s="409">
        <f>IF(ISBLANK(D108),"",D108*30)</f>
        <v>90</v>
      </c>
      <c r="F108" s="368">
        <v>150</v>
      </c>
      <c r="G108" s="369">
        <f>IF(AND(E108&gt;0,F108&gt;0),(F108*E108),"")</f>
        <v>13500</v>
      </c>
      <c r="H108" s="368">
        <v>128071</v>
      </c>
      <c r="I108" s="424">
        <f>IF(AND(G108&gt;0,H108&gt;0),H108/G108,"")</f>
        <v>9.4867407407407409</v>
      </c>
      <c r="J108" s="410">
        <v>4</v>
      </c>
      <c r="K108" s="473">
        <f>IF(AND(I108&gt;0,J108&gt;0),I108-J108,"")</f>
        <v>5.4867407407407409</v>
      </c>
      <c r="L108" s="2"/>
      <c r="M108" s="20"/>
      <c r="N108" s="20"/>
      <c r="O108" s="20"/>
      <c r="P108" s="19"/>
      <c r="R108" s="20"/>
    </row>
    <row r="109" spans="1:19">
      <c r="A109" s="3"/>
      <c r="B109" s="654"/>
      <c r="C109" s="407" t="s">
        <v>444</v>
      </c>
      <c r="D109" s="408">
        <v>1</v>
      </c>
      <c r="E109" s="409">
        <f>IF(ISBLANK(D109),"",D109*30)</f>
        <v>30</v>
      </c>
      <c r="F109" s="368">
        <v>80</v>
      </c>
      <c r="G109" s="369">
        <f>IF(AND(E109&gt;0,F109&gt;0),(F109*E109),"")</f>
        <v>2400</v>
      </c>
      <c r="H109" s="368">
        <v>45490</v>
      </c>
      <c r="I109" s="424">
        <f>IF(AND(G109&gt;0,H109&gt;0),H109/G109,"")</f>
        <v>18.954166666666666</v>
      </c>
      <c r="J109" s="410">
        <v>4</v>
      </c>
      <c r="K109" s="473">
        <f>IF(AND(I109&gt;0,J109&gt;0),I109-J109,"")</f>
        <v>14.954166666666666</v>
      </c>
      <c r="L109" s="2"/>
      <c r="M109" s="20"/>
      <c r="N109" s="20"/>
      <c r="O109" s="20"/>
      <c r="P109" s="19"/>
    </row>
    <row r="110" spans="1:19" ht="15.75" thickBot="1">
      <c r="A110" s="3"/>
      <c r="B110" s="654"/>
      <c r="C110" s="411" t="s">
        <v>419</v>
      </c>
      <c r="D110" s="408">
        <v>3</v>
      </c>
      <c r="E110" s="409">
        <v>90</v>
      </c>
      <c r="F110" s="368">
        <v>60</v>
      </c>
      <c r="G110" s="369">
        <f>IF(AND(E110&gt;0,F110&gt;0),(F110*E110),"")</f>
        <v>5400</v>
      </c>
      <c r="H110" s="368">
        <v>93770</v>
      </c>
      <c r="I110" s="424">
        <f>IF(AND(G110&gt;0,H110&gt;0),H110/G110,"")</f>
        <v>17.364814814814814</v>
      </c>
      <c r="J110" s="410">
        <v>4</v>
      </c>
      <c r="K110" s="473">
        <f>IF(AND(I110&gt;0,J110&gt;0),I110-J110,"")</f>
        <v>13.364814814814814</v>
      </c>
      <c r="L110" s="2"/>
      <c r="M110" s="20"/>
      <c r="N110" s="20"/>
      <c r="O110" s="20"/>
      <c r="P110" s="19"/>
      <c r="R110" s="20"/>
    </row>
    <row r="111" spans="1:19" ht="15.75" thickBot="1">
      <c r="A111" s="3"/>
      <c r="B111" s="655"/>
      <c r="C111" s="411" t="s">
        <v>426</v>
      </c>
      <c r="D111" s="412">
        <v>1</v>
      </c>
      <c r="E111" s="463">
        <f>IF(ISBLANK(D111),"",D111*30)</f>
        <v>30</v>
      </c>
      <c r="F111" s="370">
        <v>160</v>
      </c>
      <c r="G111" s="464">
        <f>IF(AND(E111&gt;0,F111&gt;0),(F111*E111),"")</f>
        <v>4800</v>
      </c>
      <c r="H111" s="370">
        <v>38810</v>
      </c>
      <c r="I111" s="465">
        <f>IF(AND(G111&gt;0,H111&gt;0),H111/G111,"")</f>
        <v>8.0854166666666671</v>
      </c>
      <c r="J111" s="413">
        <v>4</v>
      </c>
      <c r="K111" s="474">
        <f>IF(AND(I111&gt;0,J111&gt;0),I111-J111,"")</f>
        <v>4.0854166666666671</v>
      </c>
      <c r="L111" s="2"/>
      <c r="M111" s="20"/>
      <c r="N111" s="20"/>
      <c r="O111" s="20"/>
      <c r="P111" s="19"/>
      <c r="R111" s="20"/>
    </row>
    <row r="112" spans="1:19">
      <c r="A112" s="3"/>
      <c r="B112" s="3"/>
      <c r="C112" s="3"/>
      <c r="D112" s="3"/>
      <c r="E112" s="3"/>
      <c r="F112" s="3"/>
      <c r="G112" s="2"/>
      <c r="H112" s="2"/>
      <c r="I112" s="2"/>
      <c r="J112" s="3"/>
      <c r="K112" s="3"/>
      <c r="L112" s="2"/>
      <c r="M112" s="2"/>
      <c r="N112" s="20"/>
      <c r="O112" s="20"/>
      <c r="P112" s="20"/>
      <c r="Q112" s="19"/>
      <c r="S112" s="20"/>
    </row>
    <row r="113" spans="1:20" ht="45.75" thickBot="1">
      <c r="A113" s="3"/>
      <c r="B113" s="3"/>
      <c r="C113" s="3"/>
      <c r="D113" s="3"/>
      <c r="E113" s="3"/>
      <c r="F113" s="479" t="s">
        <v>417</v>
      </c>
      <c r="G113" s="479" t="s">
        <v>418</v>
      </c>
      <c r="H113" s="479" t="s">
        <v>418</v>
      </c>
      <c r="I113" s="2"/>
      <c r="J113" s="109"/>
      <c r="K113" s="109"/>
      <c r="L113" s="3"/>
      <c r="M113" s="3"/>
    </row>
    <row r="114" spans="1:20" ht="19.5" thickBot="1">
      <c r="A114" s="3"/>
      <c r="B114" s="243" t="s">
        <v>393</v>
      </c>
      <c r="C114" s="129"/>
      <c r="D114" s="129"/>
      <c r="E114" s="130"/>
      <c r="F114" s="130"/>
      <c r="G114" s="130"/>
      <c r="H114" s="258"/>
      <c r="I114" s="244"/>
      <c r="J114" s="344"/>
      <c r="K114" s="345" t="s">
        <v>372</v>
      </c>
      <c r="L114" s="130"/>
      <c r="M114" s="346"/>
      <c r="N114" s="347"/>
      <c r="O114" s="347"/>
      <c r="P114" s="415"/>
      <c r="Q114" s="36"/>
    </row>
    <row r="115" spans="1:20" ht="15.75" thickBot="1">
      <c r="A115" s="3"/>
      <c r="B115" s="3"/>
      <c r="C115" s="3"/>
      <c r="D115" s="3"/>
      <c r="E115" s="3"/>
      <c r="F115" s="3"/>
      <c r="G115" s="3"/>
      <c r="H115" s="3"/>
      <c r="I115" s="3"/>
      <c r="J115" s="3"/>
      <c r="K115" s="3"/>
      <c r="L115" s="3"/>
      <c r="M115" s="3"/>
      <c r="N115"/>
      <c r="O115"/>
      <c r="P115" s="36"/>
      <c r="Q115" s="36"/>
    </row>
    <row r="116" spans="1:20">
      <c r="A116" s="3"/>
      <c r="B116" s="701" t="s">
        <v>399</v>
      </c>
      <c r="C116" s="702"/>
      <c r="D116" s="703"/>
      <c r="E116" s="330" t="s">
        <v>328</v>
      </c>
      <c r="F116" s="286" t="s">
        <v>345</v>
      </c>
      <c r="G116" s="248"/>
      <c r="H116" s="391" t="s">
        <v>106</v>
      </c>
      <c r="I116" s="391" t="s">
        <v>107</v>
      </c>
      <c r="J116" s="391" t="s">
        <v>108</v>
      </c>
      <c r="K116" s="391" t="s">
        <v>109</v>
      </c>
      <c r="L116" s="391" t="s">
        <v>121</v>
      </c>
      <c r="M116" s="391" t="s">
        <v>122</v>
      </c>
      <c r="N116" s="391" t="s">
        <v>123</v>
      </c>
      <c r="O116" s="391" t="s">
        <v>124</v>
      </c>
      <c r="P116" s="391" t="s">
        <v>125</v>
      </c>
      <c r="Q116" s="391" t="s">
        <v>126</v>
      </c>
      <c r="R116" s="391" t="s">
        <v>127</v>
      </c>
      <c r="S116" s="392" t="s">
        <v>288</v>
      </c>
      <c r="T116" s="64"/>
    </row>
    <row r="117" spans="1:20" ht="1.5" customHeight="1">
      <c r="A117" s="3"/>
      <c r="B117" s="440"/>
      <c r="C117" s="441"/>
      <c r="D117" s="441"/>
      <c r="E117" s="442"/>
      <c r="F117" s="443"/>
      <c r="G117" s="444"/>
      <c r="H117" s="445"/>
      <c r="I117" s="445"/>
      <c r="J117" s="445"/>
      <c r="K117" s="445"/>
      <c r="L117" s="445"/>
      <c r="M117" s="445"/>
      <c r="N117" s="445"/>
      <c r="O117" s="445"/>
      <c r="P117" s="445"/>
      <c r="Q117" s="445"/>
      <c r="R117" s="445"/>
      <c r="S117" s="446"/>
      <c r="T117" s="64"/>
    </row>
    <row r="118" spans="1:20" ht="15" customHeight="1">
      <c r="A118" s="682" t="s">
        <v>376</v>
      </c>
      <c r="B118" s="686" t="s">
        <v>427</v>
      </c>
      <c r="C118" s="687"/>
      <c r="D118" s="688"/>
      <c r="E118" s="602" t="s">
        <v>433</v>
      </c>
      <c r="F118" s="604" t="s">
        <v>115</v>
      </c>
      <c r="G118" s="249"/>
      <c r="H118" s="480">
        <f>444/4</f>
        <v>111</v>
      </c>
      <c r="I118" s="480">
        <f t="shared" ref="I118:K118" si="6">444/4</f>
        <v>111</v>
      </c>
      <c r="J118" s="480">
        <f t="shared" si="6"/>
        <v>111</v>
      </c>
      <c r="K118" s="480">
        <f t="shared" si="6"/>
        <v>111</v>
      </c>
      <c r="L118" s="484">
        <v>112</v>
      </c>
      <c r="M118" s="484">
        <v>112</v>
      </c>
      <c r="N118" s="484">
        <v>112</v>
      </c>
      <c r="O118" s="484">
        <v>113</v>
      </c>
      <c r="P118" s="133">
        <v>112</v>
      </c>
      <c r="Q118" s="133">
        <v>113</v>
      </c>
      <c r="R118" s="133">
        <v>113</v>
      </c>
      <c r="S118" s="134">
        <v>113</v>
      </c>
      <c r="T118" s="64"/>
    </row>
    <row r="119" spans="1:20">
      <c r="A119" s="682"/>
      <c r="B119" s="689"/>
      <c r="C119" s="690"/>
      <c r="D119" s="691"/>
      <c r="E119" s="603"/>
      <c r="F119" s="604"/>
      <c r="G119" s="249"/>
      <c r="H119" s="133">
        <v>91</v>
      </c>
      <c r="I119" s="133">
        <v>94</v>
      </c>
      <c r="J119" s="133">
        <v>66</v>
      </c>
      <c r="K119" s="281">
        <v>77</v>
      </c>
      <c r="L119" s="133">
        <v>80</v>
      </c>
      <c r="M119" s="133">
        <v>72</v>
      </c>
      <c r="N119" s="133">
        <v>76</v>
      </c>
      <c r="O119" s="133">
        <v>59</v>
      </c>
      <c r="P119" s="133">
        <v>75</v>
      </c>
      <c r="Q119" s="133"/>
      <c r="R119" s="133"/>
      <c r="S119" s="134"/>
      <c r="T119" s="64"/>
    </row>
    <row r="120" spans="1:20" ht="15" customHeight="1">
      <c r="A120" s="682"/>
      <c r="B120" s="618" t="s">
        <v>428</v>
      </c>
      <c r="C120" s="697"/>
      <c r="D120" s="698"/>
      <c r="E120" s="607" t="s">
        <v>434</v>
      </c>
      <c r="F120" s="605" t="s">
        <v>115</v>
      </c>
      <c r="G120" s="451"/>
      <c r="H120" s="245">
        <v>16</v>
      </c>
      <c r="I120" s="245">
        <v>17</v>
      </c>
      <c r="J120" s="245">
        <v>16</v>
      </c>
      <c r="K120" s="282">
        <v>17</v>
      </c>
      <c r="L120" s="245">
        <v>16</v>
      </c>
      <c r="M120" s="245">
        <v>17</v>
      </c>
      <c r="N120" s="282">
        <v>17</v>
      </c>
      <c r="O120" s="245">
        <v>17</v>
      </c>
      <c r="P120" s="245">
        <v>16</v>
      </c>
      <c r="Q120" s="245">
        <v>17</v>
      </c>
      <c r="R120" s="282">
        <v>17</v>
      </c>
      <c r="S120" s="245">
        <v>17</v>
      </c>
      <c r="T120" s="64"/>
    </row>
    <row r="121" spans="1:20" ht="21" customHeight="1">
      <c r="A121" s="682"/>
      <c r="B121" s="618"/>
      <c r="C121" s="697"/>
      <c r="D121" s="698"/>
      <c r="E121" s="608"/>
      <c r="F121" s="606"/>
      <c r="G121" s="451"/>
      <c r="H121" s="245">
        <v>12</v>
      </c>
      <c r="I121" s="245">
        <v>13</v>
      </c>
      <c r="J121" s="328">
        <v>13</v>
      </c>
      <c r="K121" s="329">
        <v>18</v>
      </c>
      <c r="L121" s="328">
        <v>15</v>
      </c>
      <c r="M121" s="328">
        <v>12</v>
      </c>
      <c r="N121" s="328">
        <v>8</v>
      </c>
      <c r="O121" s="328">
        <v>10</v>
      </c>
      <c r="P121" s="245">
        <v>8</v>
      </c>
      <c r="Q121" s="245"/>
      <c r="R121" s="245"/>
      <c r="S121" s="327"/>
      <c r="T121" s="64"/>
    </row>
    <row r="122" spans="1:20" ht="15" customHeight="1">
      <c r="A122" s="682"/>
      <c r="B122" s="689" t="s">
        <v>429</v>
      </c>
      <c r="C122" s="690"/>
      <c r="D122" s="691"/>
      <c r="E122" s="602" t="s">
        <v>435</v>
      </c>
      <c r="F122" s="695" t="s">
        <v>115</v>
      </c>
      <c r="G122" s="249"/>
      <c r="H122" s="133">
        <v>75</v>
      </c>
      <c r="I122" s="133">
        <v>75</v>
      </c>
      <c r="J122" s="133">
        <v>75</v>
      </c>
      <c r="K122" s="133">
        <v>75</v>
      </c>
      <c r="L122" s="133">
        <v>80</v>
      </c>
      <c r="M122" s="133">
        <v>80</v>
      </c>
      <c r="N122" s="133">
        <v>80</v>
      </c>
      <c r="O122" s="133">
        <v>80</v>
      </c>
      <c r="P122" s="133">
        <v>85</v>
      </c>
      <c r="Q122" s="133">
        <v>85</v>
      </c>
      <c r="R122" s="133">
        <v>85</v>
      </c>
      <c r="S122" s="133">
        <v>85</v>
      </c>
      <c r="T122" s="64"/>
    </row>
    <row r="123" spans="1:20" ht="26.25" customHeight="1">
      <c r="A123" s="682"/>
      <c r="B123" s="689"/>
      <c r="C123" s="690"/>
      <c r="D123" s="691"/>
      <c r="E123" s="603"/>
      <c r="F123" s="696"/>
      <c r="G123" s="249"/>
      <c r="H123" s="133">
        <v>97</v>
      </c>
      <c r="I123" s="133">
        <v>94</v>
      </c>
      <c r="J123" s="133">
        <v>95</v>
      </c>
      <c r="K123" s="133">
        <v>93</v>
      </c>
      <c r="L123" s="133">
        <v>94</v>
      </c>
      <c r="M123" s="133">
        <v>97</v>
      </c>
      <c r="N123" s="133">
        <v>94</v>
      </c>
      <c r="O123" s="133">
        <v>94</v>
      </c>
      <c r="P123" s="133">
        <v>94</v>
      </c>
      <c r="Q123" s="133"/>
      <c r="R123" s="133"/>
      <c r="S123" s="134"/>
      <c r="T123" s="64"/>
    </row>
    <row r="124" spans="1:20" ht="15" customHeight="1">
      <c r="A124" s="3"/>
      <c r="B124" s="618"/>
      <c r="C124" s="619"/>
      <c r="D124" s="620"/>
      <c r="E124" s="608"/>
      <c r="F124" s="656"/>
      <c r="G124" s="451"/>
      <c r="H124" s="328"/>
      <c r="I124" s="245"/>
      <c r="J124" s="245"/>
      <c r="K124" s="282"/>
      <c r="L124" s="245"/>
      <c r="M124" s="245"/>
      <c r="N124" s="245"/>
      <c r="O124" s="245"/>
      <c r="P124" s="245"/>
      <c r="Q124" s="245"/>
      <c r="R124" s="245"/>
      <c r="S124" s="327"/>
      <c r="T124" s="64"/>
    </row>
    <row r="125" spans="1:20" ht="25.5" customHeight="1">
      <c r="A125" s="3"/>
      <c r="B125" s="644"/>
      <c r="C125" s="619"/>
      <c r="D125" s="620"/>
      <c r="E125" s="608"/>
      <c r="F125" s="657"/>
      <c r="G125" s="451"/>
      <c r="H125" s="328"/>
      <c r="I125" s="245"/>
      <c r="J125" s="245"/>
      <c r="K125" s="282"/>
      <c r="L125" s="245"/>
      <c r="M125" s="245"/>
      <c r="N125" s="245"/>
      <c r="O125" s="245"/>
      <c r="P125" s="245"/>
      <c r="Q125" s="245"/>
      <c r="R125" s="245"/>
      <c r="S125" s="327"/>
      <c r="T125" s="64"/>
    </row>
    <row r="126" spans="1:20" ht="15" customHeight="1">
      <c r="A126" s="3"/>
      <c r="B126" s="634"/>
      <c r="C126" s="635"/>
      <c r="D126" s="636"/>
      <c r="E126" s="603"/>
      <c r="F126" s="647"/>
      <c r="G126" s="452"/>
      <c r="H126" s="453"/>
      <c r="I126" s="453"/>
      <c r="J126" s="453"/>
      <c r="K126" s="454"/>
      <c r="L126" s="453"/>
      <c r="M126" s="453"/>
      <c r="N126" s="453"/>
      <c r="O126" s="453"/>
      <c r="P126" s="453"/>
      <c r="Q126" s="453"/>
      <c r="R126" s="453"/>
      <c r="S126" s="455"/>
      <c r="T126" s="64"/>
    </row>
    <row r="127" spans="1:20">
      <c r="A127" s="3"/>
      <c r="B127" s="637"/>
      <c r="C127" s="635"/>
      <c r="D127" s="636"/>
      <c r="E127" s="603"/>
      <c r="F127" s="648"/>
      <c r="G127" s="452"/>
      <c r="H127" s="453"/>
      <c r="I127" s="453"/>
      <c r="J127" s="453"/>
      <c r="K127" s="454"/>
      <c r="L127" s="453"/>
      <c r="M127" s="453"/>
      <c r="N127" s="453"/>
      <c r="O127" s="453"/>
      <c r="P127" s="453"/>
      <c r="Q127" s="453"/>
      <c r="R127" s="453"/>
      <c r="S127" s="455"/>
      <c r="T127" s="64"/>
    </row>
    <row r="128" spans="1:20" ht="15" customHeight="1">
      <c r="A128" s="3"/>
      <c r="B128" s="618"/>
      <c r="C128" s="619"/>
      <c r="D128" s="620"/>
      <c r="E128" s="608"/>
      <c r="F128" s="656"/>
      <c r="G128" s="451"/>
      <c r="H128" s="328"/>
      <c r="I128" s="328"/>
      <c r="J128" s="328"/>
      <c r="K128" s="329"/>
      <c r="L128" s="328"/>
      <c r="M128" s="328"/>
      <c r="N128" s="328"/>
      <c r="O128" s="328"/>
      <c r="P128" s="328"/>
      <c r="Q128" s="328"/>
      <c r="R128" s="328"/>
      <c r="S128" s="456"/>
      <c r="T128" s="64"/>
    </row>
    <row r="129" spans="1:21">
      <c r="A129" s="3"/>
      <c r="B129" s="644"/>
      <c r="C129" s="619"/>
      <c r="D129" s="620"/>
      <c r="E129" s="608"/>
      <c r="F129" s="657"/>
      <c r="G129" s="451"/>
      <c r="H129" s="328"/>
      <c r="I129" s="245"/>
      <c r="J129" s="245"/>
      <c r="K129" s="282"/>
      <c r="L129" s="245"/>
      <c r="M129" s="245"/>
      <c r="N129" s="245"/>
      <c r="O129" s="245"/>
      <c r="P129" s="328"/>
      <c r="Q129" s="328"/>
      <c r="R129" s="328"/>
      <c r="S129" s="456"/>
      <c r="T129" s="64"/>
    </row>
    <row r="130" spans="1:21">
      <c r="A130" s="3"/>
      <c r="B130" s="634"/>
      <c r="C130" s="635"/>
      <c r="D130" s="636"/>
      <c r="E130" s="603"/>
      <c r="F130" s="658"/>
      <c r="G130" s="452"/>
      <c r="H130" s="453"/>
      <c r="I130" s="453"/>
      <c r="J130" s="453"/>
      <c r="K130" s="454"/>
      <c r="L130" s="453"/>
      <c r="M130" s="453"/>
      <c r="N130" s="453"/>
      <c r="O130" s="453"/>
      <c r="P130" s="453"/>
      <c r="Q130" s="453"/>
      <c r="R130" s="453"/>
      <c r="S130" s="455"/>
      <c r="T130" s="64"/>
    </row>
    <row r="131" spans="1:21">
      <c r="A131" s="3"/>
      <c r="B131" s="637"/>
      <c r="C131" s="635"/>
      <c r="D131" s="636"/>
      <c r="E131" s="603"/>
      <c r="F131" s="658"/>
      <c r="G131" s="452"/>
      <c r="H131" s="453"/>
      <c r="I131" s="453"/>
      <c r="J131" s="453"/>
      <c r="K131" s="454"/>
      <c r="L131" s="453"/>
      <c r="M131" s="453"/>
      <c r="N131" s="453"/>
      <c r="O131" s="453"/>
      <c r="P131" s="453"/>
      <c r="Q131" s="453"/>
      <c r="R131" s="453"/>
      <c r="S131" s="455"/>
      <c r="T131" s="64"/>
    </row>
    <row r="132" spans="1:21" ht="14.25" customHeight="1">
      <c r="A132" s="3"/>
      <c r="B132" s="618"/>
      <c r="C132" s="619"/>
      <c r="D132" s="620"/>
      <c r="E132" s="608"/>
      <c r="F132" s="632"/>
      <c r="G132" s="451"/>
      <c r="H132" s="328"/>
      <c r="I132" s="328"/>
      <c r="J132" s="328"/>
      <c r="K132" s="328"/>
      <c r="L132" s="328"/>
      <c r="M132" s="328"/>
      <c r="N132" s="328"/>
      <c r="O132" s="328"/>
      <c r="P132" s="328"/>
      <c r="Q132" s="328"/>
      <c r="R132" s="328"/>
      <c r="S132" s="456"/>
      <c r="T132" s="64"/>
    </row>
    <row r="133" spans="1:21">
      <c r="A133" s="3"/>
      <c r="B133" s="644"/>
      <c r="C133" s="619"/>
      <c r="D133" s="620"/>
      <c r="E133" s="608"/>
      <c r="F133" s="632"/>
      <c r="G133" s="451"/>
      <c r="H133" s="328"/>
      <c r="I133" s="328"/>
      <c r="J133" s="328"/>
      <c r="K133" s="328"/>
      <c r="L133" s="328"/>
      <c r="M133" s="328"/>
      <c r="N133" s="328"/>
      <c r="O133" s="328"/>
      <c r="P133" s="328"/>
      <c r="Q133" s="328"/>
      <c r="R133" s="328"/>
      <c r="S133" s="456"/>
      <c r="T133" s="64"/>
    </row>
    <row r="134" spans="1:21" ht="14.25" customHeight="1">
      <c r="A134" s="3"/>
      <c r="B134" s="634"/>
      <c r="C134" s="635"/>
      <c r="D134" s="636"/>
      <c r="E134" s="603"/>
      <c r="F134" s="630"/>
      <c r="G134" s="452"/>
      <c r="H134" s="453"/>
      <c r="I134" s="453"/>
      <c r="J134" s="453"/>
      <c r="K134" s="453"/>
      <c r="L134" s="453"/>
      <c r="M134" s="453"/>
      <c r="N134" s="453"/>
      <c r="O134" s="453"/>
      <c r="P134" s="453"/>
      <c r="Q134" s="453"/>
      <c r="R134" s="453"/>
      <c r="S134" s="455"/>
      <c r="T134" s="64"/>
    </row>
    <row r="135" spans="1:21">
      <c r="A135" s="3"/>
      <c r="B135" s="637"/>
      <c r="C135" s="635"/>
      <c r="D135" s="636"/>
      <c r="E135" s="603"/>
      <c r="F135" s="630"/>
      <c r="G135" s="452"/>
      <c r="H135" s="453"/>
      <c r="I135" s="453"/>
      <c r="J135" s="453"/>
      <c r="K135" s="453"/>
      <c r="L135" s="453"/>
      <c r="M135" s="453"/>
      <c r="N135" s="453"/>
      <c r="O135" s="453"/>
      <c r="P135" s="453"/>
      <c r="Q135" s="453"/>
      <c r="R135" s="453"/>
      <c r="S135" s="455"/>
      <c r="T135" s="64"/>
    </row>
    <row r="136" spans="1:21" ht="14.25" customHeight="1">
      <c r="A136" s="3"/>
      <c r="B136" s="618"/>
      <c r="C136" s="619"/>
      <c r="D136" s="620"/>
      <c r="E136" s="608"/>
      <c r="F136" s="632"/>
      <c r="G136" s="451"/>
      <c r="H136" s="328"/>
      <c r="I136" s="328"/>
      <c r="J136" s="328"/>
      <c r="K136" s="328"/>
      <c r="L136" s="328"/>
      <c r="M136" s="328"/>
      <c r="N136" s="328"/>
      <c r="O136" s="328"/>
      <c r="P136" s="328"/>
      <c r="Q136" s="328"/>
      <c r="R136" s="328"/>
      <c r="S136" s="456"/>
      <c r="T136" s="64"/>
    </row>
    <row r="137" spans="1:21" ht="15.75" thickBot="1">
      <c r="A137" s="3"/>
      <c r="B137" s="621"/>
      <c r="C137" s="622"/>
      <c r="D137" s="623"/>
      <c r="E137" s="631"/>
      <c r="F137" s="633"/>
      <c r="G137" s="457"/>
      <c r="H137" s="458"/>
      <c r="I137" s="458"/>
      <c r="J137" s="458"/>
      <c r="K137" s="458"/>
      <c r="L137" s="458"/>
      <c r="M137" s="458"/>
      <c r="N137" s="458"/>
      <c r="O137" s="458"/>
      <c r="P137" s="458"/>
      <c r="Q137" s="458"/>
      <c r="R137" s="458"/>
      <c r="S137" s="459"/>
      <c r="T137" s="64"/>
    </row>
    <row r="138" spans="1:21">
      <c r="A138" s="3"/>
      <c r="B138" s="3"/>
      <c r="C138" s="3"/>
      <c r="D138" s="3"/>
      <c r="E138" s="3"/>
      <c r="F138" s="3"/>
      <c r="G138" s="2"/>
      <c r="H138" s="3"/>
      <c r="I138" s="3"/>
      <c r="J138" s="3"/>
      <c r="K138" s="3"/>
      <c r="L138" s="3"/>
      <c r="M138" s="3"/>
      <c r="N138" s="3"/>
      <c r="O138" s="3"/>
      <c r="R138" s="36"/>
      <c r="S138" s="36"/>
    </row>
    <row r="139" spans="1:21">
      <c r="A139" s="3"/>
      <c r="B139" s="3"/>
      <c r="C139" s="3"/>
      <c r="D139" s="3"/>
      <c r="E139" s="3"/>
      <c r="F139" s="3"/>
      <c r="G139" s="2"/>
      <c r="H139" s="3"/>
      <c r="I139" s="3"/>
      <c r="J139" s="3"/>
      <c r="K139" s="3"/>
      <c r="L139" s="3"/>
      <c r="M139" s="3"/>
      <c r="N139" s="3"/>
      <c r="O139" s="3"/>
      <c r="R139" s="36"/>
      <c r="S139" s="36"/>
    </row>
    <row r="140" spans="1:21">
      <c r="A140" s="3"/>
      <c r="B140" s="3"/>
      <c r="C140" s="3"/>
      <c r="D140" s="3"/>
      <c r="E140" s="3"/>
      <c r="F140" s="3"/>
      <c r="G140" s="2"/>
      <c r="H140" s="3"/>
      <c r="I140" s="3"/>
      <c r="J140" s="3"/>
      <c r="K140" s="3"/>
      <c r="L140" s="3"/>
      <c r="M140" s="3"/>
      <c r="N140" s="3"/>
      <c r="O140" s="3"/>
      <c r="R140" s="36"/>
      <c r="S140" s="36"/>
    </row>
    <row r="141" spans="1:21" ht="16.5" thickBot="1">
      <c r="A141" s="3"/>
      <c r="B141" s="332"/>
      <c r="C141" s="3"/>
      <c r="D141" s="3"/>
      <c r="E141" s="3"/>
      <c r="F141" s="3"/>
      <c r="G141" s="2"/>
      <c r="H141" s="3"/>
      <c r="I141" s="3"/>
      <c r="J141" s="3"/>
      <c r="K141" s="3"/>
      <c r="L141" s="3"/>
      <c r="M141" s="3"/>
      <c r="N141" s="3"/>
      <c r="O141" s="3"/>
      <c r="R141" s="36"/>
      <c r="S141" s="36"/>
    </row>
    <row r="142" spans="1:21" ht="15.75" thickBot="1">
      <c r="A142" s="3"/>
      <c r="B142" s="3" t="s">
        <v>407</v>
      </c>
      <c r="C142" s="3"/>
      <c r="D142" s="3"/>
      <c r="E142" s="330" t="s">
        <v>328</v>
      </c>
      <c r="F142" s="286" t="s">
        <v>345</v>
      </c>
      <c r="G142" s="248"/>
      <c r="H142" s="391" t="str">
        <f t="shared" ref="H142:S142" si="7">C30</f>
        <v>P1</v>
      </c>
      <c r="I142" s="391" t="str">
        <f t="shared" si="7"/>
        <v>P2</v>
      </c>
      <c r="J142" s="391" t="str">
        <f t="shared" si="7"/>
        <v>P3</v>
      </c>
      <c r="K142" s="391" t="str">
        <f t="shared" si="7"/>
        <v>P4</v>
      </c>
      <c r="L142" s="391" t="str">
        <f t="shared" si="7"/>
        <v>P5</v>
      </c>
      <c r="M142" s="391" t="str">
        <f t="shared" si="7"/>
        <v>P6</v>
      </c>
      <c r="N142" s="391" t="str">
        <f t="shared" si="7"/>
        <v>P7</v>
      </c>
      <c r="O142" s="391" t="str">
        <f t="shared" si="7"/>
        <v>P8</v>
      </c>
      <c r="P142" s="391" t="str">
        <f t="shared" si="7"/>
        <v>P9</v>
      </c>
      <c r="Q142" s="391" t="str">
        <f t="shared" si="7"/>
        <v>P10</v>
      </c>
      <c r="R142" s="391" t="str">
        <f t="shared" si="7"/>
        <v>P11</v>
      </c>
      <c r="S142" s="392" t="str">
        <f t="shared" si="7"/>
        <v>P12</v>
      </c>
      <c r="T142" s="36"/>
      <c r="U142" s="36"/>
    </row>
    <row r="143" spans="1:21">
      <c r="A143" s="3"/>
      <c r="B143" s="638" t="str">
        <f>IF(ISBLANK(B118),"",(B118))</f>
        <v>MDR TB-3: Number of cases with drug resistant TB (RR-TB and/or MDR-TB) that began second-line treatment</v>
      </c>
      <c r="C143" s="639"/>
      <c r="D143" s="640"/>
      <c r="E143" s="626" t="str">
        <f>IF(ISBLANK(E118),"",(E118))</f>
        <v>TB-3</v>
      </c>
      <c r="F143" s="628" t="str">
        <f>IF(ISBLANK(F118),"",(F118))</f>
        <v>Yes</v>
      </c>
      <c r="G143" s="358" t="s">
        <v>86</v>
      </c>
      <c r="H143" s="422">
        <f t="shared" ref="H143:K144" si="8">H118</f>
        <v>111</v>
      </c>
      <c r="I143" s="422">
        <f t="shared" si="8"/>
        <v>111</v>
      </c>
      <c r="J143" s="422">
        <f t="shared" si="8"/>
        <v>111</v>
      </c>
      <c r="K143" s="422">
        <f t="shared" si="8"/>
        <v>111</v>
      </c>
      <c r="L143" s="422">
        <f t="shared" ref="L143:S143" si="9">L118</f>
        <v>112</v>
      </c>
      <c r="M143" s="422">
        <f t="shared" si="9"/>
        <v>112</v>
      </c>
      <c r="N143" s="422">
        <f t="shared" si="9"/>
        <v>112</v>
      </c>
      <c r="O143" s="422">
        <f t="shared" si="9"/>
        <v>113</v>
      </c>
      <c r="P143" s="422">
        <f t="shared" si="9"/>
        <v>112</v>
      </c>
      <c r="Q143" s="422">
        <f t="shared" si="9"/>
        <v>113</v>
      </c>
      <c r="R143" s="422">
        <f t="shared" si="9"/>
        <v>113</v>
      </c>
      <c r="S143" s="475">
        <f t="shared" si="9"/>
        <v>113</v>
      </c>
      <c r="T143" s="36"/>
      <c r="U143" s="36"/>
    </row>
    <row r="144" spans="1:21">
      <c r="A144" s="3"/>
      <c r="B144" s="641"/>
      <c r="C144" s="642"/>
      <c r="D144" s="643"/>
      <c r="E144" s="626"/>
      <c r="F144" s="628"/>
      <c r="G144" s="131" t="s">
        <v>87</v>
      </c>
      <c r="H144" s="422">
        <f t="shared" si="8"/>
        <v>91</v>
      </c>
      <c r="I144" s="422">
        <f t="shared" si="8"/>
        <v>94</v>
      </c>
      <c r="J144" s="422">
        <f t="shared" si="8"/>
        <v>66</v>
      </c>
      <c r="K144" s="422">
        <f t="shared" si="8"/>
        <v>77</v>
      </c>
      <c r="L144" s="422">
        <f t="shared" ref="L144:S144" si="10">L119</f>
        <v>80</v>
      </c>
      <c r="M144" s="422">
        <f t="shared" si="10"/>
        <v>72</v>
      </c>
      <c r="N144" s="422">
        <f t="shared" si="10"/>
        <v>76</v>
      </c>
      <c r="O144" s="422">
        <f t="shared" si="10"/>
        <v>59</v>
      </c>
      <c r="P144" s="422">
        <f t="shared" si="10"/>
        <v>75</v>
      </c>
      <c r="Q144" s="422">
        <f t="shared" si="10"/>
        <v>0</v>
      </c>
      <c r="R144" s="422">
        <f t="shared" si="10"/>
        <v>0</v>
      </c>
      <c r="S144" s="475">
        <f t="shared" si="10"/>
        <v>0</v>
      </c>
      <c r="T144" s="36"/>
      <c r="U144" s="36"/>
    </row>
    <row r="145" spans="1:21">
      <c r="A145" s="3"/>
      <c r="B145" s="662" t="str">
        <f>IF(ISBLANK(B120),"",(B120))</f>
        <v>MDR TB-8: Number of cases of XDR TB enrolled on treatment</v>
      </c>
      <c r="C145" s="663"/>
      <c r="D145" s="664"/>
      <c r="E145" s="624" t="str">
        <f>IF(ISBLANK(E120),"",(E120))</f>
        <v>TB-8</v>
      </c>
      <c r="F145" s="625" t="str">
        <f>IF(ISBLANK(F120),"",(F120))</f>
        <v>Yes</v>
      </c>
      <c r="G145" s="460" t="s">
        <v>86</v>
      </c>
      <c r="H145" s="461">
        <f t="shared" ref="H145:K148" si="11">H120</f>
        <v>16</v>
      </c>
      <c r="I145" s="461">
        <f>I120</f>
        <v>17</v>
      </c>
      <c r="J145" s="461">
        <f t="shared" si="11"/>
        <v>16</v>
      </c>
      <c r="K145" s="461">
        <f>K120</f>
        <v>17</v>
      </c>
      <c r="L145" s="461">
        <f t="shared" ref="L145:S145" si="12">L120</f>
        <v>16</v>
      </c>
      <c r="M145" s="461">
        <f t="shared" si="12"/>
        <v>17</v>
      </c>
      <c r="N145" s="461">
        <f t="shared" si="12"/>
        <v>17</v>
      </c>
      <c r="O145" s="461">
        <f t="shared" si="12"/>
        <v>17</v>
      </c>
      <c r="P145" s="461">
        <f t="shared" si="12"/>
        <v>16</v>
      </c>
      <c r="Q145" s="461">
        <f t="shared" si="12"/>
        <v>17</v>
      </c>
      <c r="R145" s="461">
        <f t="shared" si="12"/>
        <v>17</v>
      </c>
      <c r="S145" s="476">
        <f t="shared" si="12"/>
        <v>17</v>
      </c>
      <c r="T145" s="36"/>
      <c r="U145" s="36"/>
    </row>
    <row r="146" spans="1:21">
      <c r="A146" s="3"/>
      <c r="B146" s="662"/>
      <c r="C146" s="663"/>
      <c r="D146" s="664"/>
      <c r="E146" s="624"/>
      <c r="F146" s="625"/>
      <c r="G146" s="460" t="s">
        <v>87</v>
      </c>
      <c r="H146" s="461">
        <f t="shared" si="11"/>
        <v>12</v>
      </c>
      <c r="I146" s="461">
        <f t="shared" si="11"/>
        <v>13</v>
      </c>
      <c r="J146" s="461">
        <f t="shared" si="11"/>
        <v>13</v>
      </c>
      <c r="K146" s="461">
        <f t="shared" si="11"/>
        <v>18</v>
      </c>
      <c r="L146" s="461">
        <f t="shared" ref="L146:S146" si="13">L121</f>
        <v>15</v>
      </c>
      <c r="M146" s="461">
        <f t="shared" si="13"/>
        <v>12</v>
      </c>
      <c r="N146" s="461">
        <f t="shared" si="13"/>
        <v>8</v>
      </c>
      <c r="O146" s="461">
        <f t="shared" si="13"/>
        <v>10</v>
      </c>
      <c r="P146" s="461">
        <f t="shared" si="13"/>
        <v>8</v>
      </c>
      <c r="Q146" s="461">
        <f t="shared" si="13"/>
        <v>0</v>
      </c>
      <c r="R146" s="461">
        <f t="shared" si="13"/>
        <v>0</v>
      </c>
      <c r="S146" s="476">
        <f t="shared" si="13"/>
        <v>0</v>
      </c>
      <c r="T146" s="36"/>
      <c r="U146" s="36"/>
    </row>
    <row r="147" spans="1:21">
      <c r="A147" s="3"/>
      <c r="B147" s="612" t="str">
        <f>IF(ISBLANK(B122),"",(B122))</f>
        <v>MDR TB other -1: Percentage  of new and relapse TB patients tested using WHO recommended rapid tests at the time of diagnosis</v>
      </c>
      <c r="C147" s="613"/>
      <c r="D147" s="614"/>
      <c r="E147" s="626" t="str">
        <f>IF(ISBLANK(E122),"",(E122))</f>
        <v>TB other 1</v>
      </c>
      <c r="F147" s="628" t="str">
        <f>IF(ISBLANK(F122),"",(F122))</f>
        <v>Yes</v>
      </c>
      <c r="G147" s="131" t="s">
        <v>86</v>
      </c>
      <c r="H147" s="422">
        <f t="shared" si="11"/>
        <v>75</v>
      </c>
      <c r="I147" s="422">
        <f t="shared" si="11"/>
        <v>75</v>
      </c>
      <c r="J147" s="422">
        <f t="shared" si="11"/>
        <v>75</v>
      </c>
      <c r="K147" s="422">
        <f t="shared" si="11"/>
        <v>75</v>
      </c>
      <c r="L147" s="422">
        <f t="shared" ref="L147:S147" si="14">L122</f>
        <v>80</v>
      </c>
      <c r="M147" s="422">
        <f t="shared" si="14"/>
        <v>80</v>
      </c>
      <c r="N147" s="422">
        <f t="shared" si="14"/>
        <v>80</v>
      </c>
      <c r="O147" s="422">
        <f t="shared" si="14"/>
        <v>80</v>
      </c>
      <c r="P147" s="422">
        <f t="shared" si="14"/>
        <v>85</v>
      </c>
      <c r="Q147" s="422">
        <f t="shared" si="14"/>
        <v>85</v>
      </c>
      <c r="R147" s="422">
        <f t="shared" si="14"/>
        <v>85</v>
      </c>
      <c r="S147" s="475">
        <f t="shared" si="14"/>
        <v>85</v>
      </c>
      <c r="T147" s="36"/>
      <c r="U147" s="36"/>
    </row>
    <row r="148" spans="1:21" ht="15.75" thickBot="1">
      <c r="A148" s="3"/>
      <c r="B148" s="615"/>
      <c r="C148" s="616"/>
      <c r="D148" s="617"/>
      <c r="E148" s="627"/>
      <c r="F148" s="629"/>
      <c r="G148" s="132" t="s">
        <v>87</v>
      </c>
      <c r="H148" s="423">
        <f t="shared" si="11"/>
        <v>97</v>
      </c>
      <c r="I148" s="423">
        <f t="shared" si="11"/>
        <v>94</v>
      </c>
      <c r="J148" s="423">
        <f t="shared" si="11"/>
        <v>95</v>
      </c>
      <c r="K148" s="423">
        <f t="shared" si="11"/>
        <v>93</v>
      </c>
      <c r="L148" s="423">
        <f t="shared" ref="L148:S148" si="15">L123</f>
        <v>94</v>
      </c>
      <c r="M148" s="423">
        <f t="shared" si="15"/>
        <v>97</v>
      </c>
      <c r="N148" s="423">
        <f t="shared" si="15"/>
        <v>94</v>
      </c>
      <c r="O148" s="423">
        <f t="shared" si="15"/>
        <v>94</v>
      </c>
      <c r="P148" s="423">
        <f t="shared" si="15"/>
        <v>94</v>
      </c>
      <c r="Q148" s="423">
        <f t="shared" si="15"/>
        <v>0</v>
      </c>
      <c r="R148" s="423">
        <f t="shared" si="15"/>
        <v>0</v>
      </c>
      <c r="S148" s="477">
        <f t="shared" si="15"/>
        <v>0</v>
      </c>
      <c r="T148" s="36"/>
      <c r="U148" s="36"/>
    </row>
    <row r="149" spans="1:21">
      <c r="A149" s="3"/>
      <c r="B149" s="3"/>
      <c r="C149" s="3"/>
      <c r="D149" s="3"/>
      <c r="E149" s="3"/>
      <c r="F149" s="3"/>
      <c r="G149" s="3"/>
      <c r="H149" s="3"/>
      <c r="I149" s="3"/>
      <c r="J149" s="3"/>
      <c r="K149" s="3"/>
      <c r="L149" s="3"/>
      <c r="M149" s="3"/>
      <c r="N149"/>
      <c r="O149"/>
      <c r="P149" s="36"/>
      <c r="Q149" s="36"/>
      <c r="S149" s="462"/>
    </row>
    <row r="150" spans="1:21">
      <c r="N150"/>
      <c r="O150"/>
      <c r="P150" s="36"/>
      <c r="Q150" s="36"/>
    </row>
    <row r="151" spans="1:21">
      <c r="N151"/>
      <c r="O151"/>
      <c r="P151" s="36"/>
      <c r="Q151" s="36"/>
    </row>
    <row r="152" spans="1:21">
      <c r="N152"/>
      <c r="O152"/>
      <c r="P152" s="36"/>
      <c r="Q152" s="36"/>
    </row>
  </sheetData>
  <mergeCells count="73">
    <mergeCell ref="D24:E24"/>
    <mergeCell ref="G24:H24"/>
    <mergeCell ref="I24:J24"/>
    <mergeCell ref="A118:A123"/>
    <mergeCell ref="B29:N29"/>
    <mergeCell ref="B118:D119"/>
    <mergeCell ref="B60:D60"/>
    <mergeCell ref="F122:F123"/>
    <mergeCell ref="B120:D121"/>
    <mergeCell ref="B122:D123"/>
    <mergeCell ref="B73:C73"/>
    <mergeCell ref="E122:E123"/>
    <mergeCell ref="B116:D116"/>
    <mergeCell ref="B2:J2"/>
    <mergeCell ref="C4:D4"/>
    <mergeCell ref="E4:F4"/>
    <mergeCell ref="G4:J4"/>
    <mergeCell ref="H16:I16"/>
    <mergeCell ref="C6:D6"/>
    <mergeCell ref="E6:F6"/>
    <mergeCell ref="I6:J6"/>
    <mergeCell ref="G12:J12"/>
    <mergeCell ref="G10:J10"/>
    <mergeCell ref="B18:C18"/>
    <mergeCell ref="E10:F10"/>
    <mergeCell ref="I8:J8"/>
    <mergeCell ref="C10:D10"/>
    <mergeCell ref="E12:F12"/>
    <mergeCell ref="C8:D8"/>
    <mergeCell ref="B14:J14"/>
    <mergeCell ref="B145:D146"/>
    <mergeCell ref="B128:D129"/>
    <mergeCell ref="B130:D131"/>
    <mergeCell ref="B132:D133"/>
    <mergeCell ref="B134:D135"/>
    <mergeCell ref="B124:D125"/>
    <mergeCell ref="C12:D12"/>
    <mergeCell ref="D18:F18"/>
    <mergeCell ref="F132:F133"/>
    <mergeCell ref="F126:F127"/>
    <mergeCell ref="B71:C71"/>
    <mergeCell ref="B26:C26"/>
    <mergeCell ref="B108:B111"/>
    <mergeCell ref="F128:F129"/>
    <mergeCell ref="E130:E131"/>
    <mergeCell ref="F130:F131"/>
    <mergeCell ref="E124:E125"/>
    <mergeCell ref="E128:E129"/>
    <mergeCell ref="F124:F125"/>
    <mergeCell ref="B21:J21"/>
    <mergeCell ref="B72:C72"/>
    <mergeCell ref="B147:D148"/>
    <mergeCell ref="B136:D137"/>
    <mergeCell ref="E145:E146"/>
    <mergeCell ref="E126:E127"/>
    <mergeCell ref="F145:F146"/>
    <mergeCell ref="E147:E148"/>
    <mergeCell ref="F147:F148"/>
    <mergeCell ref="E134:E135"/>
    <mergeCell ref="F134:F135"/>
    <mergeCell ref="E136:E137"/>
    <mergeCell ref="F136:F137"/>
    <mergeCell ref="E143:E144"/>
    <mergeCell ref="F143:F144"/>
    <mergeCell ref="B126:D127"/>
    <mergeCell ref="E132:E133"/>
    <mergeCell ref="B143:D144"/>
    <mergeCell ref="O31:O34"/>
    <mergeCell ref="E118:E119"/>
    <mergeCell ref="F118:F119"/>
    <mergeCell ref="F120:F121"/>
    <mergeCell ref="E120:E121"/>
    <mergeCell ref="F47:I47"/>
  </mergeCells>
  <phoneticPr fontId="30" type="noConversion"/>
  <conditionalFormatting sqref="B34 C33:N33 B32 F32:H32">
    <cfRule type="expression" dxfId="45" priority="6" stopIfTrue="1">
      <formula>+AND(#REF!&gt;=#REF!,#REF!&lt;=#REF!)</formula>
    </cfRule>
  </conditionalFormatting>
  <conditionalFormatting sqref="C34:N34">
    <cfRule type="expression" dxfId="44" priority="7" stopIfTrue="1">
      <formula>+AND(#REF!&gt;=#REF!,#REF!&lt;=#REF!)</formula>
    </cfRule>
  </conditionalFormatting>
  <conditionalFormatting sqref="C30:N30 C94:N94">
    <cfRule type="cellIs" dxfId="43" priority="10" stopIfTrue="1" operator="equal">
      <formula>$C$16</formula>
    </cfRule>
  </conditionalFormatting>
  <conditionalFormatting sqref="C12:D12">
    <cfRule type="cellIs" dxfId="42" priority="12" stopIfTrue="1" operator="equal">
      <formula>"C"</formula>
    </cfRule>
    <cfRule type="cellIs" dxfId="41" priority="13" stopIfTrue="1" operator="equal">
      <formula>"B2"</formula>
    </cfRule>
    <cfRule type="cellIs" dxfId="40" priority="14" stopIfTrue="1" operator="equal">
      <formula>"B1"</formula>
    </cfRule>
  </conditionalFormatting>
  <conditionalFormatting sqref="H116:S117 H142:S142">
    <cfRule type="cellIs" dxfId="39" priority="21" stopIfTrue="1" operator="equal">
      <formula>$C$16</formula>
    </cfRule>
  </conditionalFormatting>
  <conditionalFormatting sqref="F47:I47">
    <cfRule type="expression" dxfId="38" priority="22" stopIfTrue="1">
      <formula>LEFT($F$47,2)="OK"</formula>
    </cfRule>
  </conditionalFormatting>
  <conditionalFormatting sqref="D32">
    <cfRule type="expression" dxfId="37" priority="5" stopIfTrue="1">
      <formula>+AND(#REF!&gt;=#REF!,#REF!&lt;=#REF!)</formula>
    </cfRule>
  </conditionalFormatting>
  <conditionalFormatting sqref="I32">
    <cfRule type="expression" dxfId="36" priority="4" stopIfTrue="1">
      <formula>+AND(#REF!&gt;=#REF!,#REF!&lt;=#REF!)</formula>
    </cfRule>
  </conditionalFormatting>
  <conditionalFormatting sqref="C31">
    <cfRule type="expression" dxfId="35" priority="3" stopIfTrue="1">
      <formula>+AND(#REF!&gt;=#REF!,#REF!&lt;=#REF!)</formula>
    </cfRule>
  </conditionalFormatting>
  <conditionalFormatting sqref="C32">
    <cfRule type="expression" dxfId="34" priority="2" stopIfTrue="1">
      <formula>+AND(#REF!&gt;=#REF!,#REF!&lt;=#REF!)</formula>
    </cfRule>
  </conditionalFormatting>
  <conditionalFormatting sqref="E32">
    <cfRule type="expression" dxfId="33" priority="1" stopIfTrue="1">
      <formula>+AND(#REF!&gt;=#REF!,#REF!&lt;=#REF!)</formula>
    </cfRule>
  </conditionalFormatting>
  <dataValidations count="9">
    <dataValidation type="list" allowBlank="1" showInputMessage="1" showErrorMessage="1" sqref="B108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8:C111">
      <formula1>Medicaments</formula1>
    </dataValidation>
  </dataValidations>
  <pageMargins left="0.70866141732283472" right="0.70866141732283472" top="0.74803149606299213" bottom="0.74803149606299213" header="0.31496062992125984" footer="0.31496062992125984"/>
  <pageSetup paperSize="9" scale="77" orientation="landscape" r:id="rId1"/>
  <headerFooter>
    <oddFooter>&amp;L&amp;F&amp;C&amp;A&amp;RV1.0          &amp;D</oddFooter>
  </headerFooter>
  <rowBreaks count="3" manualBreakCount="3">
    <brk id="27" max="16383" man="1"/>
    <brk id="65" max="16383" man="1"/>
    <brk id="67" max="16383" man="1"/>
  </rowBreaks>
  <ignoredErrors>
    <ignoredError sqref="H142:S142 E143 E90 C32 D96:E96 E32:F32 J97 C52:D52 K96"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zoomScale="110" zoomScaleNormal="110" zoomScaleSheetLayoutView="100" zoomScalePageLayoutView="110" workbookViewId="0">
      <selection activeCell="F6" sqref="F6:J6"/>
    </sheetView>
  </sheetViews>
  <sheetFormatPr defaultColWidth="11.42578125" defaultRowHeight="15"/>
  <cols>
    <col min="1" max="1" width="21.140625" style="3" customWidth="1"/>
    <col min="2" max="2" width="12.42578125" style="3" customWidth="1"/>
    <col min="3" max="3" width="20.42578125" style="3" customWidth="1"/>
    <col min="4" max="4" width="15.285156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42578125" style="3" customWidth="1"/>
    <col min="15" max="15" width="7.140625" style="3" customWidth="1"/>
    <col min="16" max="16384" width="11.42578125" style="3"/>
  </cols>
  <sheetData>
    <row r="1" spans="1:24" ht="21" customHeight="1">
      <c r="A1" s="2"/>
      <c r="B1" s="2"/>
      <c r="C1" s="2"/>
      <c r="D1" s="2"/>
      <c r="E1" s="2"/>
      <c r="F1" s="2"/>
      <c r="G1" s="276"/>
      <c r="H1" s="2"/>
      <c r="I1" s="2"/>
      <c r="J1" s="2"/>
    </row>
    <row r="2" spans="1:24" ht="25.5" customHeight="1"/>
    <row r="3" spans="1:24" ht="36">
      <c r="B3" s="709" t="str">
        <f>+"Dashboard: "&amp;" "&amp;+IF('Data Entry'!C4="Please Select","",'Data Entry'!C4&amp;" - ")&amp;+IF('Data Entry'!G6="Please Select","",'Data Entry'!G6)</f>
        <v>Dashboard:  Georgia - TB</v>
      </c>
      <c r="C3" s="709"/>
      <c r="D3" s="709"/>
      <c r="E3" s="709"/>
      <c r="F3" s="709"/>
      <c r="G3" s="709"/>
      <c r="H3" s="709"/>
      <c r="I3" s="709"/>
      <c r="J3" s="709"/>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69" t="s">
        <v>26</v>
      </c>
      <c r="B6" s="710" t="str">
        <f>+IF('Data Entry'!C4="Please Select","",'Data Entry'!C4)</f>
        <v>Georgia</v>
      </c>
      <c r="C6" s="710"/>
      <c r="D6" s="713" t="s">
        <v>12</v>
      </c>
      <c r="E6" s="713"/>
      <c r="F6" s="714" t="str">
        <f>+'Data Entry'!G4</f>
        <v>Sustaining Universal Access to Quality Diagnosis and Treatment of all forms of TB</v>
      </c>
      <c r="G6" s="714"/>
      <c r="H6" s="714"/>
      <c r="I6" s="714"/>
      <c r="J6" s="714"/>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83" t="s">
        <v>27</v>
      </c>
      <c r="B9" s="349" t="str">
        <f>+IF('Data Entry'!G6="Please Select","",'Data Entry'!G6)</f>
        <v>TB</v>
      </c>
      <c r="C9" s="228" t="s">
        <v>329</v>
      </c>
      <c r="D9" s="350" t="str">
        <f>+'Data Entry'!C6</f>
        <v>GEO-T-NCDC</v>
      </c>
      <c r="E9" s="712" t="s">
        <v>13</v>
      </c>
      <c r="F9" s="712"/>
      <c r="G9" s="351">
        <f>+IF(ISBLANK('Data Entry'!C10),"",'Data Entry'!C10)</f>
        <v>42736</v>
      </c>
      <c r="H9" s="383" t="s">
        <v>330</v>
      </c>
      <c r="I9" s="711">
        <f>+IF(ISBLANK('Data Entry'!I6),"",'Data Entry'!I6)</f>
        <v>12125491</v>
      </c>
      <c r="J9" s="711"/>
      <c r="K9" s="50"/>
      <c r="L9" s="50"/>
      <c r="M9" s="50"/>
      <c r="N9" s="50"/>
      <c r="O9" s="52"/>
      <c r="P9" s="51"/>
      <c r="Q9" s="52"/>
      <c r="R9" s="53"/>
      <c r="S9" s="17"/>
      <c r="T9" s="11"/>
      <c r="U9" s="11"/>
      <c r="V9" s="10"/>
      <c r="W9" s="10"/>
      <c r="X9" s="10"/>
    </row>
    <row r="10" spans="1:24" ht="25.5" customHeight="1">
      <c r="A10" s="383" t="s">
        <v>324</v>
      </c>
      <c r="B10" s="352" t="str">
        <f>+IF('Data Entry'!G8="Please Select","",'Data Entry'!G8)</f>
        <v>NFM</v>
      </c>
      <c r="C10" s="228" t="s">
        <v>323</v>
      </c>
      <c r="D10" s="353" t="str">
        <f>+IF('Data Entry'!I8="Please Select","",'Data Entry'!I8)</f>
        <v>Phase 1</v>
      </c>
      <c r="E10" s="705" t="s">
        <v>269</v>
      </c>
      <c r="F10" s="705"/>
      <c r="G10" s="704" t="str">
        <f>+'Data Entry'!C8</f>
        <v>NCDC</v>
      </c>
      <c r="H10" s="704"/>
      <c r="I10" s="704"/>
      <c r="J10" s="704"/>
      <c r="K10" s="54"/>
      <c r="L10" s="54"/>
      <c r="M10" s="50"/>
      <c r="N10" s="54"/>
      <c r="O10" s="52"/>
      <c r="P10" s="51"/>
      <c r="Q10" s="11"/>
      <c r="R10" s="53"/>
      <c r="S10" s="17"/>
      <c r="T10" s="11"/>
      <c r="U10" s="11"/>
    </row>
    <row r="11" spans="1:24" ht="25.5" customHeight="1">
      <c r="A11" s="383" t="s">
        <v>21</v>
      </c>
      <c r="B11" s="354" t="str">
        <f>+'Data Entry'!C16</f>
        <v>P9</v>
      </c>
      <c r="C11" s="335" t="s">
        <v>267</v>
      </c>
      <c r="D11" s="355">
        <f>+IF(ISBLANK('Data Entry'!E16),"",'Data Entry'!E16)</f>
        <v>43466</v>
      </c>
      <c r="E11" s="712" t="s">
        <v>22</v>
      </c>
      <c r="F11" s="712"/>
      <c r="G11" s="355">
        <f>+IF(ISBLANK('Data Entry'!G16),"",'Data Entry'!G16)</f>
        <v>43555</v>
      </c>
      <c r="H11" s="383" t="s">
        <v>29</v>
      </c>
      <c r="I11" s="706" t="str">
        <f>+IF('Data Entry'!C12="Please Select","",'Data Entry'!C12)</f>
        <v>A2</v>
      </c>
      <c r="J11" s="706"/>
      <c r="K11" s="275"/>
      <c r="L11" s="54"/>
      <c r="M11" s="50"/>
      <c r="N11" s="54"/>
      <c r="O11" s="54"/>
      <c r="P11" s="51"/>
      <c r="Q11" s="11"/>
      <c r="R11" s="53"/>
      <c r="S11" s="17"/>
      <c r="T11" s="12"/>
      <c r="U11" s="11"/>
    </row>
    <row r="12" spans="1:24" ht="25.5" customHeight="1">
      <c r="A12" s="383" t="s">
        <v>31</v>
      </c>
      <c r="B12" s="704" t="str">
        <f>+IF('Data Entry'!G10="Please Select","",'Data Entry'!G10)</f>
        <v>UNOPS</v>
      </c>
      <c r="C12" s="704"/>
      <c r="D12" s="704"/>
      <c r="E12" s="705" t="s">
        <v>290</v>
      </c>
      <c r="F12" s="705"/>
      <c r="G12" s="704">
        <f>+'Data Entry'!G12</f>
        <v>0</v>
      </c>
      <c r="H12" s="704"/>
      <c r="I12" s="704"/>
      <c r="J12" s="704"/>
      <c r="K12" s="54"/>
      <c r="L12" s="54"/>
      <c r="M12" s="50"/>
      <c r="N12" s="54"/>
      <c r="O12" s="17"/>
      <c r="P12" s="51"/>
      <c r="Q12" s="11"/>
      <c r="R12" s="53"/>
      <c r="S12" s="17"/>
      <c r="T12" s="11"/>
      <c r="U12" s="55"/>
      <c r="V12" s="11"/>
      <c r="W12" s="12"/>
      <c r="X12" s="11"/>
    </row>
    <row r="13" spans="1:24" ht="25.5" customHeight="1">
      <c r="A13" s="383" t="s">
        <v>32</v>
      </c>
      <c r="B13" s="704" t="str">
        <f>+'Data Entry'!D18</f>
        <v>Maka Danelia</v>
      </c>
      <c r="C13" s="704"/>
      <c r="D13" s="704"/>
      <c r="E13" s="705" t="s">
        <v>30</v>
      </c>
      <c r="F13" s="705"/>
      <c r="G13" s="707">
        <f>+IF(ISBLANK('Data Entry'!J16),"",'Data Entry'!J16)</f>
        <v>43612</v>
      </c>
      <c r="H13" s="708"/>
      <c r="I13" s="708"/>
      <c r="J13" s="708"/>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7"/>
      <c r="D16" s="16"/>
      <c r="E16" s="384"/>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3:J3"/>
    <mergeCell ref="B12:D12"/>
    <mergeCell ref="B6:C6"/>
    <mergeCell ref="I9:J9"/>
    <mergeCell ref="E11:F11"/>
    <mergeCell ref="E12:F12"/>
    <mergeCell ref="D6:E6"/>
    <mergeCell ref="F6:J6"/>
    <mergeCell ref="E9:F9"/>
    <mergeCell ref="G10:J10"/>
    <mergeCell ref="B13:D13"/>
    <mergeCell ref="E10:F10"/>
    <mergeCell ref="I11:J11"/>
    <mergeCell ref="G12:J12"/>
    <mergeCell ref="E13:F13"/>
    <mergeCell ref="G13:J13"/>
  </mergeCells>
  <phoneticPr fontId="30" type="noConversion"/>
  <conditionalFormatting sqref="I11:J11">
    <cfRule type="cellIs" dxfId="32" priority="1" stopIfTrue="1" operator="equal">
      <formula>"C"</formula>
    </cfRule>
    <cfRule type="cellIs" dxfId="31" priority="2" stopIfTrue="1" operator="equal">
      <formula>"B2"</formula>
    </cfRule>
    <cfRule type="cellIs" dxfId="30"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headerFooter>
    <oddFooter>&amp;L&amp;F&amp;C&amp;A&amp;RV1.0          &amp;D</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topLeftCell="A22" zoomScale="150" zoomScaleNormal="150" zoomScalePageLayoutView="150" workbookViewId="0">
      <selection activeCell="I32" sqref="I32"/>
    </sheetView>
  </sheetViews>
  <sheetFormatPr defaultColWidth="11" defaultRowHeight="15"/>
  <cols>
    <col min="1" max="1" width="3.42578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659" t="str">
        <f>+"Dashboard:  "&amp;"  "&amp;IF(+'Data Entry'!C4="Please Select","",'Data Entry'!C4&amp;" - ")&amp;IF('Data Entry'!G6="Please Select","",'Data Entry'!G6)</f>
        <v>Dashboard:    Georgia - TB</v>
      </c>
      <c r="C2" s="659"/>
      <c r="D2" s="659"/>
      <c r="E2" s="659"/>
      <c r="F2" s="659"/>
      <c r="G2" s="659"/>
      <c r="H2" s="659"/>
      <c r="I2" s="659"/>
      <c r="J2" s="659"/>
      <c r="K2" s="659"/>
      <c r="L2" s="1"/>
      <c r="M2" s="1"/>
      <c r="N2" s="1"/>
      <c r="O2" s="1"/>
    </row>
    <row r="3" spans="2:15">
      <c r="B3" s="135" t="str">
        <f>+IF('Data Entry'!G8="Please Select","",'Data Entry'!G8)</f>
        <v>NFM</v>
      </c>
      <c r="C3" s="728" t="str">
        <f>+IF('Data Entry'!I8="Please Select","",'Data Entry'!I8)</f>
        <v>Phase 1</v>
      </c>
      <c r="D3" s="728"/>
      <c r="E3" s="727"/>
      <c r="F3" s="727"/>
      <c r="G3" s="727"/>
      <c r="H3" s="727"/>
      <c r="I3" s="725" t="str">
        <f>+'Data Entry'!B16</f>
        <v>Report Period:</v>
      </c>
      <c r="J3" s="725"/>
      <c r="K3" s="201" t="str">
        <f>+'Data Entry'!C16</f>
        <v>P9</v>
      </c>
      <c r="L3" s="83"/>
    </row>
    <row r="4" spans="2:15">
      <c r="B4" s="135" t="str">
        <f>+'Data Entry'!B12</f>
        <v>Latest Rating:</v>
      </c>
      <c r="C4" s="729" t="str">
        <f>+IF('Data Entry'!C12="Please Select","",'Data Entry'!C12)</f>
        <v>A2</v>
      </c>
      <c r="D4" s="729"/>
      <c r="E4" s="727" t="str">
        <f>+'Data Entry'!C8</f>
        <v>NCDC</v>
      </c>
      <c r="F4" s="727"/>
      <c r="G4" s="727"/>
      <c r="H4" s="727"/>
      <c r="I4" s="725" t="str">
        <f>+'Data Entry'!D16</f>
        <v>From:</v>
      </c>
      <c r="J4" s="726"/>
      <c r="K4" s="203">
        <f>+IF(ISBLANK('Data Entry'!E16),"",'Data Entry'!E16)</f>
        <v>43466</v>
      </c>
    </row>
    <row r="5" spans="2:15" ht="18.75" customHeight="1">
      <c r="B5" s="135"/>
      <c r="C5" s="135"/>
      <c r="D5" s="724" t="str">
        <f>+'Data Entry'!G4</f>
        <v>Sustaining Universal Access to Quality Diagnosis and Treatment of all forms of TB</v>
      </c>
      <c r="E5" s="724"/>
      <c r="F5" s="724"/>
      <c r="G5" s="724"/>
      <c r="H5" s="724"/>
      <c r="I5" s="724"/>
      <c r="J5" s="135" t="str">
        <f>+'Data Entry'!F16</f>
        <v>To:</v>
      </c>
      <c r="K5" s="203">
        <f>+IF(ISBLANK('Data Entry'!G16),"",'Data Entry'!G16)</f>
        <v>43555</v>
      </c>
    </row>
    <row r="6" spans="2:15" ht="18.75">
      <c r="B6" s="139"/>
      <c r="C6" s="135"/>
      <c r="D6" s="136"/>
      <c r="E6" s="730" t="s">
        <v>63</v>
      </c>
      <c r="F6" s="730"/>
      <c r="G6" s="730"/>
      <c r="H6" s="730"/>
      <c r="I6" s="3"/>
      <c r="J6" s="3"/>
      <c r="K6" s="3"/>
    </row>
    <row r="7" spans="2:15" ht="10.5" customHeight="1">
      <c r="B7" s="140"/>
      <c r="C7" s="141"/>
      <c r="D7" s="142"/>
      <c r="E7" s="143"/>
      <c r="F7" s="143"/>
      <c r="G7" s="144"/>
      <c r="H7" s="144"/>
      <c r="I7" s="138"/>
      <c r="J7" s="138"/>
      <c r="K7" s="137"/>
    </row>
    <row r="8" spans="2:15">
      <c r="B8" s="206" t="str">
        <f>+'Data Entry'!B27&amp; " - in ("&amp;'Data Entry'!D26&amp;")         "&amp;+I3&amp;" "&amp;+K3</f>
        <v>F1: Budget and disbursements by Global Fund - in ($)         Report Period: P9</v>
      </c>
      <c r="C8" s="145"/>
      <c r="D8" s="2"/>
      <c r="E8" s="2"/>
      <c r="F8" s="2"/>
      <c r="H8" s="206" t="str">
        <f>+'Data Entry'!B49&amp; " - in ("&amp;'Data Entry'!D26&amp;")         "&amp;+I3&amp;" "&amp;+K3</f>
        <v>F3: Disbursements and expenditures - in ($)         Report Period: P9</v>
      </c>
      <c r="I8" s="3"/>
      <c r="J8" s="3"/>
      <c r="K8" s="3"/>
    </row>
    <row r="9" spans="2:15">
      <c r="B9" s="359" t="s">
        <v>9</v>
      </c>
      <c r="C9" s="736"/>
      <c r="D9" s="718"/>
      <c r="E9" s="718"/>
      <c r="F9" s="719"/>
      <c r="H9" s="360" t="s">
        <v>9</v>
      </c>
      <c r="I9" s="715"/>
      <c r="J9" s="718"/>
      <c r="K9" s="719"/>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207" t="str">
        <f>+'Data Entry'!B36&amp; " - in ("&amp;'Data Entry'!D26&amp;")  "&amp;+I3&amp;" "&amp;+K3</f>
        <v>F2: Budget and actual expenditures by Grant Objective - in ($)  Report Period: P9</v>
      </c>
      <c r="C22" s="2"/>
      <c r="D22" s="2"/>
      <c r="E22" s="2"/>
      <c r="F22" s="2"/>
      <c r="H22" s="207" t="str">
        <f>+'Data Entry'!B58&amp;"      "&amp;+I3&amp;" "&amp;+K3</f>
        <v>F4: Latest PR reporting and disbursement cycle      Report Period: P9</v>
      </c>
      <c r="J22" s="3"/>
      <c r="K22" s="3"/>
    </row>
    <row r="23" spans="1:11">
      <c r="B23" s="360" t="s">
        <v>10</v>
      </c>
      <c r="C23" s="715"/>
      <c r="D23" s="718"/>
      <c r="E23" s="718"/>
      <c r="F23" s="719"/>
      <c r="G23" s="380"/>
      <c r="H23" s="360" t="s">
        <v>9</v>
      </c>
      <c r="I23" s="715"/>
      <c r="J23" s="716"/>
      <c r="K23" s="717"/>
    </row>
    <row r="24" spans="1:11" ht="15.75" thickBot="1">
      <c r="B24" s="216"/>
      <c r="C24" s="216"/>
      <c r="D24" s="216"/>
      <c r="E24" s="216"/>
      <c r="F24" s="216"/>
      <c r="G24" s="216"/>
      <c r="H24" s="217"/>
      <c r="I24" s="217"/>
      <c r="J24" s="216"/>
      <c r="K24" s="216"/>
    </row>
    <row r="25" spans="1:11" ht="29.25" customHeight="1" thickBot="1">
      <c r="B25" s="3"/>
      <c r="C25" s="3"/>
      <c r="D25" s="3"/>
      <c r="E25" s="3"/>
      <c r="F25" s="3"/>
      <c r="G25" s="333"/>
      <c r="H25" s="731" t="s">
        <v>309</v>
      </c>
      <c r="I25" s="732"/>
      <c r="J25" s="732"/>
      <c r="K25" s="733"/>
    </row>
    <row r="26" spans="1:11" ht="24.75">
      <c r="B26" s="3"/>
      <c r="C26" s="3"/>
      <c r="D26" s="3"/>
      <c r="E26" s="3"/>
      <c r="F26" s="3"/>
      <c r="G26" s="294"/>
      <c r="H26" s="734"/>
      <c r="I26" s="735"/>
      <c r="J26" s="309" t="s">
        <v>61</v>
      </c>
      <c r="K26" s="310" t="s">
        <v>62</v>
      </c>
    </row>
    <row r="27" spans="1:11" ht="23.25" customHeight="1">
      <c r="B27" s="3"/>
      <c r="C27" s="3"/>
      <c r="D27" s="3"/>
      <c r="E27" s="3"/>
      <c r="F27" s="3"/>
      <c r="G27" s="334"/>
      <c r="H27" s="720" t="str">
        <f>'Data Entry'!B62</f>
        <v>Days taken to submit final PU/DR to LFA</v>
      </c>
      <c r="I27" s="721"/>
      <c r="J27" s="311">
        <f>+'Data Entry'!C62</f>
        <v>60</v>
      </c>
      <c r="K27" s="308">
        <f>+'Data Entry'!D62</f>
        <v>60</v>
      </c>
    </row>
    <row r="28" spans="1:11" ht="21" customHeight="1">
      <c r="B28" s="3"/>
      <c r="C28" s="3"/>
      <c r="D28" s="3"/>
      <c r="E28" s="3"/>
      <c r="F28" s="3"/>
      <c r="G28" s="334"/>
      <c r="H28" s="720" t="str">
        <f>'Data Entry'!B63</f>
        <v>Days taken for disbursement to reach PR</v>
      </c>
      <c r="I28" s="721"/>
      <c r="J28" s="311">
        <f>+'Data Entry'!C63</f>
        <v>45</v>
      </c>
      <c r="K28" s="308" t="str">
        <f>+'Data Entry'!D63</f>
        <v>N/A</v>
      </c>
    </row>
    <row r="29" spans="1:11" ht="21" customHeight="1" thickBot="1">
      <c r="B29" s="3"/>
      <c r="C29" s="3"/>
      <c r="D29" s="3"/>
      <c r="E29" s="3"/>
      <c r="F29" s="3"/>
      <c r="G29" s="334"/>
      <c r="H29" s="722" t="str">
        <f>'Data Entry'!B64</f>
        <v xml:space="preserve">Days taken for disbursement to reach SRs </v>
      </c>
      <c r="I29" s="723"/>
      <c r="J29" s="312">
        <f>+'Data Entry'!C64</f>
        <v>5</v>
      </c>
      <c r="K29" s="313">
        <f>+'Data Entry'!D64</f>
        <v>3</v>
      </c>
    </row>
    <row r="30" spans="1:11">
      <c r="B30" s="3"/>
      <c r="C30" s="3"/>
      <c r="D30" s="3"/>
      <c r="E30" s="3"/>
      <c r="F30" s="3"/>
      <c r="G30" s="3"/>
      <c r="H30" s="3"/>
      <c r="I30" s="3"/>
      <c r="J30" s="3"/>
      <c r="K30" s="3"/>
    </row>
    <row r="31" spans="1:11">
      <c r="B31" s="3"/>
      <c r="C31" s="15"/>
      <c r="D31" s="238"/>
      <c r="E31" s="3"/>
      <c r="F31" s="3"/>
      <c r="G31" s="3"/>
      <c r="H31" s="3"/>
      <c r="I31" s="3"/>
      <c r="J31" s="3"/>
      <c r="K31" s="3"/>
    </row>
    <row r="32" spans="1:11">
      <c r="B32" s="3"/>
      <c r="C32" s="15"/>
      <c r="D32" s="238"/>
      <c r="E32" s="3"/>
      <c r="F32" s="3"/>
      <c r="G32" s="3"/>
      <c r="H32" s="3"/>
      <c r="I32" s="3"/>
      <c r="J32" s="3"/>
      <c r="K32" s="3"/>
    </row>
    <row r="34" spans="5:5">
      <c r="E34" s="19"/>
    </row>
  </sheetData>
  <sheetProtection password="CFC9" sheet="1"/>
  <mergeCells count="18">
    <mergeCell ref="E6:H6"/>
    <mergeCell ref="H25:K25"/>
    <mergeCell ref="H26:I26"/>
    <mergeCell ref="H27:I27"/>
    <mergeCell ref="C9:F9"/>
    <mergeCell ref="B2:K2"/>
    <mergeCell ref="D5:I5"/>
    <mergeCell ref="I4:J4"/>
    <mergeCell ref="I3:J3"/>
    <mergeCell ref="E3:H3"/>
    <mergeCell ref="C3:D3"/>
    <mergeCell ref="C4:D4"/>
    <mergeCell ref="E4:H4"/>
    <mergeCell ref="I23:K23"/>
    <mergeCell ref="C23:F23"/>
    <mergeCell ref="I9:K9"/>
    <mergeCell ref="H28:I28"/>
    <mergeCell ref="H29:I29"/>
  </mergeCells>
  <phoneticPr fontId="30" type="noConversion"/>
  <conditionalFormatting sqref="K27:K29">
    <cfRule type="cellIs" dxfId="29" priority="4" stopIfTrue="1" operator="greaterThan">
      <formula>#REF!</formula>
    </cfRule>
    <cfRule type="cellIs" dxfId="28" priority="5" stopIfTrue="1" operator="between">
      <formula>#REF!</formula>
      <formula>1</formula>
    </cfRule>
    <cfRule type="cellIs" dxfId="27" priority="6" stopIfTrue="1" operator="equal">
      <formula>0</formula>
    </cfRule>
  </conditionalFormatting>
  <conditionalFormatting sqref="C4:D4">
    <cfRule type="cellIs" dxfId="26" priority="1" stopIfTrue="1" operator="equal">
      <formula>"C"</formula>
    </cfRule>
    <cfRule type="cellIs" dxfId="25" priority="2" stopIfTrue="1" operator="equal">
      <formula>"B2"</formula>
    </cfRule>
    <cfRule type="cellIs" dxfId="24"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headerFooter>
    <oddFooter>&amp;L&amp;F&amp;C&amp;A&amp;RV1.0          &amp;D</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topLeftCell="A10" zoomScale="130" zoomScaleNormal="130" zoomScalePageLayoutView="130" workbookViewId="0">
      <selection activeCell="I27" sqref="I27:L27"/>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42578125" customWidth="1"/>
    <col min="12" max="12" width="14.140625" customWidth="1"/>
  </cols>
  <sheetData>
    <row r="1" spans="1:16" ht="28.5" customHeight="1">
      <c r="C1" s="234"/>
      <c r="E1" s="235"/>
    </row>
    <row r="2" spans="1:16" ht="27.75" customHeight="1">
      <c r="B2" s="742" t="str">
        <f>+"Dashboard:  "&amp;"  "&amp;IF(+'Data Entry'!C4="Please Select","",'Data Entry'!C4&amp;" - ")&amp;IF('Data Entry'!G6="Please Select","",'Data Entry'!G6)</f>
        <v>Dashboard:    Georgia - TB</v>
      </c>
      <c r="C2" s="742"/>
      <c r="D2" s="742"/>
      <c r="E2" s="742"/>
      <c r="F2" s="742"/>
      <c r="G2" s="742"/>
      <c r="H2" s="742"/>
      <c r="I2" s="742"/>
      <c r="J2" s="742"/>
      <c r="K2" s="742"/>
      <c r="L2" s="742"/>
      <c r="M2" s="26"/>
      <c r="N2" s="26"/>
      <c r="O2" s="26"/>
      <c r="P2" s="26"/>
    </row>
    <row r="3" spans="1:16">
      <c r="B3" s="24" t="str">
        <f>+IF('Data Entry'!G8="Please Select","",'Data Entry'!G8)</f>
        <v>NFM</v>
      </c>
      <c r="C3" s="740" t="str">
        <f>+IF('Data Entry'!I8="Please Select","",'Data Entry'!I8)</f>
        <v>Phase 1</v>
      </c>
      <c r="D3" s="740"/>
      <c r="E3" s="741"/>
      <c r="F3" s="741"/>
      <c r="G3" s="741"/>
      <c r="H3" s="741"/>
      <c r="I3" s="741"/>
      <c r="J3" s="744" t="str">
        <f>+'Data Entry'!B16</f>
        <v>Report Period:</v>
      </c>
      <c r="K3" s="744"/>
      <c r="L3" s="201" t="str">
        <f>+'Data Entry'!C16</f>
        <v>P9</v>
      </c>
    </row>
    <row r="4" spans="1:16">
      <c r="B4" s="24" t="str">
        <f>+'Data Entry'!B12</f>
        <v>Latest Rating:</v>
      </c>
      <c r="C4" s="729" t="str">
        <f>+IF('Data Entry'!C12="Please Select","",'Data Entry'!C12)</f>
        <v>A2</v>
      </c>
      <c r="D4" s="729"/>
      <c r="E4" s="741" t="str">
        <f>+'Data Entry'!C8</f>
        <v>NCDC</v>
      </c>
      <c r="F4" s="741"/>
      <c r="G4" s="741"/>
      <c r="H4" s="741"/>
      <c r="I4" s="741"/>
      <c r="J4" s="744" t="str">
        <f>+'Data Entry'!D16</f>
        <v>From:</v>
      </c>
      <c r="K4" s="748"/>
      <c r="L4" s="203">
        <f>+IF(ISBLANK('Data Entry'!E16),"",'Data Entry'!E16)</f>
        <v>43466</v>
      </c>
    </row>
    <row r="5" spans="1:16" ht="18.75" customHeight="1">
      <c r="B5" s="24"/>
      <c r="C5" s="24"/>
      <c r="D5" s="741" t="str">
        <f>+'Data Entry'!G4</f>
        <v>Sustaining Universal Access to Quality Diagnosis and Treatment of all forms of TB</v>
      </c>
      <c r="E5" s="741"/>
      <c r="F5" s="741"/>
      <c r="G5" s="741"/>
      <c r="H5" s="741"/>
      <c r="I5" s="741"/>
      <c r="J5" s="741"/>
      <c r="K5" s="24" t="str">
        <f>+'Data Entry'!F16</f>
        <v>To:</v>
      </c>
      <c r="L5" s="203">
        <f>+IF(ISBLANK('Data Entry'!G16),"",'Data Entry'!G16)</f>
        <v>43555</v>
      </c>
    </row>
    <row r="6" spans="1:16" ht="18.75">
      <c r="B6" s="23"/>
      <c r="C6" s="24"/>
      <c r="D6" s="25"/>
      <c r="E6" s="743" t="s">
        <v>70</v>
      </c>
      <c r="F6" s="743"/>
      <c r="G6" s="743"/>
      <c r="H6" s="743"/>
      <c r="I6" s="743"/>
    </row>
    <row r="7" spans="1:16">
      <c r="B7" s="381" t="str">
        <f>+'Data Entry'!B69&amp;"                "&amp;+J3&amp;" "&amp;+L3</f>
        <v>M1: Status of Conditions Precedent (CPs) and Time Bound Actions (TBAs)                Report Period: P9</v>
      </c>
      <c r="C7" s="21"/>
      <c r="H7" s="381" t="str">
        <f>+'Data Entry'!B76&amp;"                                                                             "&amp;+J3&amp;"  "&amp;+L3</f>
        <v>M2: Status of key PR management positions                                                                             Report Period:  P9</v>
      </c>
    </row>
    <row r="8" spans="1:16">
      <c r="B8" s="361" t="s">
        <v>9</v>
      </c>
      <c r="C8" s="715"/>
      <c r="D8" s="716"/>
      <c r="E8" s="716"/>
      <c r="F8" s="717"/>
      <c r="G8" s="382"/>
      <c r="H8" s="360" t="s">
        <v>9</v>
      </c>
      <c r="I8" s="715"/>
      <c r="J8" s="738"/>
      <c r="K8" s="738"/>
      <c r="L8" s="739"/>
    </row>
    <row r="9" spans="1:16">
      <c r="B9" s="19"/>
      <c r="C9" s="19"/>
      <c r="D9" s="19"/>
      <c r="E9" s="19"/>
      <c r="F9" s="19"/>
      <c r="G9" s="19"/>
      <c r="H9" s="19"/>
    </row>
    <row r="10" spans="1:16">
      <c r="A10" s="47"/>
      <c r="B10" s="19"/>
      <c r="C10" s="19"/>
      <c r="D10" s="749"/>
      <c r="E10" s="529"/>
      <c r="F10" s="529"/>
      <c r="G10" s="210"/>
      <c r="H10" s="19"/>
      <c r="N10" s="49"/>
      <c r="O10" s="49"/>
      <c r="P10" s="48"/>
    </row>
    <row r="11" spans="1:16">
      <c r="B11" s="19"/>
      <c r="C11" s="28"/>
      <c r="D11" s="749"/>
      <c r="E11" s="28"/>
      <c r="F11" s="28"/>
      <c r="G11" s="28"/>
      <c r="H11" s="28"/>
      <c r="N11" s="19"/>
      <c r="O11" s="19"/>
    </row>
    <row r="12" spans="1:16">
      <c r="B12" s="28"/>
      <c r="C12" s="79"/>
      <c r="D12" s="80"/>
      <c r="E12" s="80"/>
      <c r="F12" s="80"/>
      <c r="G12" s="80"/>
      <c r="H12" s="81"/>
    </row>
    <row r="13" spans="1:16">
      <c r="B13" s="28"/>
      <c r="C13" s="79"/>
      <c r="D13" s="80"/>
      <c r="E13" s="80"/>
      <c r="F13" s="80"/>
      <c r="G13" s="80"/>
      <c r="H13" s="81"/>
    </row>
    <row r="15" spans="1:16" ht="27.75" customHeight="1">
      <c r="B15" s="381" t="str">
        <f>+'Data Entry'!B81&amp;"                                                                                                  "&amp;+J3&amp;" "&amp;+L3</f>
        <v>M3: Contractual arrangements (SRs)                                                                                                   Report Period: P9</v>
      </c>
      <c r="H15" s="381" t="str">
        <f>+'Data Entry'!B86&amp;"                                                             "&amp;+J3&amp;" "&amp;+L3</f>
        <v>M4: Number of complete reports received on time                                                             Report Period: P9</v>
      </c>
    </row>
    <row r="16" spans="1:16">
      <c r="B16" s="361" t="s">
        <v>9</v>
      </c>
      <c r="C16" s="715"/>
      <c r="D16" s="738"/>
      <c r="E16" s="738"/>
      <c r="F16" s="739"/>
      <c r="G16" s="382"/>
      <c r="H16" s="360" t="s">
        <v>9</v>
      </c>
      <c r="I16" s="715"/>
      <c r="J16" s="716"/>
      <c r="K16" s="716"/>
      <c r="L16" s="717"/>
    </row>
    <row r="17" spans="2:13">
      <c r="B17" s="29"/>
      <c r="H17" s="30"/>
    </row>
    <row r="18" spans="2:13">
      <c r="M18" s="83"/>
    </row>
    <row r="26" spans="2:13">
      <c r="B26" s="381" t="str">
        <f>+'Data Entry'!B92</f>
        <v>M5: Budget and Procurement of health products, health equipment, medicines and pharmaceuticals</v>
      </c>
      <c r="H26" s="381" t="str">
        <f>+'Data Entry'!B105&amp;"                                                                "&amp;+J3&amp;"  "&amp;+L3</f>
        <v>M6: Difference between current and safety stock                                                                Report Period:  P9</v>
      </c>
    </row>
    <row r="27" spans="2:13">
      <c r="B27" s="359" t="s">
        <v>9</v>
      </c>
      <c r="C27" s="736"/>
      <c r="D27" s="738"/>
      <c r="E27" s="738"/>
      <c r="F27" s="739"/>
      <c r="G27" s="382"/>
      <c r="H27" s="360" t="s">
        <v>9</v>
      </c>
      <c r="I27" s="715" t="s">
        <v>446</v>
      </c>
      <c r="J27" s="716"/>
      <c r="K27" s="716"/>
      <c r="L27" s="717"/>
    </row>
    <row r="28" spans="2:13" ht="15.75" thickBot="1"/>
    <row r="29" spans="2:13" ht="44.25" customHeight="1">
      <c r="F29" s="340"/>
      <c r="G29" s="340"/>
      <c r="H29" s="222" t="s">
        <v>33</v>
      </c>
      <c r="I29" s="336" t="s">
        <v>80</v>
      </c>
      <c r="J29" s="357" t="s">
        <v>344</v>
      </c>
      <c r="K29" s="221" t="s">
        <v>332</v>
      </c>
      <c r="L29" s="337" t="s">
        <v>331</v>
      </c>
    </row>
    <row r="30" spans="2:13" ht="15" customHeight="1">
      <c r="F30" s="340"/>
      <c r="G30" s="340"/>
      <c r="H30" s="745" t="str">
        <f>+'Data Entry'!B108</f>
        <v>TB</v>
      </c>
      <c r="I30" s="338" t="str">
        <f>+'Data Entry'!C108</f>
        <v>Cycloserine</v>
      </c>
      <c r="J30" s="447">
        <f>+'Data Entry'!I108</f>
        <v>9.4867407407407409</v>
      </c>
      <c r="K30" s="448">
        <f>+'Data Entry'!J108</f>
        <v>4</v>
      </c>
      <c r="L30" s="425">
        <f>+'Data Entry'!K108</f>
        <v>5.4867407407407409</v>
      </c>
    </row>
    <row r="31" spans="2:13">
      <c r="F31" s="340"/>
      <c r="G31" s="340"/>
      <c r="H31" s="746"/>
      <c r="I31" s="338" t="str">
        <f>+'Data Entry'!C109</f>
        <v>Moxifloxacin</v>
      </c>
      <c r="J31" s="447">
        <f>+'Data Entry'!I109</f>
        <v>18.954166666666666</v>
      </c>
      <c r="K31" s="448">
        <f>+'Data Entry'!J109</f>
        <v>4</v>
      </c>
      <c r="L31" s="426">
        <f>+'Data Entry'!K109</f>
        <v>14.954166666666666</v>
      </c>
    </row>
    <row r="32" spans="2:13">
      <c r="F32" s="340"/>
      <c r="G32" s="340"/>
      <c r="H32" s="746"/>
      <c r="I32" s="338" t="str">
        <f>+'Data Entry'!C110</f>
        <v>Clofazimine</v>
      </c>
      <c r="J32" s="447">
        <f>+'Data Entry'!I110</f>
        <v>17.364814814814814</v>
      </c>
      <c r="K32" s="448">
        <f>+'Data Entry'!J110</f>
        <v>4</v>
      </c>
      <c r="L32" s="425">
        <f>+'Data Entry'!K110</f>
        <v>13.364814814814814</v>
      </c>
    </row>
    <row r="33" spans="2:12" ht="15.75" thickBot="1">
      <c r="F33" s="340"/>
      <c r="G33" s="340"/>
      <c r="H33" s="747"/>
      <c r="I33" s="339" t="str">
        <f>+'Data Entry'!C111</f>
        <v>Linezolid</v>
      </c>
      <c r="J33" s="449">
        <f>+'Data Entry'!I111</f>
        <v>8.0854166666666671</v>
      </c>
      <c r="K33" s="450">
        <f>+'Data Entry'!J111</f>
        <v>4</v>
      </c>
      <c r="L33" s="426">
        <f>+'Data Entry'!K111</f>
        <v>4.0854166666666671</v>
      </c>
    </row>
    <row r="34" spans="2:12" ht="24.75" customHeight="1">
      <c r="B34" s="737" t="str">
        <f>+'Data Entry'!B102</f>
        <v>* Includes only EFR category 4 and 5  (Health products and health equipment &amp; Medicines and Pharmaceuticals)</v>
      </c>
      <c r="C34" s="737"/>
      <c r="D34" s="737"/>
      <c r="E34" s="737"/>
      <c r="F34" s="19"/>
      <c r="G34" s="19"/>
      <c r="H34" s="218"/>
      <c r="I34" s="219"/>
      <c r="J34" s="220"/>
      <c r="K34" s="210"/>
      <c r="L34" s="20"/>
    </row>
    <row r="35" spans="2:12">
      <c r="F35" s="19"/>
      <c r="G35" s="19"/>
      <c r="H35" s="19"/>
      <c r="I35" s="19"/>
      <c r="J35" s="19"/>
      <c r="K35" s="19"/>
      <c r="L35" s="19"/>
    </row>
  </sheetData>
  <mergeCells count="19">
    <mergeCell ref="C16:F16"/>
    <mergeCell ref="E10:F10"/>
    <mergeCell ref="C8:F8"/>
    <mergeCell ref="B34:E34"/>
    <mergeCell ref="C27:F27"/>
    <mergeCell ref="C3:D3"/>
    <mergeCell ref="E4:I4"/>
    <mergeCell ref="B2:L2"/>
    <mergeCell ref="C4:D4"/>
    <mergeCell ref="E6:I6"/>
    <mergeCell ref="E3:I3"/>
    <mergeCell ref="J3:K3"/>
    <mergeCell ref="H30:H33"/>
    <mergeCell ref="J4:K4"/>
    <mergeCell ref="I8:L8"/>
    <mergeCell ref="D5:J5"/>
    <mergeCell ref="I16:L16"/>
    <mergeCell ref="I27:L27"/>
    <mergeCell ref="D10:D11"/>
  </mergeCells>
  <phoneticPr fontId="30" type="noConversion"/>
  <conditionalFormatting sqref="D12:D13">
    <cfRule type="cellIs" dxfId="23" priority="1" stopIfTrue="1" operator="greaterThan">
      <formula>0</formula>
    </cfRule>
  </conditionalFormatting>
  <conditionalFormatting sqref="E12:E13">
    <cfRule type="cellIs" dxfId="22" priority="2" stopIfTrue="1" operator="greaterThan">
      <formula>0</formula>
    </cfRule>
  </conditionalFormatting>
  <conditionalFormatting sqref="F12:G13">
    <cfRule type="cellIs" dxfId="21" priority="3" stopIfTrue="1" operator="greaterThan">
      <formula>0</formula>
    </cfRule>
  </conditionalFormatting>
  <conditionalFormatting sqref="C4:D4">
    <cfRule type="cellIs" dxfId="20" priority="4" stopIfTrue="1" operator="equal">
      <formula>"C"</formula>
    </cfRule>
    <cfRule type="cellIs" dxfId="19" priority="5" stopIfTrue="1" operator="equal">
      <formula>"B2"</formula>
    </cfRule>
    <cfRule type="cellIs" dxfId="18" priority="6" stopIfTrue="1" operator="equal">
      <formula>"B1"</formula>
    </cfRule>
  </conditionalFormatting>
  <conditionalFormatting sqref="L30 L32:L33">
    <cfRule type="cellIs" dxfId="17" priority="13" stopIfTrue="1" operator="lessThan">
      <formula>1</formula>
    </cfRule>
    <cfRule type="cellIs" dxfId="16" priority="14" stopIfTrue="1" operator="between">
      <formula>3</formula>
      <formula>17</formula>
    </cfRule>
    <cfRule type="cellIs" dxfId="15" priority="15" stopIfTrue="1" operator="between">
      <formula>1</formula>
      <formula>3</formula>
    </cfRule>
  </conditionalFormatting>
  <conditionalFormatting sqref="L31">
    <cfRule type="cellIs" dxfId="14" priority="16" stopIfTrue="1" operator="lessThan">
      <formula>1</formula>
    </cfRule>
    <cfRule type="cellIs" dxfId="13" priority="17" stopIfTrue="1" operator="between">
      <formula>3</formula>
      <formula>100</formula>
    </cfRule>
    <cfRule type="cellIs" dxfId="12" priority="18"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r:id="rId1"/>
  <headerFooter alignWithMargins="0">
    <oddFooter>&amp;L&amp;F&amp;C&amp;A&amp;RV1.0          &amp;D</oddFooter>
  </headerFooter>
  <colBreaks count="1" manualBreakCount="1">
    <brk id="12"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46"/>
  <sheetViews>
    <sheetView showGridLines="0" topLeftCell="A7" zoomScale="150" zoomScaleNormal="150" zoomScalePageLayoutView="150" workbookViewId="0">
      <selection activeCell="L20" sqref="L20:Q20"/>
    </sheetView>
  </sheetViews>
  <sheetFormatPr defaultColWidth="11" defaultRowHeight="15"/>
  <cols>
    <col min="1" max="1" width="0.42578125" customWidth="1"/>
    <col min="2" max="2" width="11.28515625" customWidth="1"/>
    <col min="3" max="3" width="16.140625" customWidth="1"/>
    <col min="4" max="4" width="17.28515625" customWidth="1"/>
    <col min="5" max="5" width="8" customWidth="1"/>
    <col min="6" max="6" width="7.7109375" customWidth="1"/>
    <col min="7" max="7" width="5.7109375" customWidth="1"/>
    <col min="8" max="8" width="6.28515625" customWidth="1"/>
    <col min="9" max="9" width="6" customWidth="1"/>
    <col min="10" max="10" width="4.140625" customWidth="1"/>
    <col min="11" max="11" width="12.42578125" customWidth="1"/>
    <col min="12" max="12" width="8.42578125" customWidth="1"/>
    <col min="13" max="13" width="5" customWidth="1"/>
    <col min="14" max="14" width="6.42578125" customWidth="1"/>
    <col min="15" max="15" width="4.140625" customWidth="1"/>
    <col min="16" max="16" width="10.7109375" customWidth="1"/>
    <col min="17" max="17" width="11.7109375" customWidth="1"/>
    <col min="18" max="18" width="6.42578125" customWidth="1"/>
  </cols>
  <sheetData>
    <row r="1" spans="1:35" ht="26.25" customHeight="1">
      <c r="A1" s="3"/>
      <c r="B1" s="3"/>
      <c r="C1" s="3"/>
      <c r="D1" s="3"/>
      <c r="E1" s="3"/>
      <c r="F1" s="3"/>
      <c r="G1" s="3"/>
      <c r="H1" s="3"/>
      <c r="I1" s="3"/>
      <c r="J1" s="3"/>
      <c r="K1" s="3"/>
      <c r="L1" s="3"/>
      <c r="M1" s="3"/>
      <c r="N1" s="3"/>
      <c r="O1" s="3"/>
      <c r="P1" s="3"/>
    </row>
    <row r="2" spans="1:35" ht="21.75" customHeight="1">
      <c r="A2" s="3"/>
      <c r="B2" s="750" t="str">
        <f>+"Dashboard:  "&amp;"  "&amp;IF(+'Data Entry'!C4="Please Select","",'Data Entry'!C4&amp;" - ")&amp;IF('Data Entry'!G6="Please Select","",'Data Entry'!G6)</f>
        <v>Dashboard:    Georgia - TB</v>
      </c>
      <c r="C2" s="750"/>
      <c r="D2" s="750"/>
      <c r="E2" s="750"/>
      <c r="F2" s="750"/>
      <c r="G2" s="750"/>
      <c r="H2" s="750"/>
      <c r="I2" s="750"/>
      <c r="J2" s="750"/>
      <c r="K2" s="750"/>
      <c r="L2" s="750"/>
      <c r="M2" s="750"/>
      <c r="N2" s="750"/>
      <c r="O2" s="750"/>
      <c r="P2" s="750"/>
      <c r="Q2" s="750"/>
    </row>
    <row r="3" spans="1:35" ht="18.75">
      <c r="A3" s="3"/>
      <c r="B3" s="135" t="str">
        <f>+IF('Data Entry'!G8="Please Select","",'Data Entry'!G8)</f>
        <v>NFM</v>
      </c>
      <c r="C3" s="728" t="str">
        <f>+IF('Data Entry'!I8="Please Select","",'Data Entry'!I8)</f>
        <v>Phase 1</v>
      </c>
      <c r="D3" s="728"/>
      <c r="E3" s="727"/>
      <c r="F3" s="727"/>
      <c r="G3" s="727"/>
      <c r="H3" s="727"/>
      <c r="I3" s="753"/>
      <c r="J3" s="753"/>
      <c r="K3" s="753"/>
      <c r="L3" s="3"/>
      <c r="M3" s="3"/>
      <c r="O3" s="725" t="str">
        <f>+'Data Entry'!B16</f>
        <v>Report Period:</v>
      </c>
      <c r="P3" s="725"/>
      <c r="Q3" s="202" t="str">
        <f>+'Data Entry'!C16</f>
        <v>P9</v>
      </c>
    </row>
    <row r="4" spans="1:35" ht="12" customHeight="1">
      <c r="A4" s="3"/>
      <c r="B4" s="135" t="str">
        <f>+'Data Entry'!B12</f>
        <v>Latest Rating:</v>
      </c>
      <c r="C4" s="754" t="str">
        <f>+IF('Data Entry'!C12="Please Select","",'Data Entry'!C12)</f>
        <v>A2</v>
      </c>
      <c r="D4" s="754"/>
      <c r="E4" s="727" t="str">
        <f>+'Data Entry'!C8</f>
        <v>NCDC</v>
      </c>
      <c r="F4" s="727"/>
      <c r="G4" s="727"/>
      <c r="H4" s="727"/>
      <c r="I4" s="727"/>
      <c r="J4" s="727"/>
      <c r="K4" s="727"/>
      <c r="L4" s="727"/>
      <c r="M4" s="3"/>
      <c r="O4" s="342"/>
      <c r="P4" s="135" t="str">
        <f>+'Data Entry'!D16</f>
        <v>From:</v>
      </c>
      <c r="Q4" s="343">
        <f>+IF(ISBLANK('Data Entry'!E16),"",'Data Entry'!E16)</f>
        <v>43466</v>
      </c>
      <c r="Y4" s="71"/>
      <c r="Z4" s="71"/>
      <c r="AA4" s="71"/>
      <c r="AB4" s="71"/>
      <c r="AC4" s="71"/>
    </row>
    <row r="5" spans="1:35" ht="15.75" customHeight="1">
      <c r="A5" s="3"/>
      <c r="B5" s="135"/>
      <c r="C5" s="135"/>
      <c r="D5" s="727" t="str">
        <f>+'Data Entry'!G4</f>
        <v>Sustaining Universal Access to Quality Diagnosis and Treatment of all forms of TB</v>
      </c>
      <c r="E5" s="727"/>
      <c r="F5" s="727"/>
      <c r="G5" s="727"/>
      <c r="H5" s="727"/>
      <c r="I5" s="727"/>
      <c r="J5" s="727"/>
      <c r="K5" s="727"/>
      <c r="L5" s="727"/>
      <c r="M5" s="727"/>
      <c r="N5" s="727"/>
      <c r="P5" s="135" t="str">
        <f>+'Data Entry'!F16</f>
        <v>To:</v>
      </c>
      <c r="Q5" s="343">
        <f>+IF(ISBLANK('Data Entry'!G16),"",'Data Entry'!G16)</f>
        <v>43555</v>
      </c>
      <c r="S5" s="229"/>
      <c r="T5" s="229"/>
      <c r="U5" s="229"/>
      <c r="V5" s="229"/>
      <c r="W5" s="229"/>
      <c r="X5" s="229"/>
      <c r="Y5" s="71"/>
      <c r="Z5" s="71"/>
      <c r="AA5" s="71" t="s">
        <v>43</v>
      </c>
      <c r="AB5" s="71"/>
      <c r="AC5" s="71" t="s">
        <v>265</v>
      </c>
      <c r="AD5" s="229"/>
      <c r="AE5" s="229"/>
      <c r="AF5" s="229"/>
      <c r="AG5" s="229"/>
      <c r="AH5" s="229"/>
      <c r="AI5" s="229"/>
    </row>
    <row r="6" spans="1:35" ht="15.75" customHeight="1">
      <c r="A6" s="3"/>
      <c r="B6" s="135"/>
      <c r="C6" s="135"/>
      <c r="D6" s="227"/>
      <c r="E6" s="227"/>
      <c r="F6" s="752" t="s">
        <v>394</v>
      </c>
      <c r="G6" s="752"/>
      <c r="H6" s="752"/>
      <c r="I6" s="752"/>
      <c r="J6" s="752"/>
      <c r="K6" s="752"/>
      <c r="L6" s="227"/>
      <c r="M6" s="3"/>
      <c r="N6" s="3"/>
      <c r="O6" s="204"/>
      <c r="P6" s="261"/>
      <c r="S6" s="229"/>
      <c r="T6" s="229"/>
      <c r="U6" s="229"/>
      <c r="V6" s="229"/>
      <c r="W6" s="229"/>
      <c r="X6" s="229"/>
      <c r="Y6" s="71"/>
      <c r="Z6" s="71"/>
      <c r="AA6" s="71"/>
      <c r="AB6" s="71"/>
      <c r="AC6" s="71"/>
      <c r="AD6" s="229"/>
      <c r="AE6" s="229"/>
      <c r="AF6" s="229"/>
      <c r="AG6" s="229"/>
      <c r="AH6" s="229"/>
      <c r="AI6" s="229"/>
    </row>
    <row r="7" spans="1:35" ht="3" customHeight="1">
      <c r="A7" s="3"/>
      <c r="B7" s="135"/>
      <c r="C7" s="135"/>
      <c r="D7" s="227"/>
      <c r="E7" s="227"/>
      <c r="F7" s="227"/>
      <c r="G7" s="227"/>
      <c r="H7" s="227"/>
      <c r="I7" s="227"/>
      <c r="J7" s="227"/>
      <c r="K7" s="227"/>
      <c r="L7" s="227"/>
      <c r="M7" s="3"/>
      <c r="N7" s="3"/>
      <c r="O7" s="204"/>
      <c r="P7" s="203"/>
      <c r="Q7" s="203"/>
      <c r="S7" s="229"/>
      <c r="T7" s="229"/>
      <c r="U7" s="229"/>
      <c r="V7" s="229"/>
      <c r="W7" s="229"/>
      <c r="X7" s="229"/>
      <c r="Y7" s="71"/>
      <c r="Z7" s="71"/>
      <c r="AA7" s="71"/>
      <c r="AB7" s="71"/>
      <c r="AC7" s="71"/>
      <c r="AD7" s="229"/>
      <c r="AE7" s="229"/>
      <c r="AF7" s="229"/>
      <c r="AG7" s="229"/>
      <c r="AH7" s="229"/>
      <c r="AI7" s="229"/>
    </row>
    <row r="8" spans="1:35" ht="18.75" customHeight="1">
      <c r="A8" s="3"/>
      <c r="B8" s="751" t="str">
        <f>+'Data Entry'!B118</f>
        <v>MDR TB-3: Number of cases with drug resistant TB (RR-TB and/or MDR-TB) that began second-line treatment</v>
      </c>
      <c r="C8" s="751"/>
      <c r="D8" s="751"/>
      <c r="E8" s="751"/>
      <c r="F8" s="751" t="str">
        <f>+'Data Entry'!B120</f>
        <v>MDR TB-8: Number of cases of XDR TB enrolled on treatment</v>
      </c>
      <c r="G8" s="751"/>
      <c r="H8" s="751"/>
      <c r="I8" s="751"/>
      <c r="J8" s="751"/>
      <c r="K8" s="751"/>
      <c r="L8" s="751" t="str">
        <f>+'Data Entry'!B122</f>
        <v>MDR TB other -1: Percentage  of new and relapse TB patients tested using WHO recommended rapid tests at the time of diagnosis</v>
      </c>
      <c r="M8" s="751"/>
      <c r="N8" s="751"/>
      <c r="O8" s="751"/>
      <c r="P8" s="751"/>
      <c r="Q8" s="751"/>
      <c r="S8" s="229"/>
      <c r="T8" s="229"/>
      <c r="U8" s="229"/>
      <c r="V8" s="229"/>
      <c r="W8" s="229"/>
      <c r="X8" s="229"/>
      <c r="Y8" s="71"/>
      <c r="Z8" s="71"/>
      <c r="AA8" s="71"/>
      <c r="AB8" s="71"/>
      <c r="AC8" s="71"/>
      <c r="AD8" s="229"/>
      <c r="AE8" s="229"/>
      <c r="AF8" s="229"/>
      <c r="AG8" s="229"/>
      <c r="AH8" s="229"/>
      <c r="AI8" s="229"/>
    </row>
    <row r="9" spans="1:35" ht="24" customHeight="1">
      <c r="A9" s="3"/>
      <c r="B9" s="478" t="s">
        <v>413</v>
      </c>
      <c r="C9" s="781"/>
      <c r="D9" s="782"/>
      <c r="E9" s="783"/>
      <c r="F9" s="478" t="s">
        <v>414</v>
      </c>
      <c r="G9" s="781"/>
      <c r="H9" s="782"/>
      <c r="I9" s="782"/>
      <c r="J9" s="782"/>
      <c r="K9" s="783"/>
      <c r="L9" s="478" t="s">
        <v>415</v>
      </c>
      <c r="M9" s="781"/>
      <c r="N9" s="784"/>
      <c r="O9" s="784"/>
      <c r="P9" s="784"/>
      <c r="Q9" s="785"/>
      <c r="S9" s="229"/>
      <c r="T9" s="229"/>
      <c r="U9" s="229"/>
      <c r="V9" s="229"/>
      <c r="W9" s="229"/>
      <c r="X9" s="229"/>
      <c r="Y9" s="229"/>
      <c r="Z9" s="229"/>
      <c r="AA9" s="229"/>
      <c r="AB9" s="229"/>
      <c r="AC9" s="229"/>
      <c r="AD9" s="229"/>
      <c r="AE9" s="229"/>
      <c r="AF9" s="229"/>
      <c r="AG9" s="229"/>
      <c r="AH9" s="229"/>
      <c r="AI9" s="229"/>
    </row>
    <row r="10" spans="1:35" ht="18.75" customHeight="1">
      <c r="A10" s="3"/>
      <c r="B10" s="135"/>
      <c r="C10" s="135"/>
      <c r="D10" s="227"/>
      <c r="E10" s="227"/>
      <c r="F10" s="227"/>
      <c r="G10" s="227"/>
      <c r="H10" s="227"/>
      <c r="I10" s="227"/>
      <c r="J10" s="227"/>
      <c r="K10" s="227"/>
      <c r="L10" s="227"/>
      <c r="M10" s="3"/>
      <c r="N10" s="3"/>
      <c r="O10" s="204"/>
      <c r="P10" s="203"/>
      <c r="S10" s="229"/>
      <c r="T10" s="229"/>
      <c r="U10" s="229"/>
      <c r="V10" s="229"/>
      <c r="W10" s="229"/>
      <c r="X10" s="229"/>
      <c r="Y10" s="229"/>
      <c r="Z10" s="229"/>
      <c r="AA10" s="229"/>
      <c r="AB10" s="229"/>
      <c r="AC10" s="229"/>
      <c r="AD10" s="229"/>
      <c r="AE10" s="229"/>
      <c r="AF10" s="229"/>
      <c r="AG10" s="229"/>
      <c r="AH10" s="229"/>
      <c r="AI10" s="229"/>
    </row>
    <row r="11" spans="1:35" ht="18.75" customHeight="1">
      <c r="A11" s="3"/>
      <c r="B11" s="135"/>
      <c r="C11" s="135"/>
      <c r="D11" s="227"/>
      <c r="E11" s="227"/>
      <c r="F11" s="227"/>
      <c r="G11" s="227"/>
      <c r="H11" s="227"/>
      <c r="I11" s="227"/>
      <c r="J11" s="227"/>
      <c r="K11" s="227"/>
      <c r="L11" s="227"/>
      <c r="M11" s="3"/>
      <c r="N11" s="3"/>
      <c r="O11" s="204"/>
      <c r="P11" s="203"/>
      <c r="S11" s="229"/>
      <c r="T11" s="229"/>
      <c r="U11" s="229"/>
      <c r="V11" s="229"/>
      <c r="W11" s="229"/>
      <c r="X11" s="229"/>
      <c r="Y11" s="229"/>
      <c r="Z11" s="229"/>
      <c r="AA11" s="229"/>
      <c r="AB11" s="229"/>
      <c r="AC11" s="229"/>
      <c r="AD11" s="229"/>
      <c r="AE11" s="229"/>
      <c r="AF11" s="229"/>
      <c r="AG11" s="229"/>
      <c r="AH11" s="229"/>
      <c r="AI11" s="229"/>
    </row>
    <row r="12" spans="1:35" ht="18.75" customHeight="1">
      <c r="A12" s="3"/>
      <c r="B12" s="135"/>
      <c r="C12" s="135"/>
      <c r="D12" s="227"/>
      <c r="E12" s="227"/>
      <c r="F12" s="227"/>
      <c r="G12" s="227"/>
      <c r="H12" s="227"/>
      <c r="I12" s="227"/>
      <c r="J12" s="227"/>
      <c r="K12" s="227"/>
      <c r="L12" s="227"/>
      <c r="M12" s="3"/>
      <c r="N12" s="3"/>
      <c r="O12" s="204"/>
      <c r="P12" s="203"/>
      <c r="S12" s="229"/>
      <c r="T12" s="229"/>
      <c r="U12" s="229"/>
      <c r="V12" s="229"/>
      <c r="W12" s="229"/>
      <c r="X12" s="229"/>
      <c r="Y12" s="229"/>
      <c r="Z12" s="229"/>
      <c r="AA12" s="229"/>
      <c r="AB12" s="229"/>
      <c r="AC12" s="229"/>
      <c r="AD12" s="229"/>
      <c r="AE12" s="229"/>
      <c r="AF12" s="229"/>
      <c r="AG12" s="229"/>
      <c r="AH12" s="229"/>
      <c r="AI12" s="229"/>
    </row>
    <row r="13" spans="1:35" ht="18.75" customHeight="1">
      <c r="A13" s="3"/>
      <c r="B13" s="135"/>
      <c r="C13" s="135"/>
      <c r="D13" s="227"/>
      <c r="E13" s="227"/>
      <c r="F13" s="227"/>
      <c r="G13" s="227"/>
      <c r="H13" s="227"/>
      <c r="I13" s="227"/>
      <c r="J13" s="227"/>
      <c r="K13" s="227"/>
      <c r="L13" s="227"/>
      <c r="M13" s="3"/>
      <c r="N13" s="3"/>
      <c r="O13" s="204"/>
      <c r="P13" s="203"/>
      <c r="S13" s="229"/>
      <c r="T13" s="229"/>
      <c r="U13" s="229"/>
      <c r="V13" s="229"/>
      <c r="W13" s="229"/>
      <c r="X13" s="229"/>
      <c r="Y13" s="229"/>
      <c r="Z13" s="229"/>
      <c r="AA13" s="229"/>
      <c r="AB13" s="229"/>
      <c r="AC13" s="229"/>
      <c r="AD13" s="229"/>
      <c r="AE13" s="229"/>
      <c r="AF13" s="229"/>
      <c r="AG13" s="229"/>
      <c r="AH13" s="229"/>
      <c r="AI13" s="229"/>
    </row>
    <row r="14" spans="1:35" ht="18.75" customHeight="1">
      <c r="A14" s="3"/>
      <c r="B14" s="135"/>
      <c r="C14" s="135"/>
      <c r="D14" s="227"/>
      <c r="E14" s="227"/>
      <c r="F14" s="227"/>
      <c r="G14" s="227"/>
      <c r="H14" s="227"/>
      <c r="I14" s="227"/>
      <c r="J14" s="227"/>
      <c r="K14" s="227"/>
      <c r="L14" s="227"/>
      <c r="M14" s="3"/>
      <c r="N14" s="3"/>
      <c r="O14" s="204"/>
      <c r="P14" s="203"/>
      <c r="S14" s="229"/>
      <c r="T14" s="229"/>
      <c r="U14" s="229"/>
      <c r="V14" s="229"/>
      <c r="W14" s="229"/>
      <c r="X14" s="229"/>
      <c r="Y14" s="229"/>
      <c r="Z14" s="229"/>
      <c r="AA14" s="229"/>
      <c r="AB14" s="229"/>
      <c r="AC14" s="229"/>
      <c r="AD14" s="229"/>
      <c r="AE14" s="229"/>
      <c r="AF14" s="229"/>
      <c r="AG14" s="229"/>
      <c r="AH14" s="229"/>
      <c r="AI14" s="229"/>
    </row>
    <row r="15" spans="1:35" ht="18.75" customHeight="1">
      <c r="A15" s="3"/>
      <c r="B15" s="135"/>
      <c r="C15" s="135"/>
      <c r="D15" s="227"/>
      <c r="E15" s="227"/>
      <c r="F15" s="227"/>
      <c r="G15" s="227"/>
      <c r="H15" s="227"/>
      <c r="I15" s="227"/>
      <c r="J15" s="227"/>
      <c r="K15" s="227"/>
      <c r="L15" s="227"/>
      <c r="M15" s="3"/>
      <c r="N15" s="3"/>
      <c r="O15" s="204"/>
      <c r="P15" s="203"/>
      <c r="S15" s="229"/>
      <c r="T15" s="229"/>
      <c r="U15" s="229"/>
      <c r="V15" s="229"/>
      <c r="W15" s="229"/>
      <c r="X15" s="229"/>
      <c r="Y15" s="229"/>
      <c r="Z15" s="229"/>
      <c r="AA15" s="229"/>
      <c r="AB15" s="229"/>
      <c r="AC15" s="229"/>
      <c r="AD15" s="229"/>
      <c r="AE15" s="229"/>
      <c r="AF15" s="229"/>
      <c r="AG15" s="229"/>
      <c r="AH15" s="229"/>
      <c r="AI15" s="229"/>
    </row>
    <row r="16" spans="1:35" ht="18.75" customHeight="1">
      <c r="A16" s="3"/>
      <c r="B16" s="135"/>
      <c r="C16" s="135"/>
      <c r="D16" s="227"/>
      <c r="E16" s="227"/>
      <c r="F16" s="227"/>
      <c r="G16" s="227"/>
      <c r="H16" s="227"/>
      <c r="I16" s="227"/>
      <c r="J16" s="227"/>
      <c r="K16" s="227"/>
      <c r="L16" s="227"/>
      <c r="M16" s="3"/>
      <c r="N16" s="3"/>
      <c r="O16" s="204"/>
      <c r="P16" s="203"/>
      <c r="S16" s="229"/>
      <c r="T16" s="229"/>
      <c r="U16" s="229"/>
      <c r="V16" s="229"/>
      <c r="W16" s="229"/>
      <c r="X16" s="229"/>
      <c r="Y16" s="229"/>
      <c r="Z16" s="229"/>
      <c r="AA16" s="229"/>
      <c r="AB16" s="229"/>
      <c r="AC16" s="229"/>
      <c r="AD16" s="229"/>
      <c r="AE16" s="229"/>
      <c r="AF16" s="229"/>
      <c r="AG16" s="229"/>
      <c r="AH16" s="229"/>
      <c r="AI16" s="229"/>
    </row>
    <row r="17" spans="1:35" ht="17.25" customHeight="1">
      <c r="A17" s="3"/>
      <c r="B17" s="135"/>
      <c r="C17" s="135"/>
      <c r="D17" s="227"/>
      <c r="E17" s="227"/>
      <c r="F17" s="227"/>
      <c r="G17" s="227"/>
      <c r="H17" s="227"/>
      <c r="I17" s="227"/>
      <c r="J17" s="227"/>
      <c r="K17" s="227"/>
      <c r="L17" s="227"/>
      <c r="M17" s="3"/>
      <c r="N17" s="3"/>
      <c r="O17" s="204"/>
      <c r="P17" s="203"/>
      <c r="S17" s="229"/>
      <c r="T17" s="229"/>
      <c r="U17" s="229"/>
      <c r="V17" s="229"/>
      <c r="W17" s="229"/>
      <c r="X17" s="229"/>
      <c r="Y17" s="229"/>
      <c r="Z17" s="229"/>
      <c r="AA17" s="229"/>
      <c r="AB17" s="229"/>
      <c r="AC17" s="229"/>
      <c r="AD17" s="229"/>
      <c r="AE17" s="229"/>
      <c r="AF17" s="229"/>
      <c r="AG17" s="229"/>
      <c r="AH17" s="229"/>
      <c r="AI17" s="229"/>
    </row>
    <row r="18" spans="1:35" ht="6" customHeight="1">
      <c r="A18" s="3"/>
      <c r="B18" s="139"/>
      <c r="C18" s="135"/>
      <c r="D18" s="136"/>
      <c r="E18" s="766"/>
      <c r="F18" s="766"/>
      <c r="G18" s="766"/>
      <c r="H18" s="766"/>
      <c r="I18" s="766"/>
      <c r="J18" s="766"/>
      <c r="K18" s="766"/>
      <c r="L18" s="3"/>
      <c r="M18" s="3"/>
      <c r="N18" s="3"/>
      <c r="O18" s="3"/>
      <c r="P18" s="3"/>
      <c r="S18" s="229"/>
      <c r="T18" s="229"/>
      <c r="U18" s="229"/>
      <c r="V18" s="229"/>
      <c r="W18" s="229"/>
      <c r="X18" s="229"/>
      <c r="Y18" s="229"/>
      <c r="Z18" s="229"/>
      <c r="AA18" s="229"/>
      <c r="AB18" s="229"/>
      <c r="AC18" s="229"/>
      <c r="AD18" s="229"/>
      <c r="AE18" s="229"/>
      <c r="AF18" s="229"/>
      <c r="AG18" s="229"/>
      <c r="AH18" s="229"/>
      <c r="AI18" s="229"/>
    </row>
    <row r="19" spans="1:35" ht="24" customHeight="1">
      <c r="A19" s="3"/>
      <c r="B19" s="767" t="s">
        <v>89</v>
      </c>
      <c r="C19" s="767"/>
      <c r="D19" s="767"/>
      <c r="E19" s="146" t="s">
        <v>86</v>
      </c>
      <c r="F19" s="146" t="s">
        <v>90</v>
      </c>
      <c r="G19" s="762" t="s">
        <v>333</v>
      </c>
      <c r="H19" s="763"/>
      <c r="I19" s="764" t="s">
        <v>334</v>
      </c>
      <c r="J19" s="765"/>
      <c r="K19" s="341" t="s">
        <v>335</v>
      </c>
      <c r="L19" s="755" t="s">
        <v>93</v>
      </c>
      <c r="M19" s="756"/>
      <c r="N19" s="756"/>
      <c r="O19" s="756"/>
      <c r="P19" s="756"/>
      <c r="Q19" s="757"/>
      <c r="S19" s="65" t="s">
        <v>91</v>
      </c>
      <c r="T19" s="66">
        <v>0</v>
      </c>
      <c r="U19" s="67">
        <v>0.3</v>
      </c>
      <c r="V19" s="67">
        <v>0.6</v>
      </c>
      <c r="W19" s="67">
        <v>0.9</v>
      </c>
      <c r="X19" s="67">
        <v>1</v>
      </c>
      <c r="Y19" s="71"/>
      <c r="Z19" s="71"/>
      <c r="AA19" s="65" t="s">
        <v>91</v>
      </c>
      <c r="AB19" s="66">
        <v>0</v>
      </c>
      <c r="AC19" s="67">
        <v>0.2</v>
      </c>
      <c r="AD19" s="67">
        <v>0.4</v>
      </c>
      <c r="AE19" s="67">
        <v>0.6</v>
      </c>
      <c r="AF19" s="67">
        <v>0.8</v>
      </c>
      <c r="AG19" s="71"/>
      <c r="AH19" s="71"/>
      <c r="AI19" s="71"/>
    </row>
    <row r="20" spans="1:35" ht="70.5" customHeight="1">
      <c r="A20" s="3"/>
      <c r="B20" s="768" t="str">
        <f>+'Data Entry'!B118</f>
        <v>MDR TB-3: Number of cases with drug resistant TB (RR-TB and/or MDR-TB) that began second-line treatment</v>
      </c>
      <c r="C20" s="768"/>
      <c r="D20" s="768"/>
      <c r="E20" s="147">
        <f ca="1">OFFSET('Data Entry'!$G$117,1,RIGHT('Data Entry'!$C$16,LEN('Data Entry'!$C$16)-1),1,1)</f>
        <v>112</v>
      </c>
      <c r="F20" s="147">
        <f ca="1">OFFSET('Data Entry'!$G$117,2,RIGHT('Data Entry'!$C$16,LEN('Data Entry'!$C$16)-1),1,1)</f>
        <v>75</v>
      </c>
      <c r="G20" s="759">
        <f t="shared" ref="G20:G29" ca="1" si="0">+IF(ISERROR(F20/E20),0,F20/E20)</f>
        <v>0.6696428571428571</v>
      </c>
      <c r="H20" s="760"/>
      <c r="I20" s="760"/>
      <c r="J20" s="760"/>
      <c r="K20" s="761"/>
      <c r="L20" s="758" t="s">
        <v>445</v>
      </c>
      <c r="M20" s="758"/>
      <c r="N20" s="758"/>
      <c r="O20" s="758"/>
      <c r="P20" s="758"/>
      <c r="Q20" s="758"/>
      <c r="S20" s="65" t="s">
        <v>92</v>
      </c>
      <c r="T20" s="68">
        <v>0.3</v>
      </c>
      <c r="U20" s="67">
        <v>0.6</v>
      </c>
      <c r="V20" s="67">
        <v>0.9</v>
      </c>
      <c r="W20" s="67">
        <v>1</v>
      </c>
      <c r="X20" s="67">
        <v>2</v>
      </c>
      <c r="Y20" s="71"/>
      <c r="Z20" s="71"/>
      <c r="AA20" s="65" t="s">
        <v>92</v>
      </c>
      <c r="AB20" s="68">
        <v>0.2</v>
      </c>
      <c r="AC20" s="67">
        <v>0.4</v>
      </c>
      <c r="AD20" s="67">
        <v>0.6</v>
      </c>
      <c r="AE20" s="67">
        <v>0.8</v>
      </c>
      <c r="AF20" s="67">
        <v>1</v>
      </c>
      <c r="AG20" s="71"/>
      <c r="AH20" s="71"/>
      <c r="AI20" s="71"/>
    </row>
    <row r="21" spans="1:35" ht="62.25" customHeight="1">
      <c r="A21" s="3"/>
      <c r="B21" s="773" t="str">
        <f>+'Data Entry'!B120</f>
        <v>MDR TB-8: Number of cases of XDR TB enrolled on treatment</v>
      </c>
      <c r="C21" s="773"/>
      <c r="D21" s="773"/>
      <c r="E21" s="147">
        <f ca="1">OFFSET('Data Entry'!$G$117,3,RIGHT('Data Entry'!$C$16,LEN('Data Entry'!$C$16)-1),1,1)</f>
        <v>16</v>
      </c>
      <c r="F21" s="147">
        <f ca="1">OFFSET('Data Entry'!$G$117,4,RIGHT('Data Entry'!$C$16,LEN('Data Entry'!$C$16)-1),1,1)</f>
        <v>8</v>
      </c>
      <c r="G21" s="759">
        <f t="shared" ca="1" si="0"/>
        <v>0.5</v>
      </c>
      <c r="H21" s="760"/>
      <c r="I21" s="760"/>
      <c r="J21" s="760"/>
      <c r="K21" s="761"/>
      <c r="L21" s="758" t="s">
        <v>430</v>
      </c>
      <c r="M21" s="758"/>
      <c r="N21" s="758"/>
      <c r="O21" s="758"/>
      <c r="P21" s="758"/>
      <c r="Q21" s="758"/>
      <c r="S21" s="69"/>
      <c r="T21" s="70" t="str">
        <f>"de "&amp;T19&amp;" a "&amp;T20</f>
        <v>de 0 a 0.3</v>
      </c>
      <c r="U21" s="70" t="str">
        <f>"de "&amp;U19&amp;" a "&amp;U20</f>
        <v>de 0.3 a 0.6</v>
      </c>
      <c r="V21" s="70" t="str">
        <f>"de "&amp;V19&amp;" a "&amp;V20</f>
        <v>de 0.6 a 0.9</v>
      </c>
      <c r="W21" s="70" t="str">
        <f>"de "&amp;W19&amp;" a "&amp;W20</f>
        <v>de 0.9 a 1</v>
      </c>
      <c r="X21" s="70" t="str">
        <f>"de "&amp;X19&amp;" a "&amp;X20</f>
        <v>de 1 a 2</v>
      </c>
      <c r="Y21" s="71"/>
      <c r="Z21" s="71" t="s">
        <v>266</v>
      </c>
      <c r="AA21" s="69" t="s">
        <v>265</v>
      </c>
      <c r="AB21" s="70" t="str">
        <f>"de "&amp;AB19&amp;" a "&amp;AB20</f>
        <v>de 0 a 0.2</v>
      </c>
      <c r="AC21" s="70" t="str">
        <f>"de "&amp;AC19&amp;" a "&amp;AC20</f>
        <v>de 0.2 a 0.4</v>
      </c>
      <c r="AD21" s="70" t="str">
        <f>"de "&amp;AD19&amp;" a "&amp;AD20</f>
        <v>de 0.4 a 0.6</v>
      </c>
      <c r="AE21" s="70" t="str">
        <f>"de "&amp;AE19&amp;" a "&amp;AE20</f>
        <v>de 0.6 a 0.8</v>
      </c>
      <c r="AF21" s="70" t="str">
        <f>"de "&amp;AF19&amp;" a "&amp;AF20</f>
        <v>de 0.8 a 1</v>
      </c>
      <c r="AG21" s="71"/>
      <c r="AH21" s="71"/>
      <c r="AI21" s="71"/>
    </row>
    <row r="22" spans="1:35" ht="35.1" customHeight="1">
      <c r="A22" s="3"/>
      <c r="B22" s="768" t="str">
        <f>+'Data Entry'!B122</f>
        <v>MDR TB other -1: Percentage  of new and relapse TB patients tested using WHO recommended rapid tests at the time of diagnosis</v>
      </c>
      <c r="C22" s="768"/>
      <c r="D22" s="768"/>
      <c r="E22" s="147">
        <f ca="1">OFFSET('Data Entry'!$G$117,5,RIGHT('Data Entry'!$C$16,LEN('Data Entry'!$C$16)-1),1,1)</f>
        <v>85</v>
      </c>
      <c r="F22" s="147">
        <f ca="1">OFFSET('Data Entry'!$G$117,6,RIGHT('Data Entry'!$C$16,LEN('Data Entry'!$C$16)-1),1,1)</f>
        <v>94</v>
      </c>
      <c r="G22" s="759">
        <f t="shared" ca="1" si="0"/>
        <v>1.1058823529411765</v>
      </c>
      <c r="H22" s="760"/>
      <c r="I22" s="760"/>
      <c r="J22" s="760"/>
      <c r="K22" s="761"/>
      <c r="L22" s="758" t="s">
        <v>431</v>
      </c>
      <c r="M22" s="758"/>
      <c r="N22" s="758"/>
      <c r="O22" s="758"/>
      <c r="P22" s="758"/>
      <c r="Q22" s="758"/>
      <c r="S22" s="69"/>
      <c r="T22" s="67" t="e">
        <f t="shared" ref="T22:W33" si="1">IF($K20&gt;T$19,IF($K20&lt;=T$20,$K20,NA()),NA())</f>
        <v>#N/A</v>
      </c>
      <c r="U22" s="67" t="e">
        <f t="shared" si="1"/>
        <v>#N/A</v>
      </c>
      <c r="V22" s="67" t="e">
        <f t="shared" si="1"/>
        <v>#N/A</v>
      </c>
      <c r="W22" s="67" t="e">
        <f t="shared" si="1"/>
        <v>#N/A</v>
      </c>
      <c r="X22" s="67" t="e">
        <f>IF($K20&gt;X$19,IF($K20&lt;=X$20,1,NA()),NA())</f>
        <v>#N/A</v>
      </c>
      <c r="Y22" s="71"/>
      <c r="Z22" s="200" t="e">
        <f>+'Grant Detail'!#REF!</f>
        <v>#REF!</v>
      </c>
      <c r="AA22" s="67" t="e">
        <f>+IF(Z22="A1",1,IF(Z22="A2",0.8,IF(Z22="B1",0.6,IF(Z22="B2",0.4,0.2))))</f>
        <v>#REF!</v>
      </c>
      <c r="AB22" s="67" t="e">
        <f>IF($AA22&gt;AB$19,IF($AA22&lt;=AB$20,$AA22,NA()),NA())</f>
        <v>#REF!</v>
      </c>
      <c r="AC22" s="67" t="e">
        <f t="shared" ref="AC22:AF24" si="2">IF($AA22&gt;AC$19,IF($AA22&lt;=AC$20,$AA22,NA()),NA())</f>
        <v>#REF!</v>
      </c>
      <c r="AD22" s="67" t="e">
        <f t="shared" si="2"/>
        <v>#REF!</v>
      </c>
      <c r="AE22" s="67" t="e">
        <f t="shared" si="2"/>
        <v>#REF!</v>
      </c>
      <c r="AF22" s="67" t="e">
        <f t="shared" si="2"/>
        <v>#REF!</v>
      </c>
      <c r="AG22" s="71"/>
      <c r="AH22" s="71"/>
      <c r="AI22" s="71"/>
    </row>
    <row r="23" spans="1:35" ht="41.1" hidden="1" customHeight="1">
      <c r="A23" s="3"/>
      <c r="B23" s="770">
        <f>+'Data Entry'!B124</f>
        <v>0</v>
      </c>
      <c r="C23" s="771"/>
      <c r="D23" s="772"/>
      <c r="E23" s="147">
        <f ca="1">OFFSET('Data Entry'!$G$117,7,RIGHT('Data Entry'!$C$16,LEN('Data Entry'!$C$16)-1),1,1)</f>
        <v>0</v>
      </c>
      <c r="F23" s="147">
        <f ca="1">OFFSET('Data Entry'!$G$117,8,RIGHT('Data Entry'!$C$16,LEN('Data Entry'!$C$16)-1),1,1)</f>
        <v>0</v>
      </c>
      <c r="G23" s="759">
        <f t="shared" ca="1" si="0"/>
        <v>0</v>
      </c>
      <c r="H23" s="760"/>
      <c r="I23" s="760"/>
      <c r="J23" s="760"/>
      <c r="K23" s="761"/>
      <c r="L23" s="758"/>
      <c r="M23" s="758"/>
      <c r="N23" s="758"/>
      <c r="O23" s="758"/>
      <c r="P23" s="758"/>
      <c r="Q23" s="758"/>
      <c r="S23" s="69"/>
      <c r="T23" s="67" t="e">
        <f t="shared" si="1"/>
        <v>#N/A</v>
      </c>
      <c r="U23" s="67" t="e">
        <f t="shared" si="1"/>
        <v>#N/A</v>
      </c>
      <c r="V23" s="67" t="e">
        <f t="shared" si="1"/>
        <v>#N/A</v>
      </c>
      <c r="W23" s="67" t="e">
        <f t="shared" si="1"/>
        <v>#N/A</v>
      </c>
      <c r="X23" s="67" t="e">
        <f>IF($K21&gt;X$19,IF($K21&lt;=X$20,1,1),NA())</f>
        <v>#N/A</v>
      </c>
      <c r="Y23" s="71"/>
      <c r="Z23" s="200" t="e">
        <f>+'Grant Detail'!#REF!</f>
        <v>#REF!</v>
      </c>
      <c r="AA23" s="67" t="e">
        <f>+IF(Z23="A1",1,IF(Z23="A2",0.8,IF(Z23="B1",0.6,IF(Z23="B2",0.4,0.2))))</f>
        <v>#REF!</v>
      </c>
      <c r="AB23" s="67" t="e">
        <f>IF($AA23&gt;AB$19,IF($AA23&lt;=AB$20,$AA23,NA()),NA())</f>
        <v>#REF!</v>
      </c>
      <c r="AC23" s="67" t="e">
        <f t="shared" si="2"/>
        <v>#REF!</v>
      </c>
      <c r="AD23" s="67" t="e">
        <f t="shared" si="2"/>
        <v>#REF!</v>
      </c>
      <c r="AE23" s="67" t="e">
        <f t="shared" si="2"/>
        <v>#REF!</v>
      </c>
      <c r="AF23" s="67" t="e">
        <f t="shared" si="2"/>
        <v>#REF!</v>
      </c>
      <c r="AG23" s="71"/>
      <c r="AH23" s="71"/>
      <c r="AI23" s="71"/>
    </row>
    <row r="24" spans="1:35" ht="45" hidden="1" customHeight="1">
      <c r="A24" s="3"/>
      <c r="B24" s="773">
        <f>+'Data Entry'!B126</f>
        <v>0</v>
      </c>
      <c r="C24" s="773"/>
      <c r="D24" s="773"/>
      <c r="E24" s="147">
        <f ca="1">OFFSET('Data Entry'!$G$117,9,RIGHT('Data Entry'!$C$16,LEN('Data Entry'!$C$16)-1),1,1)</f>
        <v>0</v>
      </c>
      <c r="F24" s="147">
        <f ca="1">OFFSET('Data Entry'!$G$117,10,RIGHT('Data Entry'!$C$16,LEN('Data Entry'!$C$16)-1),1,1)</f>
        <v>0</v>
      </c>
      <c r="G24" s="759">
        <f t="shared" ca="1" si="0"/>
        <v>0</v>
      </c>
      <c r="H24" s="760"/>
      <c r="I24" s="760"/>
      <c r="J24" s="760"/>
      <c r="K24" s="761"/>
      <c r="L24" s="758" t="s">
        <v>423</v>
      </c>
      <c r="M24" s="758"/>
      <c r="N24" s="758"/>
      <c r="O24" s="758"/>
      <c r="P24" s="758"/>
      <c r="Q24" s="758"/>
      <c r="S24" s="69"/>
      <c r="T24" s="67" t="e">
        <f t="shared" si="1"/>
        <v>#N/A</v>
      </c>
      <c r="U24" s="67" t="e">
        <f t="shared" si="1"/>
        <v>#N/A</v>
      </c>
      <c r="V24" s="67" t="e">
        <f t="shared" si="1"/>
        <v>#N/A</v>
      </c>
      <c r="W24" s="67" t="e">
        <f t="shared" si="1"/>
        <v>#N/A</v>
      </c>
      <c r="X24" s="67" t="e">
        <f t="shared" ref="X24:X33" si="3">IF($K22&gt;X$19,IF($K22&lt;=X$20,1,NA()),NA())</f>
        <v>#N/A</v>
      </c>
      <c r="Y24" s="71"/>
      <c r="Z24" s="200" t="e">
        <f>+'Grant Detail'!#REF!</f>
        <v>#REF!</v>
      </c>
      <c r="AA24" s="67" t="e">
        <f>+IF(Z24="A1",1,IF(Z24="A2",0.8,IF(Z24="B1",0.6,IF(Z24="B2",0.4,0.2))))</f>
        <v>#REF!</v>
      </c>
      <c r="AB24" s="67" t="e">
        <f>IF($AA24&gt;AB$19,IF($AA24&lt;=AB$20,$AA24,NA()),NA())</f>
        <v>#REF!</v>
      </c>
      <c r="AC24" s="67" t="e">
        <f t="shared" si="2"/>
        <v>#REF!</v>
      </c>
      <c r="AD24" s="67" t="e">
        <f t="shared" si="2"/>
        <v>#REF!</v>
      </c>
      <c r="AE24" s="67" t="e">
        <f t="shared" si="2"/>
        <v>#REF!</v>
      </c>
      <c r="AF24" s="67" t="e">
        <f t="shared" si="2"/>
        <v>#REF!</v>
      </c>
      <c r="AG24" s="71"/>
      <c r="AH24" s="71"/>
      <c r="AI24" s="71"/>
    </row>
    <row r="25" spans="1:35" ht="24" hidden="1" customHeight="1">
      <c r="A25" s="3"/>
      <c r="B25" s="768">
        <f>+'Data Entry'!B128</f>
        <v>0</v>
      </c>
      <c r="C25" s="768"/>
      <c r="D25" s="768"/>
      <c r="E25" s="147">
        <f ca="1">OFFSET('Data Entry'!$G$117,11,RIGHT('Data Entry'!$C$16,LEN('Data Entry'!$C$16)-1),1,1)</f>
        <v>0</v>
      </c>
      <c r="F25" s="147">
        <f ca="1">OFFSET('Data Entry'!$G$117,12,RIGHT('Data Entry'!$C$16,LEN('Data Entry'!$C$16)-1),1,1)</f>
        <v>0</v>
      </c>
      <c r="G25" s="759">
        <f t="shared" ca="1" si="0"/>
        <v>0</v>
      </c>
      <c r="H25" s="760"/>
      <c r="I25" s="760"/>
      <c r="J25" s="760"/>
      <c r="K25" s="761"/>
      <c r="L25" s="758" t="s">
        <v>423</v>
      </c>
      <c r="M25" s="758"/>
      <c r="N25" s="758"/>
      <c r="O25" s="758"/>
      <c r="P25" s="758"/>
      <c r="Q25" s="758"/>
      <c r="S25" s="69"/>
      <c r="T25" s="67" t="e">
        <f t="shared" si="1"/>
        <v>#N/A</v>
      </c>
      <c r="U25" s="67" t="e">
        <f t="shared" si="1"/>
        <v>#N/A</v>
      </c>
      <c r="V25" s="67" t="e">
        <f t="shared" si="1"/>
        <v>#N/A</v>
      </c>
      <c r="W25" s="67" t="e">
        <f t="shared" si="1"/>
        <v>#N/A</v>
      </c>
      <c r="X25" s="67" t="e">
        <f t="shared" si="3"/>
        <v>#N/A</v>
      </c>
      <c r="Y25" s="71"/>
      <c r="Z25" s="71"/>
      <c r="AA25" s="71"/>
      <c r="AB25" s="71"/>
      <c r="AC25" s="71"/>
      <c r="AD25" s="71"/>
      <c r="AE25" s="71"/>
      <c r="AF25" s="71"/>
      <c r="AG25" s="71"/>
      <c r="AH25" s="71"/>
      <c r="AI25" s="71"/>
    </row>
    <row r="26" spans="1:35" ht="24" hidden="1" customHeight="1">
      <c r="A26" s="3"/>
      <c r="B26" s="773">
        <f>+'Data Entry'!B130</f>
        <v>0</v>
      </c>
      <c r="C26" s="773"/>
      <c r="D26" s="773"/>
      <c r="E26" s="147">
        <f ca="1">OFFSET('Data Entry'!$G$117,13,RIGHT('Data Entry'!$C$16,LEN('Data Entry'!$C$16)-1),1,1)</f>
        <v>0</v>
      </c>
      <c r="F26" s="147">
        <f ca="1">OFFSET('Data Entry'!$G$117,14,RIGHT('Data Entry'!$C$16,LEN('Data Entry'!$C$16)-1),1,1)</f>
        <v>0</v>
      </c>
      <c r="G26" s="759">
        <f t="shared" ca="1" si="0"/>
        <v>0</v>
      </c>
      <c r="H26" s="760"/>
      <c r="I26" s="760"/>
      <c r="J26" s="760"/>
      <c r="K26" s="761"/>
      <c r="L26" s="758"/>
      <c r="M26" s="758"/>
      <c r="N26" s="758"/>
      <c r="O26" s="758"/>
      <c r="P26" s="758"/>
      <c r="Q26" s="758"/>
      <c r="S26" s="69"/>
      <c r="T26" s="67" t="e">
        <f t="shared" si="1"/>
        <v>#N/A</v>
      </c>
      <c r="U26" s="67" t="e">
        <f t="shared" si="1"/>
        <v>#N/A</v>
      </c>
      <c r="V26" s="67" t="e">
        <f t="shared" si="1"/>
        <v>#N/A</v>
      </c>
      <c r="W26" s="67" t="e">
        <f t="shared" si="1"/>
        <v>#N/A</v>
      </c>
      <c r="X26" s="67" t="e">
        <f t="shared" si="3"/>
        <v>#N/A</v>
      </c>
      <c r="Y26" s="71"/>
      <c r="Z26" s="71"/>
      <c r="AA26" s="71"/>
      <c r="AB26" s="71"/>
      <c r="AC26" s="71"/>
      <c r="AD26" s="71"/>
      <c r="AE26" s="71"/>
      <c r="AF26" s="71"/>
      <c r="AG26" s="71"/>
      <c r="AH26" s="71"/>
      <c r="AI26" s="71"/>
    </row>
    <row r="27" spans="1:35" ht="24" hidden="1" customHeight="1">
      <c r="A27" s="3"/>
      <c r="B27" s="768">
        <f>+'Data Entry'!B132</f>
        <v>0</v>
      </c>
      <c r="C27" s="768"/>
      <c r="D27" s="768"/>
      <c r="E27" s="147">
        <f ca="1">OFFSET('Data Entry'!$G$117,15,RIGHT('Data Entry'!$C$16,LEN('Data Entry'!$C$16)-1),1,1)</f>
        <v>0</v>
      </c>
      <c r="F27" s="147">
        <f ca="1">OFFSET('Data Entry'!$G$117,16,RIGHT('Data Entry'!$C$16,LEN('Data Entry'!$C$16)-1),1,1)</f>
        <v>0</v>
      </c>
      <c r="G27" s="759">
        <f t="shared" ca="1" si="0"/>
        <v>0</v>
      </c>
      <c r="H27" s="760"/>
      <c r="I27" s="760"/>
      <c r="J27" s="760"/>
      <c r="K27" s="761"/>
      <c r="L27" s="758"/>
      <c r="M27" s="758"/>
      <c r="N27" s="758"/>
      <c r="O27" s="758"/>
      <c r="P27" s="758"/>
      <c r="Q27" s="758"/>
      <c r="S27" s="69"/>
      <c r="T27" s="67" t="e">
        <f t="shared" si="1"/>
        <v>#N/A</v>
      </c>
      <c r="U27" s="67" t="e">
        <f t="shared" si="1"/>
        <v>#N/A</v>
      </c>
      <c r="V27" s="67" t="e">
        <f t="shared" si="1"/>
        <v>#N/A</v>
      </c>
      <c r="W27" s="67" t="e">
        <f t="shared" si="1"/>
        <v>#N/A</v>
      </c>
      <c r="X27" s="67" t="e">
        <f t="shared" si="3"/>
        <v>#N/A</v>
      </c>
      <c r="Y27" s="71"/>
      <c r="Z27" s="71"/>
      <c r="AA27" s="71"/>
      <c r="AB27" s="71"/>
      <c r="AC27" s="71"/>
      <c r="AD27" s="71"/>
      <c r="AE27" s="71"/>
      <c r="AF27" s="71"/>
      <c r="AG27" s="71"/>
      <c r="AH27" s="71"/>
      <c r="AI27" s="71"/>
    </row>
    <row r="28" spans="1:35" ht="38.1" hidden="1" customHeight="1">
      <c r="A28" s="3"/>
      <c r="B28" s="773">
        <f>+'Data Entry'!B134</f>
        <v>0</v>
      </c>
      <c r="C28" s="773"/>
      <c r="D28" s="773"/>
      <c r="E28" s="147">
        <f ca="1">OFFSET('Data Entry'!$G$117,17,RIGHT('Data Entry'!$C$16,LEN('Data Entry'!$C$16)-1),1,1)</f>
        <v>0</v>
      </c>
      <c r="F28" s="147">
        <f ca="1">OFFSET('Data Entry'!$G$117,18,RIGHT('Data Entry'!$C$16,LEN('Data Entry'!$C$16)-1),1,1)</f>
        <v>0</v>
      </c>
      <c r="G28" s="759">
        <f t="shared" ca="1" si="0"/>
        <v>0</v>
      </c>
      <c r="H28" s="760"/>
      <c r="I28" s="760"/>
      <c r="J28" s="760"/>
      <c r="K28" s="761"/>
      <c r="L28" s="758"/>
      <c r="M28" s="758"/>
      <c r="N28" s="758"/>
      <c r="O28" s="758"/>
      <c r="P28" s="758"/>
      <c r="Q28" s="758"/>
      <c r="S28" s="69"/>
      <c r="T28" s="67" t="e">
        <f t="shared" si="1"/>
        <v>#N/A</v>
      </c>
      <c r="U28" s="67" t="e">
        <f t="shared" si="1"/>
        <v>#N/A</v>
      </c>
      <c r="V28" s="67" t="e">
        <f t="shared" si="1"/>
        <v>#N/A</v>
      </c>
      <c r="W28" s="67" t="e">
        <f t="shared" si="1"/>
        <v>#N/A</v>
      </c>
      <c r="X28" s="67" t="e">
        <f t="shared" si="3"/>
        <v>#N/A</v>
      </c>
      <c r="Y28" s="71"/>
      <c r="Z28" s="71"/>
      <c r="AA28" s="71"/>
      <c r="AB28" s="71"/>
      <c r="AC28" s="71"/>
      <c r="AD28" s="71"/>
      <c r="AE28" s="71"/>
      <c r="AF28" s="71"/>
      <c r="AG28" s="71"/>
      <c r="AH28" s="71"/>
      <c r="AI28" s="71"/>
    </row>
    <row r="29" spans="1:35" ht="29.25" hidden="1" customHeight="1">
      <c r="A29" s="3"/>
      <c r="B29" s="770">
        <f>+'Data Entry'!B136</f>
        <v>0</v>
      </c>
      <c r="C29" s="771"/>
      <c r="D29" s="772"/>
      <c r="E29" s="147">
        <f ca="1">OFFSET('Data Entry'!$G$117,19,RIGHT('Data Entry'!$C$16,LEN('Data Entry'!$C$16)-1),1,1)</f>
        <v>0</v>
      </c>
      <c r="F29" s="147">
        <f ca="1">OFFSET('Data Entry'!$G$117,20,RIGHT('Data Entry'!$C$16,LEN('Data Entry'!$C$16)-1),1,1)</f>
        <v>0</v>
      </c>
      <c r="G29" s="759">
        <f t="shared" ca="1" si="0"/>
        <v>0</v>
      </c>
      <c r="H29" s="760"/>
      <c r="I29" s="760"/>
      <c r="J29" s="760"/>
      <c r="K29" s="761"/>
      <c r="L29" s="758"/>
      <c r="M29" s="758"/>
      <c r="N29" s="758"/>
      <c r="O29" s="758"/>
      <c r="P29" s="758"/>
      <c r="Q29" s="758"/>
      <c r="S29" s="69"/>
      <c r="T29" s="67" t="e">
        <f t="shared" si="1"/>
        <v>#N/A</v>
      </c>
      <c r="U29" s="67" t="e">
        <f t="shared" si="1"/>
        <v>#N/A</v>
      </c>
      <c r="V29" s="67" t="e">
        <f t="shared" si="1"/>
        <v>#N/A</v>
      </c>
      <c r="W29" s="67" t="e">
        <f t="shared" si="1"/>
        <v>#N/A</v>
      </c>
      <c r="X29" s="67" t="e">
        <f t="shared" si="3"/>
        <v>#N/A</v>
      </c>
      <c r="Y29" s="71"/>
      <c r="Z29" s="71"/>
      <c r="AA29" s="71"/>
      <c r="AB29" s="71"/>
      <c r="AC29" s="71"/>
      <c r="AD29" s="71"/>
      <c r="AE29" s="71"/>
      <c r="AF29" s="71"/>
      <c r="AG29" s="71"/>
      <c r="AH29" s="71"/>
      <c r="AI29" s="71"/>
    </row>
    <row r="30" spans="1:35" ht="22.5" customHeight="1">
      <c r="A30" s="3"/>
      <c r="B30" s="780"/>
      <c r="C30" s="780"/>
      <c r="D30" s="780"/>
      <c r="E30" s="780"/>
      <c r="F30" s="779"/>
      <c r="G30" s="779"/>
      <c r="H30" s="779"/>
      <c r="I30" s="779"/>
      <c r="J30" s="779"/>
      <c r="K30" s="779"/>
      <c r="L30" s="778"/>
      <c r="M30" s="778"/>
      <c r="N30" s="778"/>
      <c r="O30" s="778"/>
      <c r="P30" s="778"/>
      <c r="S30" s="69"/>
      <c r="T30" s="67" t="e">
        <f t="shared" si="1"/>
        <v>#N/A</v>
      </c>
      <c r="U30" s="67" t="e">
        <f t="shared" si="1"/>
        <v>#N/A</v>
      </c>
      <c r="V30" s="67" t="e">
        <f t="shared" si="1"/>
        <v>#N/A</v>
      </c>
      <c r="W30" s="67" t="e">
        <f t="shared" si="1"/>
        <v>#N/A</v>
      </c>
      <c r="X30" s="67" t="e">
        <f t="shared" si="3"/>
        <v>#N/A</v>
      </c>
      <c r="Y30" s="71"/>
      <c r="Z30" s="71"/>
      <c r="AA30" s="71"/>
      <c r="AB30" s="71"/>
      <c r="AC30" s="71"/>
      <c r="AD30" s="71"/>
      <c r="AE30" s="71"/>
      <c r="AF30" s="71"/>
      <c r="AG30" s="71"/>
      <c r="AH30" s="71"/>
      <c r="AI30" s="71"/>
    </row>
    <row r="31" spans="1:35" ht="22.5" customHeight="1">
      <c r="A31" s="3"/>
      <c r="B31" s="774"/>
      <c r="C31" s="774"/>
      <c r="D31" s="774"/>
      <c r="E31" s="775"/>
      <c r="F31" s="776"/>
      <c r="G31" s="777"/>
      <c r="H31" s="777"/>
      <c r="I31" s="777"/>
      <c r="J31" s="777"/>
      <c r="K31" s="775"/>
      <c r="L31" s="776"/>
      <c r="M31" s="777"/>
      <c r="N31" s="777"/>
      <c r="O31" s="777"/>
      <c r="P31" s="777"/>
      <c r="S31" s="69"/>
      <c r="T31" s="67" t="e">
        <f t="shared" si="1"/>
        <v>#N/A</v>
      </c>
      <c r="U31" s="67" t="e">
        <f t="shared" si="1"/>
        <v>#N/A</v>
      </c>
      <c r="V31" s="67" t="e">
        <f t="shared" si="1"/>
        <v>#N/A</v>
      </c>
      <c r="W31" s="67" t="e">
        <f t="shared" si="1"/>
        <v>#N/A</v>
      </c>
      <c r="X31" s="67" t="e">
        <f t="shared" si="3"/>
        <v>#N/A</v>
      </c>
      <c r="Y31" s="71"/>
      <c r="Z31" s="71"/>
      <c r="AA31" s="71"/>
      <c r="AB31" s="71"/>
      <c r="AC31" s="71"/>
      <c r="AD31" s="71"/>
      <c r="AE31" s="71"/>
      <c r="AF31" s="71"/>
      <c r="AG31" s="71"/>
      <c r="AH31" s="71"/>
      <c r="AI31" s="71"/>
    </row>
    <row r="32" spans="1:35">
      <c r="A32" s="3"/>
      <c r="B32" s="230"/>
      <c r="C32" s="230"/>
      <c r="D32" s="230"/>
      <c r="E32" s="230"/>
      <c r="F32" s="230"/>
      <c r="G32" s="230"/>
      <c r="H32" s="231"/>
      <c r="I32" s="230"/>
      <c r="J32" s="230"/>
      <c r="K32" s="230"/>
      <c r="L32" s="230"/>
      <c r="M32" s="230"/>
      <c r="N32" s="230"/>
      <c r="O32" s="230"/>
      <c r="P32" s="230"/>
      <c r="S32" s="69"/>
      <c r="T32" s="67" t="e">
        <f t="shared" si="1"/>
        <v>#N/A</v>
      </c>
      <c r="U32" s="67" t="e">
        <f t="shared" si="1"/>
        <v>#N/A</v>
      </c>
      <c r="V32" s="67" t="e">
        <f t="shared" si="1"/>
        <v>#N/A</v>
      </c>
      <c r="W32" s="67" t="e">
        <f t="shared" si="1"/>
        <v>#N/A</v>
      </c>
      <c r="X32" s="67" t="e">
        <f t="shared" si="3"/>
        <v>#N/A</v>
      </c>
      <c r="Y32" s="71"/>
      <c r="Z32" s="71"/>
      <c r="AA32" s="71"/>
      <c r="AB32" s="71"/>
      <c r="AC32" s="71"/>
      <c r="AD32" s="71"/>
      <c r="AE32" s="71"/>
      <c r="AF32" s="71"/>
      <c r="AG32" s="71"/>
      <c r="AH32" s="71"/>
      <c r="AI32" s="71"/>
    </row>
    <row r="33" spans="1:35">
      <c r="A33" s="3"/>
      <c r="B33" s="769"/>
      <c r="C33" s="769"/>
      <c r="D33" s="769"/>
      <c r="E33" s="769"/>
      <c r="F33" s="769"/>
      <c r="G33" s="769"/>
      <c r="H33" s="769"/>
      <c r="I33" s="769"/>
      <c r="J33" s="769"/>
      <c r="K33" s="769"/>
      <c r="L33" s="230"/>
      <c r="M33" s="230"/>
      <c r="N33" s="230"/>
      <c r="O33" s="230"/>
      <c r="P33" s="230"/>
      <c r="S33" s="69"/>
      <c r="T33" s="67" t="e">
        <f t="shared" si="1"/>
        <v>#N/A</v>
      </c>
      <c r="U33" s="67" t="e">
        <f t="shared" si="1"/>
        <v>#N/A</v>
      </c>
      <c r="V33" s="67" t="e">
        <f t="shared" si="1"/>
        <v>#N/A</v>
      </c>
      <c r="W33" s="67" t="e">
        <f t="shared" si="1"/>
        <v>#N/A</v>
      </c>
      <c r="X33" s="67" t="e">
        <f t="shared" si="3"/>
        <v>#N/A</v>
      </c>
      <c r="Y33" s="71"/>
      <c r="Z33" s="71"/>
      <c r="AA33" s="71"/>
      <c r="AB33" s="71"/>
      <c r="AC33" s="71"/>
      <c r="AD33" s="71"/>
      <c r="AE33" s="71"/>
      <c r="AF33" s="71"/>
      <c r="AG33" s="71"/>
      <c r="AH33" s="71"/>
      <c r="AI33" s="71"/>
    </row>
    <row r="34" spans="1:35">
      <c r="A34" s="3"/>
      <c r="B34" s="769"/>
      <c r="C34" s="769"/>
      <c r="D34" s="769"/>
      <c r="E34" s="769"/>
      <c r="F34" s="769"/>
      <c r="G34" s="769"/>
      <c r="H34" s="769"/>
      <c r="I34" s="769"/>
      <c r="J34" s="769"/>
      <c r="K34" s="769"/>
      <c r="L34" s="230"/>
      <c r="M34" s="230"/>
      <c r="N34" s="230"/>
      <c r="O34" s="230"/>
      <c r="P34" s="230"/>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100"/>
      <c r="J35" s="100"/>
      <c r="K35" s="100"/>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8"/>
      <c r="J36" s="149"/>
      <c r="K36" s="149"/>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150"/>
      <c r="J37" s="151"/>
      <c r="K37" s="102"/>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152"/>
      <c r="J38" s="151"/>
      <c r="K38" s="102"/>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150"/>
      <c r="J39" s="151"/>
      <c r="K39" s="102"/>
      <c r="L39" s="3"/>
      <c r="M39" s="3"/>
      <c r="N39" s="3"/>
      <c r="O39" s="3"/>
      <c r="P39" s="3"/>
      <c r="S39" s="71"/>
      <c r="T39" s="71"/>
      <c r="U39" s="71"/>
      <c r="V39" s="71"/>
      <c r="W39" s="71"/>
      <c r="X39" s="71"/>
      <c r="Y39" s="71"/>
      <c r="Z39" s="71"/>
      <c r="AA39" s="71"/>
      <c r="AB39" s="71"/>
      <c r="AC39" s="71"/>
      <c r="AD39" s="71"/>
      <c r="AE39" s="71"/>
      <c r="AF39" s="71"/>
      <c r="AG39" s="71"/>
      <c r="AH39" s="71"/>
      <c r="AI39" s="71"/>
    </row>
    <row r="40" spans="1:35">
      <c r="A40" s="3"/>
      <c r="B40" s="3"/>
      <c r="C40" s="3"/>
      <c r="D40" s="3"/>
      <c r="E40" s="3"/>
      <c r="F40" s="3"/>
      <c r="G40" s="3"/>
      <c r="H40" s="3"/>
      <c r="I40" s="3"/>
      <c r="J40" s="3"/>
      <c r="K40" s="3"/>
      <c r="L40" s="3"/>
      <c r="M40" s="3"/>
      <c r="N40" s="3"/>
      <c r="O40" s="3"/>
      <c r="P40" s="3"/>
      <c r="S40" s="71"/>
      <c r="T40" s="71"/>
      <c r="U40" s="71"/>
      <c r="V40" s="71"/>
      <c r="W40" s="71"/>
      <c r="X40" s="71"/>
      <c r="Y40" s="71"/>
      <c r="Z40" s="71"/>
      <c r="AA40" s="71"/>
      <c r="AB40" s="71"/>
      <c r="AC40" s="71"/>
      <c r="AD40" s="71"/>
      <c r="AE40" s="71"/>
      <c r="AF40" s="71"/>
      <c r="AG40" s="71"/>
      <c r="AH40" s="71"/>
      <c r="AI40" s="71"/>
    </row>
    <row r="41" spans="1:35">
      <c r="A41" s="3"/>
      <c r="B41" s="3"/>
      <c r="C41" s="3"/>
      <c r="D41" s="3"/>
      <c r="E41" s="3"/>
      <c r="F41" s="3"/>
      <c r="G41" s="3"/>
      <c r="H41" s="3"/>
      <c r="I41" s="3"/>
      <c r="J41" s="3"/>
      <c r="K41" s="3"/>
      <c r="L41" s="3"/>
      <c r="M41" s="3"/>
      <c r="N41" s="3"/>
      <c r="O41" s="3"/>
      <c r="P41" s="3"/>
      <c r="S41" s="71"/>
      <c r="T41" s="71"/>
      <c r="U41" s="71"/>
      <c r="V41" s="71"/>
      <c r="W41" s="71"/>
      <c r="X41" s="71"/>
      <c r="Y41" s="71"/>
      <c r="Z41" s="71"/>
      <c r="AA41" s="71"/>
      <c r="AB41" s="71"/>
      <c r="AC41" s="71"/>
      <c r="AD41" s="71"/>
      <c r="AE41" s="71"/>
      <c r="AF41" s="71"/>
      <c r="AG41" s="71"/>
      <c r="AH41" s="71"/>
      <c r="AI41" s="71"/>
    </row>
    <row r="42" spans="1:35">
      <c r="A42" s="3"/>
      <c r="B42" s="3"/>
      <c r="C42" s="3"/>
      <c r="D42" s="3"/>
      <c r="E42" s="3"/>
      <c r="F42" s="3"/>
      <c r="G42" s="3"/>
      <c r="H42" s="3"/>
      <c r="I42" s="3"/>
      <c r="J42" s="3"/>
      <c r="K42" s="3"/>
      <c r="L42" s="3"/>
      <c r="M42" s="3"/>
      <c r="N42" s="3"/>
      <c r="O42" s="3"/>
      <c r="P42" s="3"/>
      <c r="S42" s="64"/>
      <c r="T42" s="64"/>
      <c r="U42" s="64"/>
      <c r="V42" s="64"/>
      <c r="W42" s="64"/>
      <c r="X42" s="64"/>
      <c r="Y42" s="64"/>
      <c r="Z42" s="64"/>
      <c r="AA42" s="64"/>
      <c r="AB42" s="64"/>
    </row>
    <row r="43" spans="1:35">
      <c r="S43" s="64"/>
      <c r="T43" s="64"/>
      <c r="U43" s="64"/>
      <c r="V43" s="64"/>
      <c r="W43" s="64"/>
      <c r="X43" s="64"/>
      <c r="Y43" s="64"/>
      <c r="Z43" s="64"/>
      <c r="AA43" s="64"/>
      <c r="AB43" s="64"/>
    </row>
    <row r="44" spans="1:35">
      <c r="S44" s="64"/>
      <c r="T44" s="64"/>
      <c r="U44" s="64"/>
      <c r="V44" s="64"/>
      <c r="W44" s="64"/>
      <c r="X44" s="64"/>
      <c r="Y44" s="64"/>
      <c r="Z44" s="64"/>
      <c r="AA44" s="64"/>
      <c r="AB44" s="64"/>
    </row>
    <row r="45" spans="1:35">
      <c r="S45" s="64"/>
      <c r="T45" s="64"/>
      <c r="U45" s="64"/>
      <c r="V45" s="64"/>
      <c r="W45" s="64"/>
      <c r="X45" s="64"/>
      <c r="Y45" s="64"/>
      <c r="Z45" s="64"/>
      <c r="AA45" s="64"/>
      <c r="AB45" s="64"/>
    </row>
    <row r="46" spans="1:35">
      <c r="S46" s="64"/>
      <c r="T46" s="64"/>
      <c r="U46" s="64"/>
      <c r="V46" s="64"/>
      <c r="W46" s="64"/>
      <c r="X46" s="64"/>
      <c r="Y46" s="64"/>
      <c r="Z46" s="64"/>
      <c r="AA46" s="64"/>
      <c r="AB46" s="64"/>
    </row>
  </sheetData>
  <mergeCells count="58">
    <mergeCell ref="C9:E9"/>
    <mergeCell ref="G9:K9"/>
    <mergeCell ref="M9:Q9"/>
    <mergeCell ref="C3:D3"/>
    <mergeCell ref="E4:L4"/>
    <mergeCell ref="B8:E8"/>
    <mergeCell ref="F8:K8"/>
    <mergeCell ref="F31:K31"/>
    <mergeCell ref="B21:D21"/>
    <mergeCell ref="G28:K28"/>
    <mergeCell ref="G29:K29"/>
    <mergeCell ref="F30:K30"/>
    <mergeCell ref="B30:E30"/>
    <mergeCell ref="B27:D27"/>
    <mergeCell ref="B28:D28"/>
    <mergeCell ref="B29:D29"/>
    <mergeCell ref="B22:D22"/>
    <mergeCell ref="L31:P31"/>
    <mergeCell ref="L20:Q20"/>
    <mergeCell ref="L21:Q21"/>
    <mergeCell ref="L22:Q22"/>
    <mergeCell ref="L28:Q28"/>
    <mergeCell ref="L30:P30"/>
    <mergeCell ref="L23:Q23"/>
    <mergeCell ref="L24:Q24"/>
    <mergeCell ref="L29:Q29"/>
    <mergeCell ref="E18:K18"/>
    <mergeCell ref="B19:D19"/>
    <mergeCell ref="B20:D20"/>
    <mergeCell ref="B33:D34"/>
    <mergeCell ref="E33:G34"/>
    <mergeCell ref="H33:K34"/>
    <mergeCell ref="B23:D23"/>
    <mergeCell ref="B24:D24"/>
    <mergeCell ref="B25:D25"/>
    <mergeCell ref="B26:D26"/>
    <mergeCell ref="G23:K23"/>
    <mergeCell ref="G24:K24"/>
    <mergeCell ref="G25:K25"/>
    <mergeCell ref="G26:K26"/>
    <mergeCell ref="G27:K27"/>
    <mergeCell ref="B31:E31"/>
    <mergeCell ref="L19:Q19"/>
    <mergeCell ref="L25:Q25"/>
    <mergeCell ref="L26:Q26"/>
    <mergeCell ref="L27:Q27"/>
    <mergeCell ref="G20:K20"/>
    <mergeCell ref="G21:K21"/>
    <mergeCell ref="G22:K22"/>
    <mergeCell ref="G19:H19"/>
    <mergeCell ref="I19:J19"/>
    <mergeCell ref="B2:Q2"/>
    <mergeCell ref="O3:P3"/>
    <mergeCell ref="D5:N5"/>
    <mergeCell ref="L8:Q8"/>
    <mergeCell ref="F6:K6"/>
    <mergeCell ref="E3:K3"/>
    <mergeCell ref="C4:D4"/>
  </mergeCells>
  <phoneticPr fontId="30" type="noConversion"/>
  <conditionalFormatting sqref="C4:D4">
    <cfRule type="cellIs" dxfId="11" priority="50" stopIfTrue="1" operator="equal">
      <formula>"C"</formula>
    </cfRule>
    <cfRule type="cellIs" dxfId="10" priority="51" stopIfTrue="1" operator="equal">
      <formula>"B2"</formula>
    </cfRule>
    <cfRule type="cellIs" dxfId="9" priority="52" stopIfTrue="1" operator="equal">
      <formula>"B1"</formula>
    </cfRule>
  </conditionalFormatting>
  <conditionalFormatting sqref="G20:G29">
    <cfRule type="cellIs" dxfId="8" priority="56" stopIfTrue="1" operator="between">
      <formula>0</formula>
      <formula>0.599</formula>
    </cfRule>
    <cfRule type="cellIs" dxfId="7" priority="57" stopIfTrue="1" operator="between">
      <formula>0.6</formula>
      <formula>0.899</formula>
    </cfRule>
    <cfRule type="cellIs" dxfId="6" priority="58"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headerFooter alignWithMargins="0">
    <oddFooter>&amp;L&amp;F&amp;C&amp;A&amp;RV1.0          &amp;D</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2"/>
  <sheetViews>
    <sheetView showGridLines="0" zoomScale="90" zoomScaleNormal="90" zoomScalePageLayoutView="90" workbookViewId="0">
      <selection activeCell="Q12" sqref="Q12"/>
    </sheetView>
  </sheetViews>
  <sheetFormatPr defaultColWidth="11.42578125" defaultRowHeight="11.25"/>
  <cols>
    <col min="1" max="1" width="1.140625" style="31" customWidth="1"/>
    <col min="2" max="2" width="19.28515625" style="31" customWidth="1"/>
    <col min="3" max="3" width="1.140625" style="31" customWidth="1"/>
    <col min="4" max="4" width="17.140625" style="31" customWidth="1"/>
    <col min="5" max="5" width="17.42578125" style="31" customWidth="1"/>
    <col min="6" max="6" width="9.7109375" style="31" customWidth="1"/>
    <col min="7" max="7" width="13" style="31" customWidth="1"/>
    <col min="8" max="8" width="4.28515625" style="31" customWidth="1"/>
    <col min="9" max="9" width="15.85546875" style="31" customWidth="1"/>
    <col min="10" max="10" width="3.42578125" style="31" customWidth="1"/>
    <col min="11" max="11" width="7.42578125" style="32" customWidth="1"/>
    <col min="12" max="12" width="14.28515625" style="31" customWidth="1"/>
    <col min="13" max="13" width="12" style="31" customWidth="1"/>
    <col min="14" max="14" width="5.42578125" style="31" customWidth="1"/>
    <col min="15" max="15" width="2.42578125" style="31" customWidth="1"/>
    <col min="16" max="16384" width="11.42578125" style="31"/>
  </cols>
  <sheetData>
    <row r="1" spans="1:15" ht="38.25" customHeight="1">
      <c r="A1" s="154"/>
      <c r="B1" s="154"/>
      <c r="C1" s="154"/>
      <c r="D1" s="154"/>
      <c r="E1" s="154"/>
      <c r="F1" s="154"/>
      <c r="G1" s="154"/>
      <c r="H1" s="154"/>
      <c r="I1" s="154"/>
      <c r="J1" s="154"/>
      <c r="K1" s="155"/>
      <c r="L1" s="154"/>
      <c r="M1" s="154"/>
      <c r="N1" s="154"/>
    </row>
    <row r="2" spans="1:15" customFormat="1" ht="27.75" customHeight="1">
      <c r="A2" s="3"/>
      <c r="B2" s="750" t="str">
        <f>+"Dashboard:  "&amp;"  "&amp;IF(+'Data Entry'!C4="Please Select","",'Data Entry'!C4&amp;" - ")&amp;IF('Data Entry'!G6="Please Select","",'Data Entry'!G6)</f>
        <v>Dashboard:    Georgia - TB</v>
      </c>
      <c r="C2" s="750"/>
      <c r="D2" s="750"/>
      <c r="E2" s="750"/>
      <c r="F2" s="750"/>
      <c r="G2" s="750"/>
      <c r="H2" s="750"/>
      <c r="I2" s="750"/>
      <c r="J2" s="750"/>
      <c r="K2" s="750"/>
      <c r="L2" s="750"/>
      <c r="M2" s="750"/>
      <c r="N2" s="750"/>
      <c r="O2" s="73"/>
    </row>
    <row r="3" spans="1:15" customFormat="1" ht="18.75">
      <c r="A3" s="3"/>
      <c r="B3" s="135" t="str">
        <f>+IF('Data Entry'!G8="Please Select","",'Data Entry'!G8)</f>
        <v>NFM</v>
      </c>
      <c r="C3" s="728" t="str">
        <f>+IF('Data Entry'!I8="Please Select","",'Data Entry'!I8)</f>
        <v>Phase 1</v>
      </c>
      <c r="D3" s="728"/>
      <c r="E3" s="753"/>
      <c r="F3" s="753"/>
      <c r="G3" s="753"/>
      <c r="H3" s="753"/>
      <c r="I3" s="753"/>
      <c r="J3" s="753"/>
      <c r="K3" s="753"/>
      <c r="L3" s="135" t="str">
        <f>+'Data Entry'!B16</f>
        <v>Report Period:</v>
      </c>
      <c r="M3" s="202" t="str">
        <f>+'Data Entry'!C16</f>
        <v>P9</v>
      </c>
      <c r="N3" s="202"/>
      <c r="O3" s="31"/>
    </row>
    <row r="4" spans="1:15" customFormat="1" ht="15">
      <c r="A4" s="3"/>
      <c r="B4" s="135" t="str">
        <f>+'Data Entry'!B12</f>
        <v>Latest Rating:</v>
      </c>
      <c r="C4" s="754" t="str">
        <f>+IF('Data Entry'!C12="Please Select","",'Data Entry'!C12)</f>
        <v>A2</v>
      </c>
      <c r="D4" s="754"/>
      <c r="E4" s="727" t="str">
        <f>+'Data Entry'!C8</f>
        <v>NCDC</v>
      </c>
      <c r="F4" s="727"/>
      <c r="G4" s="727"/>
      <c r="H4" s="727"/>
      <c r="I4" s="727"/>
      <c r="J4" s="727"/>
      <c r="K4" s="727"/>
      <c r="L4" s="135" t="str">
        <f>+'Data Entry'!D16</f>
        <v>From:</v>
      </c>
      <c r="M4" s="203">
        <f>+IF(ISBLANK('Data Entry'!E16),"",'Data Entry'!E16)</f>
        <v>43466</v>
      </c>
      <c r="N4" s="203"/>
      <c r="O4" s="31"/>
    </row>
    <row r="5" spans="1:15" customFormat="1" ht="18.75" customHeight="1">
      <c r="A5" s="3"/>
      <c r="B5" s="135"/>
      <c r="C5" s="135"/>
      <c r="D5" s="136"/>
      <c r="E5" s="727" t="str">
        <f>+'Data Entry'!G4</f>
        <v>Sustaining Universal Access to Quality Diagnosis and Treatment of all forms of TB</v>
      </c>
      <c r="F5" s="727"/>
      <c r="G5" s="727"/>
      <c r="H5" s="727"/>
      <c r="I5" s="727"/>
      <c r="J5" s="727"/>
      <c r="K5" s="727"/>
      <c r="L5" s="135" t="str">
        <f>+'Data Entry'!F16</f>
        <v>To:</v>
      </c>
      <c r="M5" s="203">
        <f>+IF(ISBLANK('Data Entry'!G16),"",'Data Entry'!G16)</f>
        <v>43555</v>
      </c>
      <c r="N5" s="203"/>
    </row>
    <row r="6" spans="1:15" customFormat="1" ht="22.5" customHeight="1">
      <c r="A6" s="3"/>
      <c r="B6" s="140"/>
      <c r="C6" s="141"/>
      <c r="D6" s="142"/>
      <c r="E6" s="818" t="s">
        <v>316</v>
      </c>
      <c r="F6" s="818"/>
      <c r="G6" s="818"/>
      <c r="H6" s="818"/>
      <c r="I6" s="818"/>
      <c r="J6" s="818"/>
      <c r="K6" s="818"/>
      <c r="L6" s="2"/>
      <c r="M6" s="2"/>
      <c r="N6" s="2"/>
    </row>
    <row r="7" spans="1:15" s="33" customFormat="1" ht="4.5" customHeight="1">
      <c r="A7" s="156"/>
      <c r="B7" s="157"/>
      <c r="C7" s="157"/>
      <c r="D7" s="157"/>
      <c r="E7" s="157"/>
      <c r="F7" s="157"/>
      <c r="G7" s="157"/>
      <c r="H7" s="157"/>
      <c r="I7" s="157"/>
      <c r="J7" s="157"/>
      <c r="K7" s="157"/>
      <c r="L7" s="158"/>
      <c r="M7" s="158"/>
      <c r="N7" s="159"/>
    </row>
    <row r="8" spans="1:15" s="33" customFormat="1" ht="21" customHeight="1" thickBot="1">
      <c r="A8" s="156"/>
      <c r="B8" s="792" t="s">
        <v>99</v>
      </c>
      <c r="C8" s="792"/>
      <c r="D8" s="792"/>
      <c r="E8" s="792"/>
      <c r="F8" s="792"/>
      <c r="G8" s="792"/>
      <c r="H8" s="792"/>
      <c r="I8" s="792"/>
      <c r="J8" s="792"/>
      <c r="K8" s="792"/>
      <c r="L8" s="792"/>
      <c r="M8" s="792"/>
      <c r="N8" s="792"/>
    </row>
    <row r="9" spans="1:15" s="33" customFormat="1" ht="3.75" customHeight="1" thickBot="1">
      <c r="A9" s="156"/>
      <c r="B9" s="157"/>
      <c r="C9" s="157"/>
      <c r="D9" s="157"/>
      <c r="E9" s="157"/>
      <c r="F9" s="157"/>
      <c r="G9" s="157"/>
      <c r="H9" s="157"/>
      <c r="I9" s="157"/>
      <c r="J9" s="157"/>
      <c r="K9" s="157"/>
      <c r="L9" s="158"/>
      <c r="M9" s="158"/>
      <c r="N9" s="159"/>
    </row>
    <row r="10" spans="1:15" s="34" customFormat="1" ht="25.5" customHeight="1" thickBot="1">
      <c r="A10" s="160"/>
      <c r="B10" s="813" t="s">
        <v>94</v>
      </c>
      <c r="C10" s="805"/>
      <c r="D10" s="793" t="s">
        <v>98</v>
      </c>
      <c r="E10" s="794"/>
      <c r="F10" s="794"/>
      <c r="G10" s="795"/>
      <c r="H10" s="163"/>
      <c r="I10" s="793" t="s">
        <v>316</v>
      </c>
      <c r="J10" s="794"/>
      <c r="K10" s="794"/>
      <c r="L10" s="794"/>
      <c r="M10" s="794"/>
      <c r="N10" s="795"/>
    </row>
    <row r="11" spans="1:15" s="34" customFormat="1" ht="28.5" customHeight="1">
      <c r="A11" s="160"/>
      <c r="B11" s="430" t="s">
        <v>102</v>
      </c>
      <c r="C11" s="180"/>
      <c r="D11" s="816" t="str">
        <f>IF(ISBLANK(Finance!C9),"",(Finance!C9))</f>
        <v/>
      </c>
      <c r="E11" s="816"/>
      <c r="F11" s="816"/>
      <c r="G11" s="821"/>
      <c r="H11" s="186"/>
      <c r="I11" s="822"/>
      <c r="J11" s="823"/>
      <c r="K11" s="823"/>
      <c r="L11" s="823"/>
      <c r="M11" s="823"/>
      <c r="N11" s="824"/>
    </row>
    <row r="12" spans="1:15" s="34" customFormat="1" ht="27.75" customHeight="1">
      <c r="A12" s="160"/>
      <c r="B12" s="431" t="s">
        <v>103</v>
      </c>
      <c r="C12" s="181"/>
      <c r="D12" s="816" t="str">
        <f>IF(ISBLANK(Finance!C23),"",(Finance!C23))</f>
        <v/>
      </c>
      <c r="E12" s="816"/>
      <c r="F12" s="816"/>
      <c r="G12" s="821"/>
      <c r="H12" s="186"/>
      <c r="I12" s="807"/>
      <c r="J12" s="808"/>
      <c r="K12" s="808"/>
      <c r="L12" s="808"/>
      <c r="M12" s="808"/>
      <c r="N12" s="809"/>
    </row>
    <row r="13" spans="1:15" s="34" customFormat="1" ht="26.25" customHeight="1">
      <c r="A13" s="160"/>
      <c r="B13" s="431" t="s">
        <v>104</v>
      </c>
      <c r="C13" s="181"/>
      <c r="D13" s="816" t="str">
        <f>IF(ISBLANK(Finance!I9),"",(Finance!I9))</f>
        <v/>
      </c>
      <c r="E13" s="816"/>
      <c r="F13" s="816"/>
      <c r="G13" s="821"/>
      <c r="H13" s="186"/>
      <c r="I13" s="807"/>
      <c r="J13" s="808"/>
      <c r="K13" s="808"/>
      <c r="L13" s="808"/>
      <c r="M13" s="808"/>
      <c r="N13" s="809"/>
    </row>
    <row r="14" spans="1:15" s="34" customFormat="1" ht="28.5" customHeight="1" thickBot="1">
      <c r="A14" s="160"/>
      <c r="B14" s="432" t="s">
        <v>105</v>
      </c>
      <c r="C14" s="182"/>
      <c r="D14" s="819" t="str">
        <f>IF(ISBLANK(Finance!I23),"",(Finance!I23))</f>
        <v/>
      </c>
      <c r="E14" s="819"/>
      <c r="F14" s="819"/>
      <c r="G14" s="820"/>
      <c r="H14" s="186"/>
      <c r="I14" s="810"/>
      <c r="J14" s="811"/>
      <c r="K14" s="811"/>
      <c r="L14" s="811"/>
      <c r="M14" s="811"/>
      <c r="N14" s="812"/>
    </row>
    <row r="15" spans="1:15" s="34" customFormat="1" ht="4.5" customHeight="1">
      <c r="A15" s="160"/>
      <c r="B15" s="183"/>
      <c r="C15" s="184"/>
      <c r="D15" s="185"/>
      <c r="E15" s="185"/>
      <c r="F15" s="185"/>
      <c r="G15" s="185"/>
      <c r="H15" s="186"/>
      <c r="I15" s="187"/>
      <c r="J15" s="187"/>
      <c r="K15" s="187"/>
      <c r="L15" s="187"/>
      <c r="M15" s="187"/>
      <c r="N15" s="187"/>
      <c r="O15" s="75"/>
    </row>
    <row r="16" spans="1:15" s="33" customFormat="1" ht="21" customHeight="1" thickBot="1">
      <c r="A16" s="156"/>
      <c r="B16" s="792" t="s">
        <v>101</v>
      </c>
      <c r="C16" s="792"/>
      <c r="D16" s="792"/>
      <c r="E16" s="792"/>
      <c r="F16" s="792"/>
      <c r="G16" s="792"/>
      <c r="H16" s="792"/>
      <c r="I16" s="792"/>
      <c r="J16" s="792"/>
      <c r="K16" s="792"/>
      <c r="L16" s="792"/>
      <c r="M16" s="792"/>
      <c r="N16" s="792"/>
    </row>
    <row r="17" spans="1:15" s="34" customFormat="1" ht="3.75" customHeight="1" thickBot="1">
      <c r="A17" s="160"/>
      <c r="B17" s="169"/>
      <c r="C17" s="170"/>
      <c r="D17" s="171"/>
      <c r="E17" s="172"/>
      <c r="F17" s="173"/>
      <c r="G17" s="173"/>
      <c r="H17" s="174"/>
      <c r="I17" s="175"/>
      <c r="J17" s="176"/>
      <c r="K17" s="165"/>
      <c r="L17" s="166"/>
      <c r="M17" s="167"/>
      <c r="N17" s="168"/>
    </row>
    <row r="18" spans="1:15" s="34" customFormat="1" ht="22.5" customHeight="1" thickBot="1">
      <c r="A18" s="160"/>
      <c r="B18" s="805" t="s">
        <v>95</v>
      </c>
      <c r="C18" s="806"/>
      <c r="D18" s="828" t="s">
        <v>98</v>
      </c>
      <c r="E18" s="829"/>
      <c r="F18" s="829"/>
      <c r="G18" s="830"/>
      <c r="H18" s="163"/>
      <c r="I18" s="825" t="s">
        <v>316</v>
      </c>
      <c r="J18" s="826"/>
      <c r="K18" s="826"/>
      <c r="L18" s="826"/>
      <c r="M18" s="827"/>
      <c r="N18" s="827"/>
    </row>
    <row r="19" spans="1:15" s="34" customFormat="1" ht="21.75" customHeight="1">
      <c r="A19" s="160"/>
      <c r="B19" s="433" t="s">
        <v>110</v>
      </c>
      <c r="C19" s="188"/>
      <c r="D19" s="814" t="str">
        <f>IF(ISBLANK(Management!C8),"",(Management!C8))</f>
        <v/>
      </c>
      <c r="E19" s="814"/>
      <c r="F19" s="814"/>
      <c r="G19" s="815"/>
      <c r="H19" s="189"/>
      <c r="I19" s="796"/>
      <c r="J19" s="797"/>
      <c r="K19" s="797"/>
      <c r="L19" s="797"/>
      <c r="M19" s="797"/>
      <c r="N19" s="798"/>
    </row>
    <row r="20" spans="1:15" ht="24.75" customHeight="1">
      <c r="A20" s="154"/>
      <c r="B20" s="434" t="s">
        <v>111</v>
      </c>
      <c r="C20" s="190"/>
      <c r="D20" s="816" t="str">
        <f>IF(ISBLANK(Management!I8),"",(Management!I8))</f>
        <v/>
      </c>
      <c r="E20" s="816">
        <f>+'Data Entry'!D73/'Data Entry'!G73</f>
        <v>0.83333333333333337</v>
      </c>
      <c r="F20" s="816">
        <f>+('Data Entry'!E73+'Data Entry'!F73)/'Data Entry'!G73</f>
        <v>0.16666666666666666</v>
      </c>
      <c r="G20" s="817"/>
      <c r="H20" s="189"/>
      <c r="I20" s="802"/>
      <c r="J20" s="803"/>
      <c r="K20" s="803"/>
      <c r="L20" s="803"/>
      <c r="M20" s="803"/>
      <c r="N20" s="804"/>
      <c r="O20" s="35"/>
    </row>
    <row r="21" spans="1:15" ht="29.25" customHeight="1">
      <c r="A21" s="154"/>
      <c r="B21" s="435" t="s">
        <v>112</v>
      </c>
      <c r="C21" s="190"/>
      <c r="D21" s="816" t="str">
        <f>IF(ISBLANK(Management!C16),"",(Management!C16))</f>
        <v/>
      </c>
      <c r="E21" s="816"/>
      <c r="F21" s="816"/>
      <c r="G21" s="817"/>
      <c r="H21" s="189"/>
      <c r="I21" s="802"/>
      <c r="J21" s="803"/>
      <c r="K21" s="803"/>
      <c r="L21" s="803"/>
      <c r="M21" s="803"/>
      <c r="N21" s="804"/>
      <c r="O21" s="35"/>
    </row>
    <row r="22" spans="1:15" ht="26.25" customHeight="1">
      <c r="A22" s="154"/>
      <c r="B22" s="435" t="s">
        <v>113</v>
      </c>
      <c r="C22" s="190"/>
      <c r="D22" s="816" t="str">
        <f>IF(ISBLANK(Management!I16),"",(Management!I16))</f>
        <v/>
      </c>
      <c r="E22" s="816"/>
      <c r="F22" s="816"/>
      <c r="G22" s="817"/>
      <c r="H22" s="189"/>
      <c r="I22" s="802"/>
      <c r="J22" s="803"/>
      <c r="K22" s="803"/>
      <c r="L22" s="803"/>
      <c r="M22" s="803"/>
      <c r="N22" s="804"/>
      <c r="O22" s="35"/>
    </row>
    <row r="23" spans="1:15" ht="24.75" customHeight="1">
      <c r="A23" s="154"/>
      <c r="B23" s="435" t="s">
        <v>114</v>
      </c>
      <c r="C23" s="190"/>
      <c r="D23" s="816" t="str">
        <f>IF(ISBLANK(Management!C27),"",(Management!C27))</f>
        <v/>
      </c>
      <c r="E23" s="816"/>
      <c r="F23" s="816"/>
      <c r="G23" s="817"/>
      <c r="H23" s="189"/>
      <c r="I23" s="802"/>
      <c r="J23" s="803"/>
      <c r="K23" s="803"/>
      <c r="L23" s="803"/>
      <c r="M23" s="803"/>
      <c r="N23" s="804"/>
      <c r="O23" s="35"/>
    </row>
    <row r="24" spans="1:15" ht="27" customHeight="1" thickBot="1">
      <c r="A24" s="154"/>
      <c r="B24" s="436" t="s">
        <v>116</v>
      </c>
      <c r="C24" s="191"/>
      <c r="D24" s="835" t="str">
        <f>IF(ISBLANK(Management!I27),"",(Management!I27))</f>
        <v xml:space="preserve">Clofazimine was delivered in February 2018 </v>
      </c>
      <c r="E24" s="835"/>
      <c r="F24" s="835"/>
      <c r="G24" s="836"/>
      <c r="H24" s="189"/>
      <c r="I24" s="799"/>
      <c r="J24" s="800"/>
      <c r="K24" s="800"/>
      <c r="L24" s="800"/>
      <c r="M24" s="800"/>
      <c r="N24" s="801"/>
      <c r="O24" s="35"/>
    </row>
    <row r="25" spans="1:15" ht="4.5" customHeight="1">
      <c r="A25" s="156"/>
      <c r="B25" s="161"/>
      <c r="C25" s="162"/>
      <c r="D25" s="177"/>
      <c r="E25" s="178"/>
      <c r="F25" s="179"/>
      <c r="G25" s="179"/>
      <c r="H25" s="163"/>
      <c r="I25" s="178"/>
      <c r="J25" s="164"/>
      <c r="K25" s="165"/>
      <c r="L25" s="166"/>
      <c r="M25" s="167"/>
      <c r="N25" s="168"/>
      <c r="O25" s="35"/>
    </row>
    <row r="26" spans="1:15" s="33" customFormat="1" ht="21" customHeight="1" thickBot="1">
      <c r="A26" s="156"/>
      <c r="B26" s="792" t="s">
        <v>100</v>
      </c>
      <c r="C26" s="792"/>
      <c r="D26" s="792"/>
      <c r="E26" s="792"/>
      <c r="F26" s="792"/>
      <c r="G26" s="792"/>
      <c r="H26" s="792"/>
      <c r="I26" s="792"/>
      <c r="J26" s="792"/>
      <c r="K26" s="792"/>
      <c r="L26" s="792"/>
      <c r="M26" s="792"/>
      <c r="N26" s="792"/>
    </row>
    <row r="27" spans="1:15" ht="3.75" customHeight="1" thickBot="1">
      <c r="A27" s="156"/>
      <c r="B27" s="161"/>
      <c r="C27" s="162"/>
      <c r="D27" s="177"/>
      <c r="E27" s="178"/>
      <c r="F27" s="179"/>
      <c r="G27" s="179"/>
      <c r="H27" s="163"/>
      <c r="I27" s="178"/>
      <c r="J27" s="164"/>
      <c r="K27" s="165"/>
      <c r="L27" s="166"/>
      <c r="M27" s="167"/>
      <c r="N27" s="168"/>
      <c r="O27" s="35"/>
    </row>
    <row r="28" spans="1:15" ht="21.75" customHeight="1" thickBot="1">
      <c r="A28" s="154"/>
      <c r="B28" s="813" t="s">
        <v>7</v>
      </c>
      <c r="C28" s="806"/>
      <c r="D28" s="837" t="s">
        <v>98</v>
      </c>
      <c r="E28" s="838"/>
      <c r="F28" s="838"/>
      <c r="G28" s="839"/>
      <c r="H28" s="163"/>
      <c r="I28" s="837" t="s">
        <v>316</v>
      </c>
      <c r="J28" s="838"/>
      <c r="K28" s="838"/>
      <c r="L28" s="838"/>
      <c r="M28" s="838"/>
      <c r="N28" s="839"/>
      <c r="O28" s="35"/>
    </row>
    <row r="29" spans="1:15" ht="29.25" customHeight="1">
      <c r="A29" s="154"/>
      <c r="B29" s="437" t="s">
        <v>317</v>
      </c>
      <c r="C29" s="192"/>
      <c r="D29" s="840" t="str">
        <f>IF(ISBLANK(Programmatic!C9),"",(Programmatic!C9))</f>
        <v/>
      </c>
      <c r="E29" s="841"/>
      <c r="F29" s="841"/>
      <c r="G29" s="842"/>
      <c r="H29" s="189"/>
      <c r="I29" s="843"/>
      <c r="J29" s="844"/>
      <c r="K29" s="844"/>
      <c r="L29" s="844"/>
      <c r="M29" s="844"/>
      <c r="N29" s="845"/>
      <c r="O29" s="35"/>
    </row>
    <row r="30" spans="1:15" ht="21.75" customHeight="1">
      <c r="A30" s="154"/>
      <c r="B30" s="438" t="s">
        <v>318</v>
      </c>
      <c r="C30" s="193"/>
      <c r="D30" s="834" t="str">
        <f>IF(ISBLANK(Programmatic!G9),"",(Programmatic!G9))</f>
        <v/>
      </c>
      <c r="E30" s="832"/>
      <c r="F30" s="832"/>
      <c r="G30" s="833"/>
      <c r="H30" s="189"/>
      <c r="I30" s="786"/>
      <c r="J30" s="787"/>
      <c r="K30" s="787"/>
      <c r="L30" s="787"/>
      <c r="M30" s="787"/>
      <c r="N30" s="788"/>
      <c r="O30" s="35"/>
    </row>
    <row r="31" spans="1:15" ht="21.75" customHeight="1">
      <c r="A31" s="154"/>
      <c r="B31" s="438" t="s">
        <v>319</v>
      </c>
      <c r="C31" s="193"/>
      <c r="D31" s="834" t="str">
        <f>IF(ISBLANK(Programmatic!M9),"",(Programmatic!M9))</f>
        <v/>
      </c>
      <c r="E31" s="832"/>
      <c r="F31" s="832"/>
      <c r="G31" s="833"/>
      <c r="H31" s="189"/>
      <c r="I31" s="786"/>
      <c r="J31" s="787"/>
      <c r="K31" s="787"/>
      <c r="L31" s="787"/>
      <c r="M31" s="787"/>
      <c r="N31" s="788"/>
      <c r="O31" s="35"/>
    </row>
    <row r="32" spans="1:15" ht="21.75" customHeight="1">
      <c r="A32" s="154"/>
      <c r="B32" s="439" t="s">
        <v>106</v>
      </c>
      <c r="C32" s="193"/>
      <c r="D32" s="831" t="str">
        <f>IF(ISBLANK(Programmatic!L20),"",(Programmatic!L20))</f>
        <v xml:space="preserve">MDR Patients that began second line treatment include:
1. Bacteriologically confirmed RR-TB and/or MDR-TB cases
2. Clinically diagnosed MDR TB Cases
The decreasing trend in case notification does not appear to be a result of a decline in the number of individuals screened or diagnostic tests performed. During the reporting period 94% of new and relapse TB patients were tested with rapid diagnostic methods (GeneXpert), which significantly exceeded the target. The country introduced active case finding to cover hard-to-reach populations. WHO assessment based on a robust and sustainable surveillance system, also proved that the trend reflects a genuine reduction in incidence. Correspondingly, the estimated TB incidence was reduced from 116 in 2012 to 86 in 2017 (latest available data). The same trend is true for MDR cases share of which fluctuated around the similar level. As a result, we have observed the underachievement of related coverage indicators (MDR TB-3(M): Number of cases with RR-TB and/or MDR-TB that began second-line treatment and MDR TB-other 2: Number of cases of XDR TB enrolled on treatment
</v>
      </c>
      <c r="E32" s="832"/>
      <c r="F32" s="832"/>
      <c r="G32" s="833"/>
      <c r="H32" s="189"/>
      <c r="I32" s="786"/>
      <c r="J32" s="787"/>
      <c r="K32" s="787"/>
      <c r="L32" s="787"/>
      <c r="M32" s="787"/>
      <c r="N32" s="788"/>
      <c r="O32" s="35"/>
    </row>
    <row r="33" spans="1:15" ht="27" customHeight="1">
      <c r="A33" s="154"/>
      <c r="B33" s="439" t="s">
        <v>107</v>
      </c>
      <c r="C33" s="193"/>
      <c r="D33" s="831" t="str">
        <f>IF(ISBLANK(Programmatic!L21),"",(Programmatic!L21))</f>
        <v>The number includes bacteriologically confirmed XDR TB cases.</v>
      </c>
      <c r="E33" s="832"/>
      <c r="F33" s="832"/>
      <c r="G33" s="833"/>
      <c r="H33" s="189"/>
      <c r="I33" s="786"/>
      <c r="J33" s="787"/>
      <c r="K33" s="787"/>
      <c r="L33" s="787"/>
      <c r="M33" s="787"/>
      <c r="N33" s="788"/>
      <c r="O33" s="35"/>
    </row>
    <row r="34" spans="1:15" ht="21.75" customHeight="1">
      <c r="A34" s="154"/>
      <c r="B34" s="439" t="s">
        <v>108</v>
      </c>
      <c r="C34" s="193"/>
      <c r="D34" s="831" t="str">
        <f>IF(ISBLANK(Programmatic!L22),"",(Programmatic!L22))</f>
        <v xml:space="preserve">Numerator: New and relapse TB cases enrolled in the TB program who underwent GeneXpert testing at the time of diagnosis
Denominator: New and relapse TB cases enrolled in the TB program </v>
      </c>
      <c r="E34" s="832"/>
      <c r="F34" s="832"/>
      <c r="G34" s="833"/>
      <c r="H34" s="189"/>
      <c r="I34" s="786"/>
      <c r="J34" s="787"/>
      <c r="K34" s="787"/>
      <c r="L34" s="787"/>
      <c r="M34" s="787"/>
      <c r="N34" s="788"/>
      <c r="O34" s="35"/>
    </row>
    <row r="35" spans="1:15" ht="21.75" customHeight="1">
      <c r="A35" s="154"/>
      <c r="B35" s="439" t="s">
        <v>109</v>
      </c>
      <c r="C35" s="236"/>
      <c r="D35" s="831" t="str">
        <f>IF(ISBLANK(Programmatic!L23),"",(Programmatic!L23))</f>
        <v/>
      </c>
      <c r="E35" s="832"/>
      <c r="F35" s="832"/>
      <c r="G35" s="833"/>
      <c r="H35" s="189"/>
      <c r="I35" s="786"/>
      <c r="J35" s="787"/>
      <c r="K35" s="787"/>
      <c r="L35" s="787"/>
      <c r="M35" s="787"/>
      <c r="N35" s="788"/>
      <c r="O35" s="35"/>
    </row>
    <row r="36" spans="1:15" ht="21.75" customHeight="1">
      <c r="A36" s="154"/>
      <c r="B36" s="439" t="s">
        <v>121</v>
      </c>
      <c r="C36" s="236"/>
      <c r="D36" s="831" t="str">
        <f>IF(ISBLANK(Programmatic!L24),"",(Programmatic!L24))</f>
        <v xml:space="preserve">The relatively low indicator relates to the actual (decreased) number of TB patients in the country. </v>
      </c>
      <c r="E36" s="832"/>
      <c r="F36" s="832"/>
      <c r="G36" s="833"/>
      <c r="H36" s="189"/>
      <c r="I36" s="786"/>
      <c r="J36" s="787"/>
      <c r="K36" s="787"/>
      <c r="L36" s="787"/>
      <c r="M36" s="787"/>
      <c r="N36" s="788"/>
      <c r="O36" s="35"/>
    </row>
    <row r="37" spans="1:15" ht="21.75" customHeight="1">
      <c r="A37" s="154"/>
      <c r="B37" s="439" t="s">
        <v>122</v>
      </c>
      <c r="C37" s="236"/>
      <c r="D37" s="831" t="str">
        <f>IF(ISBLANK(Programmatic!L25),"",(Programmatic!L25))</f>
        <v xml:space="preserve">The relatively low indicator relates to the actual (decreased) number of TB patients in the country. </v>
      </c>
      <c r="E37" s="832"/>
      <c r="F37" s="832"/>
      <c r="G37" s="833"/>
      <c r="H37" s="189"/>
      <c r="I37" s="786"/>
      <c r="J37" s="787"/>
      <c r="K37" s="787"/>
      <c r="L37" s="787"/>
      <c r="M37" s="787"/>
      <c r="N37" s="788"/>
      <c r="O37" s="35"/>
    </row>
    <row r="38" spans="1:15" ht="21.75" customHeight="1">
      <c r="A38" s="154"/>
      <c r="B38" s="439" t="s">
        <v>123</v>
      </c>
      <c r="C38" s="236"/>
      <c r="D38" s="831" t="str">
        <f>IF(ISBLANK(Programmatic!L26),"",(Programmatic!L26))</f>
        <v/>
      </c>
      <c r="E38" s="832"/>
      <c r="F38" s="832"/>
      <c r="G38" s="833"/>
      <c r="H38" s="189"/>
      <c r="I38" s="786"/>
      <c r="J38" s="787"/>
      <c r="K38" s="787"/>
      <c r="L38" s="787"/>
      <c r="M38" s="787"/>
      <c r="N38" s="788"/>
      <c r="O38" s="35"/>
    </row>
    <row r="39" spans="1:15" ht="21.75" customHeight="1">
      <c r="A39" s="154"/>
      <c r="B39" s="439" t="s">
        <v>124</v>
      </c>
      <c r="C39" s="236"/>
      <c r="D39" s="831" t="str">
        <f>IF(ISBLANK(Programmatic!L27),"",(Programmatic!L27))</f>
        <v/>
      </c>
      <c r="E39" s="832"/>
      <c r="F39" s="832"/>
      <c r="G39" s="833"/>
      <c r="H39" s="189"/>
      <c r="I39" s="786"/>
      <c r="J39" s="787"/>
      <c r="K39" s="787"/>
      <c r="L39" s="787"/>
      <c r="M39" s="787"/>
      <c r="N39" s="788"/>
      <c r="O39" s="35"/>
    </row>
    <row r="40" spans="1:15" ht="21.75" customHeight="1">
      <c r="A40" s="154"/>
      <c r="B40" s="439" t="s">
        <v>125</v>
      </c>
      <c r="C40" s="236"/>
      <c r="D40" s="831" t="str">
        <f>IF(ISBLANK(Programmatic!L28),"",(Programmatic!L28))</f>
        <v/>
      </c>
      <c r="E40" s="832"/>
      <c r="F40" s="832"/>
      <c r="G40" s="833"/>
      <c r="H40" s="189"/>
      <c r="I40" s="786"/>
      <c r="J40" s="787"/>
      <c r="K40" s="787"/>
      <c r="L40" s="787"/>
      <c r="M40" s="787"/>
      <c r="N40" s="788"/>
      <c r="O40" s="35"/>
    </row>
    <row r="41" spans="1:15" ht="21.75" customHeight="1" thickBot="1">
      <c r="A41" s="154"/>
      <c r="B41" s="439" t="s">
        <v>126</v>
      </c>
      <c r="C41" s="194"/>
      <c r="D41" s="831" t="str">
        <f>IF(ISBLANK(Programmatic!L29),"",(Programmatic!L29))</f>
        <v/>
      </c>
      <c r="E41" s="832"/>
      <c r="F41" s="832"/>
      <c r="G41" s="833"/>
      <c r="H41" s="189"/>
      <c r="I41" s="789"/>
      <c r="J41" s="790"/>
      <c r="K41" s="790"/>
      <c r="L41" s="790"/>
      <c r="M41" s="790"/>
      <c r="N41" s="791"/>
      <c r="O41" s="35"/>
    </row>
    <row r="42" spans="1:15" ht="14.25">
      <c r="A42" s="154"/>
      <c r="B42" s="195"/>
      <c r="C42" s="195"/>
      <c r="D42" s="196"/>
      <c r="E42" s="154"/>
      <c r="F42" s="195"/>
      <c r="G42" s="195"/>
      <c r="H42" s="154"/>
      <c r="I42" s="197"/>
      <c r="J42" s="154"/>
      <c r="K42" s="198"/>
      <c r="L42" s="198"/>
      <c r="M42" s="198"/>
      <c r="N42" s="198"/>
      <c r="O42" s="35"/>
    </row>
  </sheetData>
  <sheetProtection password="CFC9" sheet="1"/>
  <mergeCells count="65">
    <mergeCell ref="D41:G41"/>
    <mergeCell ref="I28:N28"/>
    <mergeCell ref="D40:G40"/>
    <mergeCell ref="D34:G34"/>
    <mergeCell ref="D29:G29"/>
    <mergeCell ref="D28:G28"/>
    <mergeCell ref="I34:N34"/>
    <mergeCell ref="D35:G35"/>
    <mergeCell ref="D32:G32"/>
    <mergeCell ref="D39:G39"/>
    <mergeCell ref="D38:G38"/>
    <mergeCell ref="D37:G37"/>
    <mergeCell ref="I32:N32"/>
    <mergeCell ref="I29:N29"/>
    <mergeCell ref="I33:N33"/>
    <mergeCell ref="I30:N30"/>
    <mergeCell ref="D36:G36"/>
    <mergeCell ref="D30:G30"/>
    <mergeCell ref="D31:G31"/>
    <mergeCell ref="D24:G24"/>
    <mergeCell ref="D33:G33"/>
    <mergeCell ref="I31:N31"/>
    <mergeCell ref="B26:N26"/>
    <mergeCell ref="B16:N16"/>
    <mergeCell ref="D14:G14"/>
    <mergeCell ref="D11:G11"/>
    <mergeCell ref="D13:G13"/>
    <mergeCell ref="I12:N12"/>
    <mergeCell ref="D12:G12"/>
    <mergeCell ref="I11:N11"/>
    <mergeCell ref="B28:C28"/>
    <mergeCell ref="D22:G22"/>
    <mergeCell ref="D23:G23"/>
    <mergeCell ref="I18:N18"/>
    <mergeCell ref="D18:G18"/>
    <mergeCell ref="D20:G20"/>
    <mergeCell ref="I21:N21"/>
    <mergeCell ref="B2:N2"/>
    <mergeCell ref="E5:K5"/>
    <mergeCell ref="E6:K6"/>
    <mergeCell ref="E3:K3"/>
    <mergeCell ref="C4:D4"/>
    <mergeCell ref="E4:K4"/>
    <mergeCell ref="C3:D3"/>
    <mergeCell ref="B8:N8"/>
    <mergeCell ref="I10:N10"/>
    <mergeCell ref="I19:N19"/>
    <mergeCell ref="I24:N24"/>
    <mergeCell ref="I20:N20"/>
    <mergeCell ref="B18:C18"/>
    <mergeCell ref="I13:N13"/>
    <mergeCell ref="I14:N14"/>
    <mergeCell ref="B10:C10"/>
    <mergeCell ref="D10:G10"/>
    <mergeCell ref="I22:N22"/>
    <mergeCell ref="I23:N23"/>
    <mergeCell ref="D19:G19"/>
    <mergeCell ref="D21:G21"/>
    <mergeCell ref="I40:N40"/>
    <mergeCell ref="I41:N41"/>
    <mergeCell ref="I35:N35"/>
    <mergeCell ref="I36:N36"/>
    <mergeCell ref="I37:N37"/>
    <mergeCell ref="I38:N38"/>
    <mergeCell ref="I39:N39"/>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headerFooter alignWithMargins="0">
    <oddFooter>&amp;L&amp;F&amp;C&amp;A&amp;RV1.0          &amp;D</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zoomScale="110" zoomScaleNormal="110" zoomScaleSheetLayoutView="100" zoomScalePageLayoutView="110" workbookViewId="0">
      <selection activeCell="L3" sqref="L3"/>
    </sheetView>
  </sheetViews>
  <sheetFormatPr defaultColWidth="11" defaultRowHeight="15"/>
  <cols>
    <col min="1" max="1" width="4.140625" customWidth="1"/>
    <col min="2" max="2" width="14.42578125" customWidth="1"/>
    <col min="3" max="3" width="12.42578125" customWidth="1"/>
    <col min="4" max="4" width="11.42578125" customWidth="1"/>
    <col min="5" max="5" width="19" customWidth="1"/>
    <col min="6" max="6" width="1.42578125" customWidth="1"/>
    <col min="7" max="7" width="11.42578125" customWidth="1"/>
    <col min="8" max="8" width="9.42578125" customWidth="1"/>
    <col min="9" max="9" width="11.42578125" customWidth="1"/>
    <col min="10" max="10" width="12.42578125" customWidth="1"/>
    <col min="11" max="11" width="10.42578125" customWidth="1"/>
    <col min="12" max="12" width="9.7109375" customWidth="1"/>
  </cols>
  <sheetData>
    <row r="1" spans="1:13" ht="30.75" customHeight="1"/>
    <row r="2" spans="1:13" ht="27.75" customHeight="1">
      <c r="B2" s="742" t="str">
        <f>+"Dashboard:  "&amp;"  "&amp;IF(+'Data Entry'!C4="Please Select","",'Data Entry'!C4&amp;" - ")&amp;IF('Data Entry'!G6="Please Select","",'Data Entry'!G6)</f>
        <v>Dashboard:    Georgia - TB</v>
      </c>
      <c r="C2" s="742"/>
      <c r="D2" s="742"/>
      <c r="E2" s="742"/>
      <c r="F2" s="742"/>
      <c r="G2" s="742"/>
      <c r="H2" s="742"/>
      <c r="I2" s="742"/>
      <c r="J2" s="742"/>
      <c r="K2" s="742"/>
      <c r="L2" s="742"/>
    </row>
    <row r="3" spans="1:13">
      <c r="B3" s="24" t="str">
        <f>+IF('Data Entry'!G8="Please Select","",'Data Entry'!G8)</f>
        <v>NFM</v>
      </c>
      <c r="C3" s="740" t="str">
        <f>+IF('Data Entry'!I8="Please Select","",'Data Entry'!I8)</f>
        <v>Phase 1</v>
      </c>
      <c r="D3" s="740"/>
      <c r="E3" s="741"/>
      <c r="F3" s="741"/>
      <c r="G3" s="741"/>
      <c r="H3" s="741"/>
      <c r="I3" s="741"/>
      <c r="J3" s="744" t="str">
        <f>+'Data Entry'!B16</f>
        <v>Report Period:</v>
      </c>
      <c r="K3" s="744"/>
      <c r="L3" s="202" t="str">
        <f>+'Data Entry'!C16</f>
        <v>P9</v>
      </c>
      <c r="M3" s="85"/>
    </row>
    <row r="4" spans="1:13">
      <c r="B4" s="24" t="str">
        <f>+'Data Entry'!B12</f>
        <v>Latest Rating:</v>
      </c>
      <c r="C4" s="892" t="str">
        <f>+IF('Data Entry'!C12="Please Select","",'Data Entry'!C12)</f>
        <v>A2</v>
      </c>
      <c r="D4" s="892"/>
      <c r="E4" s="741" t="str">
        <f>+'Data Entry'!C8</f>
        <v>NCDC</v>
      </c>
      <c r="F4" s="741"/>
      <c r="G4" s="741"/>
      <c r="H4" s="741"/>
      <c r="I4" s="741"/>
      <c r="J4" s="744" t="str">
        <f>+'Data Entry'!D16</f>
        <v>From:</v>
      </c>
      <c r="K4" s="748"/>
      <c r="L4" s="203">
        <f>+IF(ISBLANK('Data Entry'!E16),"",'Data Entry'!E16)</f>
        <v>43466</v>
      </c>
    </row>
    <row r="5" spans="1:13" ht="18.75" customHeight="1">
      <c r="B5" s="24"/>
      <c r="C5" s="24"/>
      <c r="D5" s="741" t="str">
        <f>+'Data Entry'!G4</f>
        <v>Sustaining Universal Access to Quality Diagnosis and Treatment of all forms of TB</v>
      </c>
      <c r="E5" s="741"/>
      <c r="F5" s="741"/>
      <c r="G5" s="741"/>
      <c r="H5" s="741"/>
      <c r="I5" s="741"/>
      <c r="J5" s="741"/>
      <c r="K5" s="24" t="str">
        <f>+'Data Entry'!F16</f>
        <v>To:</v>
      </c>
      <c r="L5" s="203">
        <f>+IF(ISBLANK('Data Entry'!G16),"",'Data Entry'!G16)</f>
        <v>43555</v>
      </c>
    </row>
    <row r="6" spans="1:13" ht="18.75">
      <c r="B6" s="23"/>
      <c r="C6" s="24"/>
      <c r="D6" s="25"/>
      <c r="E6" s="743" t="s">
        <v>373</v>
      </c>
      <c r="F6" s="743"/>
      <c r="G6" s="743"/>
      <c r="H6" s="743"/>
      <c r="I6" s="743"/>
    </row>
    <row r="7" spans="1:13" ht="18.75">
      <c r="E7" s="72"/>
      <c r="F7" s="72"/>
      <c r="G7" s="72"/>
      <c r="H7" s="72"/>
      <c r="I7" s="72"/>
    </row>
    <row r="8" spans="1:13" s="33" customFormat="1" ht="21" customHeight="1" thickBot="1">
      <c r="B8" s="76" t="s">
        <v>96</v>
      </c>
      <c r="C8" s="76"/>
      <c r="D8" s="76"/>
      <c r="E8" s="76"/>
      <c r="F8" s="76"/>
      <c r="G8" s="76"/>
      <c r="H8" s="76"/>
      <c r="I8" s="76"/>
      <c r="J8" s="76"/>
      <c r="K8" s="76"/>
      <c r="L8" s="76"/>
    </row>
    <row r="9" spans="1:13" ht="6" customHeight="1">
      <c r="B9" s="74"/>
    </row>
    <row r="10" spans="1:13">
      <c r="B10" s="894"/>
      <c r="C10" s="895"/>
      <c r="D10" s="895"/>
      <c r="E10" s="895"/>
      <c r="F10" s="895"/>
      <c r="G10" s="895"/>
      <c r="H10" s="895"/>
      <c r="I10" s="895"/>
      <c r="J10" s="895"/>
      <c r="K10" s="895"/>
      <c r="L10" s="896"/>
    </row>
    <row r="11" spans="1:13">
      <c r="B11" s="897"/>
      <c r="C11" s="898"/>
      <c r="D11" s="898"/>
      <c r="E11" s="898"/>
      <c r="F11" s="898"/>
      <c r="G11" s="898"/>
      <c r="H11" s="898"/>
      <c r="I11" s="898"/>
      <c r="J11" s="898"/>
      <c r="K11" s="898"/>
      <c r="L11" s="899"/>
    </row>
    <row r="12" spans="1:13" ht="15.75" thickBot="1"/>
    <row r="13" spans="1:13" ht="26.25" customHeight="1" thickBot="1">
      <c r="B13" s="854" t="s">
        <v>306</v>
      </c>
      <c r="C13" s="855"/>
      <c r="D13" s="855"/>
      <c r="E13" s="856"/>
      <c r="F13" s="77"/>
      <c r="G13" s="849" t="s">
        <v>129</v>
      </c>
      <c r="H13" s="850"/>
      <c r="I13" s="850"/>
      <c r="J13" s="78" t="s">
        <v>97</v>
      </c>
      <c r="K13" s="850" t="s">
        <v>293</v>
      </c>
      <c r="L13" s="888"/>
    </row>
    <row r="14" spans="1:13">
      <c r="A14" s="846" t="s">
        <v>307</v>
      </c>
      <c r="B14" s="873"/>
      <c r="C14" s="873"/>
      <c r="D14" s="873"/>
      <c r="E14" s="874"/>
      <c r="F14" s="46"/>
      <c r="G14" s="880"/>
      <c r="H14" s="879"/>
      <c r="I14" s="879"/>
      <c r="J14" s="879"/>
      <c r="K14" s="879"/>
      <c r="L14" s="893"/>
    </row>
    <row r="15" spans="1:13">
      <c r="A15" s="847"/>
      <c r="B15" s="873"/>
      <c r="C15" s="873"/>
      <c r="D15" s="873"/>
      <c r="E15" s="874"/>
      <c r="F15" s="46"/>
      <c r="G15" s="851"/>
      <c r="H15" s="852"/>
      <c r="I15" s="852"/>
      <c r="J15" s="852"/>
      <c r="K15" s="852"/>
      <c r="L15" s="887"/>
    </row>
    <row r="16" spans="1:13">
      <c r="A16" s="847"/>
      <c r="B16" s="873"/>
      <c r="C16" s="873"/>
      <c r="D16" s="873"/>
      <c r="E16" s="874"/>
      <c r="F16" s="46"/>
      <c r="G16" s="851"/>
      <c r="H16" s="852"/>
      <c r="I16" s="852"/>
      <c r="J16" s="852"/>
      <c r="K16" s="852"/>
      <c r="L16" s="887"/>
    </row>
    <row r="17" spans="1:12">
      <c r="A17" s="847"/>
      <c r="B17" s="873"/>
      <c r="C17" s="873"/>
      <c r="D17" s="873"/>
      <c r="E17" s="874"/>
      <c r="F17" s="46"/>
      <c r="G17" s="851"/>
      <c r="H17" s="852"/>
      <c r="I17" s="852"/>
      <c r="J17" s="852"/>
      <c r="K17" s="852"/>
      <c r="L17" s="887"/>
    </row>
    <row r="18" spans="1:12">
      <c r="A18" s="847"/>
      <c r="B18" s="873"/>
      <c r="C18" s="873"/>
      <c r="D18" s="873"/>
      <c r="E18" s="874"/>
      <c r="F18" s="46"/>
      <c r="G18" s="881"/>
      <c r="H18" s="882"/>
      <c r="I18" s="883"/>
      <c r="J18" s="852"/>
      <c r="K18" s="852"/>
      <c r="L18" s="887"/>
    </row>
    <row r="19" spans="1:12" ht="30.75" customHeight="1">
      <c r="A19" s="847"/>
      <c r="B19" s="873"/>
      <c r="C19" s="873"/>
      <c r="D19" s="873"/>
      <c r="E19" s="874"/>
      <c r="F19" s="46"/>
      <c r="G19" s="864"/>
      <c r="H19" s="865"/>
      <c r="I19" s="884"/>
      <c r="J19" s="852"/>
      <c r="K19" s="852"/>
      <c r="L19" s="887"/>
    </row>
    <row r="20" spans="1:12">
      <c r="A20" s="847"/>
      <c r="B20" s="873"/>
      <c r="C20" s="873"/>
      <c r="D20" s="873"/>
      <c r="E20" s="874"/>
      <c r="F20" s="46"/>
      <c r="G20" s="851"/>
      <c r="H20" s="852"/>
      <c r="I20" s="852"/>
      <c r="J20" s="852"/>
      <c r="K20" s="852"/>
      <c r="L20" s="887"/>
    </row>
    <row r="21" spans="1:12">
      <c r="A21" s="847"/>
      <c r="B21" s="873"/>
      <c r="C21" s="873"/>
      <c r="D21" s="873"/>
      <c r="E21" s="874"/>
      <c r="F21" s="46"/>
      <c r="G21" s="851"/>
      <c r="H21" s="852"/>
      <c r="I21" s="852"/>
      <c r="J21" s="852"/>
      <c r="K21" s="852"/>
      <c r="L21" s="887"/>
    </row>
    <row r="22" spans="1:12">
      <c r="A22" s="847"/>
      <c r="B22" s="873"/>
      <c r="C22" s="873"/>
      <c r="D22" s="873"/>
      <c r="E22" s="874"/>
      <c r="F22" s="46"/>
      <c r="G22" s="851"/>
      <c r="H22" s="852"/>
      <c r="I22" s="852"/>
      <c r="J22" s="852"/>
      <c r="K22" s="852"/>
      <c r="L22" s="887"/>
    </row>
    <row r="23" spans="1:12">
      <c r="A23" s="847"/>
      <c r="B23" s="873"/>
      <c r="C23" s="873"/>
      <c r="D23" s="873"/>
      <c r="E23" s="874"/>
      <c r="F23" s="46"/>
      <c r="G23" s="851"/>
      <c r="H23" s="852"/>
      <c r="I23" s="852"/>
      <c r="J23" s="852"/>
      <c r="K23" s="852"/>
      <c r="L23" s="887"/>
    </row>
    <row r="24" spans="1:12">
      <c r="A24" s="847"/>
      <c r="B24" s="873"/>
      <c r="C24" s="873"/>
      <c r="D24" s="873"/>
      <c r="E24" s="874"/>
      <c r="F24" s="46"/>
      <c r="G24" s="851"/>
      <c r="H24" s="852"/>
      <c r="I24" s="852"/>
      <c r="J24" s="852"/>
      <c r="K24" s="852"/>
      <c r="L24" s="887"/>
    </row>
    <row r="25" spans="1:12" ht="15.75" thickBot="1">
      <c r="A25" s="848"/>
      <c r="B25" s="875"/>
      <c r="C25" s="875"/>
      <c r="D25" s="875"/>
      <c r="E25" s="876"/>
      <c r="F25" s="46"/>
      <c r="G25" s="857"/>
      <c r="H25" s="858"/>
      <c r="I25" s="858"/>
      <c r="J25" s="858"/>
      <c r="K25" s="858"/>
      <c r="L25" s="889"/>
    </row>
    <row r="27" spans="1:12" ht="18.75">
      <c r="E27" s="853" t="s">
        <v>336</v>
      </c>
      <c r="F27" s="853"/>
      <c r="G27" s="853"/>
      <c r="H27" s="853"/>
      <c r="I27" s="853"/>
    </row>
    <row r="28" spans="1:12" ht="6" customHeight="1">
      <c r="E28" s="72"/>
      <c r="F28" s="72"/>
      <c r="G28" s="72"/>
      <c r="H28" s="72"/>
      <c r="I28" s="72"/>
    </row>
    <row r="29" spans="1:12" s="33" customFormat="1" ht="21" customHeight="1" thickBot="1">
      <c r="B29" s="76" t="s">
        <v>96</v>
      </c>
      <c r="C29" s="76"/>
      <c r="D29" s="76"/>
      <c r="E29" s="76"/>
      <c r="F29" s="76"/>
      <c r="G29" s="76"/>
      <c r="H29" s="76"/>
      <c r="I29" s="76"/>
      <c r="J29" s="76"/>
      <c r="K29" s="76"/>
      <c r="L29" s="76"/>
    </row>
    <row r="30" spans="1:12" ht="6" customHeight="1" thickBot="1">
      <c r="B30" s="74"/>
    </row>
    <row r="31" spans="1:12" ht="21.75" customHeight="1" thickBot="1">
      <c r="B31" s="854" t="s">
        <v>129</v>
      </c>
      <c r="C31" s="855"/>
      <c r="D31" s="855"/>
      <c r="E31" s="856"/>
      <c r="F31" s="77"/>
      <c r="G31" s="849" t="s">
        <v>321</v>
      </c>
      <c r="H31" s="850"/>
      <c r="I31" s="850"/>
      <c r="J31" s="78" t="s">
        <v>295</v>
      </c>
      <c r="K31" s="850" t="s">
        <v>293</v>
      </c>
      <c r="L31" s="888"/>
    </row>
    <row r="32" spans="1:12" ht="14.25" customHeight="1">
      <c r="A32" s="846" t="s">
        <v>308</v>
      </c>
      <c r="B32" s="861"/>
      <c r="C32" s="862"/>
      <c r="D32" s="862"/>
      <c r="E32" s="863"/>
      <c r="F32" s="46"/>
      <c r="G32" s="877"/>
      <c r="H32" s="878"/>
      <c r="I32" s="878"/>
      <c r="J32" s="878"/>
      <c r="K32" s="878"/>
      <c r="L32" s="891"/>
    </row>
    <row r="33" spans="1:12" ht="16.5" customHeight="1">
      <c r="A33" s="847"/>
      <c r="B33" s="864"/>
      <c r="C33" s="865"/>
      <c r="D33" s="865"/>
      <c r="E33" s="866"/>
      <c r="F33" s="46"/>
      <c r="G33" s="859"/>
      <c r="H33" s="860"/>
      <c r="I33" s="860"/>
      <c r="J33" s="860"/>
      <c r="K33" s="860"/>
      <c r="L33" s="890"/>
    </row>
    <row r="34" spans="1:12">
      <c r="A34" s="847"/>
      <c r="B34" s="867" t="str">
        <f>IF(Recommendations!I43="","",Recommendations!I43)</f>
        <v/>
      </c>
      <c r="C34" s="868"/>
      <c r="D34" s="868"/>
      <c r="E34" s="869"/>
      <c r="F34" s="46"/>
      <c r="G34" s="859"/>
      <c r="H34" s="860"/>
      <c r="I34" s="860"/>
      <c r="J34" s="860"/>
      <c r="K34" s="860"/>
      <c r="L34" s="890"/>
    </row>
    <row r="35" spans="1:12">
      <c r="A35" s="847"/>
      <c r="B35" s="867"/>
      <c r="C35" s="868"/>
      <c r="D35" s="868"/>
      <c r="E35" s="869"/>
      <c r="F35" s="46"/>
      <c r="G35" s="859"/>
      <c r="H35" s="860"/>
      <c r="I35" s="860"/>
      <c r="J35" s="860"/>
      <c r="K35" s="860"/>
      <c r="L35" s="890"/>
    </row>
    <row r="36" spans="1:12">
      <c r="A36" s="847"/>
      <c r="B36" s="867" t="str">
        <f>+IF(Recommendations!I53="","",Recommendations!I53)</f>
        <v/>
      </c>
      <c r="C36" s="868"/>
      <c r="D36" s="868"/>
      <c r="E36" s="869"/>
      <c r="F36" s="46"/>
      <c r="G36" s="859"/>
      <c r="H36" s="860"/>
      <c r="I36" s="860"/>
      <c r="J36" s="860"/>
      <c r="K36" s="860"/>
      <c r="L36" s="890"/>
    </row>
    <row r="37" spans="1:12">
      <c r="A37" s="847"/>
      <c r="B37" s="867"/>
      <c r="C37" s="868"/>
      <c r="D37" s="868"/>
      <c r="E37" s="869"/>
      <c r="F37" s="46"/>
      <c r="G37" s="859"/>
      <c r="H37" s="860"/>
      <c r="I37" s="860"/>
      <c r="J37" s="860"/>
      <c r="K37" s="860"/>
      <c r="L37" s="890"/>
    </row>
    <row r="38" spans="1:12">
      <c r="A38" s="847"/>
      <c r="B38" s="867"/>
      <c r="C38" s="868"/>
      <c r="D38" s="868"/>
      <c r="E38" s="869"/>
      <c r="F38" s="46"/>
      <c r="G38" s="859"/>
      <c r="H38" s="860"/>
      <c r="I38" s="860"/>
      <c r="J38" s="860"/>
      <c r="K38" s="860"/>
      <c r="L38" s="890"/>
    </row>
    <row r="39" spans="1:12">
      <c r="A39" s="847"/>
      <c r="B39" s="867"/>
      <c r="C39" s="868"/>
      <c r="D39" s="868"/>
      <c r="E39" s="869"/>
      <c r="F39" s="46"/>
      <c r="G39" s="859"/>
      <c r="H39" s="860"/>
      <c r="I39" s="860"/>
      <c r="J39" s="860"/>
      <c r="K39" s="860"/>
      <c r="L39" s="890"/>
    </row>
    <row r="40" spans="1:12">
      <c r="A40" s="847"/>
      <c r="B40" s="867"/>
      <c r="C40" s="868"/>
      <c r="D40" s="868"/>
      <c r="E40" s="869"/>
      <c r="F40" s="46"/>
      <c r="G40" s="859"/>
      <c r="H40" s="860"/>
      <c r="I40" s="860"/>
      <c r="J40" s="860"/>
      <c r="K40" s="860"/>
      <c r="L40" s="890"/>
    </row>
    <row r="41" spans="1:12">
      <c r="A41" s="847"/>
      <c r="B41" s="867"/>
      <c r="C41" s="868"/>
      <c r="D41" s="868"/>
      <c r="E41" s="869"/>
      <c r="F41" s="46"/>
      <c r="G41" s="859"/>
      <c r="H41" s="860"/>
      <c r="I41" s="860"/>
      <c r="J41" s="860"/>
      <c r="K41" s="860"/>
      <c r="L41" s="890"/>
    </row>
    <row r="42" spans="1:12">
      <c r="A42" s="847"/>
      <c r="B42" s="867"/>
      <c r="C42" s="868"/>
      <c r="D42" s="868"/>
      <c r="E42" s="869"/>
      <c r="F42" s="46"/>
      <c r="G42" s="859"/>
      <c r="H42" s="860"/>
      <c r="I42" s="860"/>
      <c r="J42" s="860"/>
      <c r="K42" s="860"/>
      <c r="L42" s="890"/>
    </row>
    <row r="43" spans="1:12" ht="15.75" thickBot="1">
      <c r="A43" s="848"/>
      <c r="B43" s="870"/>
      <c r="C43" s="871"/>
      <c r="D43" s="871"/>
      <c r="E43" s="872"/>
      <c r="F43" s="46"/>
      <c r="G43" s="885"/>
      <c r="H43" s="886"/>
      <c r="I43" s="886"/>
      <c r="J43" s="886"/>
      <c r="K43" s="886"/>
      <c r="L43" s="900"/>
    </row>
  </sheetData>
  <sheetProtection password="CFC9" sheet="1"/>
  <mergeCells count="67">
    <mergeCell ref="J32:J33"/>
    <mergeCell ref="J34:J35"/>
    <mergeCell ref="K40:L41"/>
    <mergeCell ref="J38:J39"/>
    <mergeCell ref="K42:L43"/>
    <mergeCell ref="K36:L37"/>
    <mergeCell ref="K38:L39"/>
    <mergeCell ref="B2:L2"/>
    <mergeCell ref="C4:D4"/>
    <mergeCell ref="K14:L15"/>
    <mergeCell ref="K16:L17"/>
    <mergeCell ref="E3:I3"/>
    <mergeCell ref="J3:K3"/>
    <mergeCell ref="E4:I4"/>
    <mergeCell ref="J4:K4"/>
    <mergeCell ref="E6:I6"/>
    <mergeCell ref="C3:D3"/>
    <mergeCell ref="D5:J5"/>
    <mergeCell ref="B13:E13"/>
    <mergeCell ref="B10:L11"/>
    <mergeCell ref="K13:L13"/>
    <mergeCell ref="G42:I43"/>
    <mergeCell ref="G40:I41"/>
    <mergeCell ref="B38:E39"/>
    <mergeCell ref="K18:L19"/>
    <mergeCell ref="G13:I13"/>
    <mergeCell ref="K22:L23"/>
    <mergeCell ref="K20:L21"/>
    <mergeCell ref="B36:E37"/>
    <mergeCell ref="G36:I37"/>
    <mergeCell ref="J36:J37"/>
    <mergeCell ref="K31:L31"/>
    <mergeCell ref="K24:L25"/>
    <mergeCell ref="K34:L35"/>
    <mergeCell ref="K32:L33"/>
    <mergeCell ref="J40:J41"/>
    <mergeCell ref="J42:J43"/>
    <mergeCell ref="A14:A25"/>
    <mergeCell ref="J18:J19"/>
    <mergeCell ref="J16:J17"/>
    <mergeCell ref="J14:J15"/>
    <mergeCell ref="B16:E17"/>
    <mergeCell ref="G14:I15"/>
    <mergeCell ref="J24:J25"/>
    <mergeCell ref="B14:E15"/>
    <mergeCell ref="J22:J23"/>
    <mergeCell ref="G16:I17"/>
    <mergeCell ref="B18:E19"/>
    <mergeCell ref="B22:E23"/>
    <mergeCell ref="G18:I19"/>
    <mergeCell ref="J20:J21"/>
    <mergeCell ref="A32:A43"/>
    <mergeCell ref="G31:I31"/>
    <mergeCell ref="G20:I21"/>
    <mergeCell ref="G22:I23"/>
    <mergeCell ref="E27:I27"/>
    <mergeCell ref="B31:E31"/>
    <mergeCell ref="G24:I25"/>
    <mergeCell ref="G38:I39"/>
    <mergeCell ref="B32:E33"/>
    <mergeCell ref="B42:E43"/>
    <mergeCell ref="B24:E25"/>
    <mergeCell ref="G32:I33"/>
    <mergeCell ref="B40:E41"/>
    <mergeCell ref="B20:E21"/>
    <mergeCell ref="B34:E35"/>
    <mergeCell ref="G34:I35"/>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headerFooter alignWithMargins="0">
    <oddFooter>&amp;L&amp;F&amp;C&amp;A&amp;RV1.0          &amp;D</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Nr xmlns="f127e3a1-6a43-4b35-8211-dfdf2a8cacea" xsi:nil="true"/>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1A7189D-6043-4BCC-A93B-7366B7BCBFA9}">
  <ds:schemaRefs>
    <ds:schemaRef ds:uri="http://www.w3.org/XML/1998/namespace"/>
    <ds:schemaRef ds:uri="http://schemas.microsoft.com/office/2006/metadata/properties"/>
    <ds:schemaRef ds:uri="http://purl.org/dc/dcmitype/"/>
    <ds:schemaRef ds:uri="http://purl.org/dc/elements/1.1/"/>
    <ds:schemaRef ds:uri="f127e3a1-6a43-4b35-8211-dfdf2a8cacea"/>
    <ds:schemaRef ds:uri="http://schemas.microsoft.com/office/2006/documentManagement/types"/>
    <ds:schemaRef ds:uri="http://schemas.openxmlformats.org/package/2006/metadata/core-properties"/>
    <ds:schemaRef ds:uri="http://schemas.microsoft.com/sharepoint/v3"/>
    <ds:schemaRef ds:uri="http://purl.org/dc/terms/"/>
  </ds:schemaRefs>
</ds:datastoreItem>
</file>

<file path=customXml/itemProps3.xml><?xml version="1.0" encoding="utf-8"?>
<ds:datastoreItem xmlns:ds="http://schemas.openxmlformats.org/officeDocument/2006/customXml" ds:itemID="{FF8B9337-4B91-4BFB-AD68-7B155DF4A2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Menu</vt:lpstr>
      <vt:lpstr>List of Indicators</vt:lpstr>
      <vt:lpstr>Data Entry</vt:lpstr>
      <vt:lpstr>Grant Detail</vt:lpstr>
      <vt:lpstr>Finance</vt:lpstr>
      <vt:lpstr>Management</vt:lpstr>
      <vt:lpstr>Programmatic</vt:lpstr>
      <vt:lpstr>Recommendations</vt:lpstr>
      <vt:lpstr>Actions</vt:lpstr>
      <vt:lpstr>Setup</vt:lpstr>
      <vt:lpstr>Component</vt:lpstr>
      <vt:lpstr>Countries</vt:lpstr>
      <vt:lpstr>Currency</vt:lpstr>
      <vt:lpstr>LFA</vt:lpstr>
      <vt:lpstr>Medicaments</vt:lpstr>
      <vt:lpstr>PERIOD</vt:lpstr>
      <vt:lpstr>Phase</vt:lpstr>
      <vt:lpstr>Actions!Print_Area</vt:lpstr>
      <vt:lpstr>Finance!Print_Area</vt:lpstr>
      <vt:lpstr>Management!Print_Area</vt:lpstr>
      <vt:lpstr>Programmatic!Print_Area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Maka Danelia</cp:lastModifiedBy>
  <cp:lastPrinted>2015-03-11T10:26:05Z</cp:lastPrinted>
  <dcterms:created xsi:type="dcterms:W3CDTF">2008-11-20T16:06:13Z</dcterms:created>
  <dcterms:modified xsi:type="dcterms:W3CDTF">2019-05-31T06:43:15Z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846336</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ies>
</file>