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codeName="ThisWorkbook" autoCompressPictures="0"/>
  <mc:AlternateContent xmlns:mc="http://schemas.openxmlformats.org/markup-compatibility/2006">
    <mc:Choice Requires="x15">
      <x15ac:absPath xmlns:x15ac="http://schemas.microsoft.com/office/spreadsheetml/2010/11/ac" url="C:\Users\aasat\Desktop\"/>
    </mc:Choice>
  </mc:AlternateContent>
  <xr:revisionPtr revIDLastSave="0" documentId="13_ncr:1_{B4A019E4-3E8F-46D4-8CFF-C9A726EA90AD}" xr6:coauthVersionLast="38" xr6:coauthVersionMax="38" xr10:uidLastSave="{00000000-0000-0000-0000-000000000000}"/>
  <bookViews>
    <workbookView xWindow="0" yWindow="0" windowWidth="28800" windowHeight="12135" tabRatio="721" activeTab="2"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53" i="29" l="1"/>
  <c r="E53" i="29"/>
  <c r="C54" i="29"/>
  <c r="E54" i="29"/>
  <c r="D47" i="29"/>
  <c r="C55" i="29"/>
  <c r="C32" i="29"/>
  <c r="E32" i="29"/>
  <c r="C52" i="29"/>
  <c r="E108" i="29"/>
  <c r="G108" i="29"/>
  <c r="E109" i="29"/>
  <c r="G96" i="29"/>
  <c r="F96" i="29"/>
  <c r="E96" i="29"/>
  <c r="D96" i="29"/>
  <c r="C96" i="29"/>
  <c r="C47" i="29"/>
  <c r="H118" i="29"/>
  <c r="I118" i="29"/>
  <c r="J118" i="29"/>
  <c r="K118" i="29"/>
  <c r="E55" i="29"/>
  <c r="I108" i="29"/>
  <c r="K108" i="29"/>
  <c r="L30" i="35"/>
  <c r="G109" i="29"/>
  <c r="I109" i="29"/>
  <c r="E110" i="29"/>
  <c r="G110" i="29"/>
  <c r="I110" i="29"/>
  <c r="K110" i="29"/>
  <c r="L32" i="35"/>
  <c r="E111" i="29"/>
  <c r="G111" i="29"/>
  <c r="I111" i="29"/>
  <c r="C33" i="29"/>
  <c r="C34" i="29"/>
  <c r="E52"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H26" i="35"/>
  <c r="I3" i="30"/>
  <c r="K3" i="30"/>
  <c r="B8" i="30"/>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c r="F98" i="29"/>
  <c r="G98" i="29"/>
  <c r="H98" i="29"/>
  <c r="I98" i="29"/>
  <c r="J98" i="29"/>
  <c r="K98" i="29"/>
  <c r="L98" i="29"/>
  <c r="M98" i="29"/>
  <c r="N98"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c r="M100" i="29"/>
  <c r="N100" i="29"/>
  <c r="C99" i="29"/>
  <c r="D99" i="29"/>
  <c r="E99" i="29"/>
  <c r="F99" i="29"/>
  <c r="G99" i="29"/>
  <c r="H99" i="29"/>
  <c r="I99" i="29"/>
  <c r="J99" i="29"/>
  <c r="K99" i="29"/>
  <c r="L99" i="29"/>
  <c r="M99" i="29"/>
  <c r="N99" i="29"/>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J32" i="35"/>
  <c r="AF24" i="37"/>
  <c r="AE24" i="37"/>
  <c r="AB24" i="37"/>
  <c r="AF22" i="37"/>
  <c r="AE22" i="37"/>
  <c r="AD22" i="37"/>
  <c r="D34" i="29"/>
  <c r="E34" i="29"/>
  <c r="F34" i="29"/>
  <c r="G34" i="29"/>
  <c r="H34" i="29"/>
  <c r="I34" i="29"/>
  <c r="J34" i="29"/>
  <c r="K34" i="29"/>
  <c r="L34" i="29"/>
  <c r="M34" i="29"/>
  <c r="N34" i="29"/>
  <c r="H8" i="30"/>
  <c r="D33" i="29"/>
  <c r="C35" i="29"/>
  <c r="R29" i="29"/>
  <c r="AC22" i="37"/>
  <c r="AC24" i="37"/>
  <c r="AB22" i="37"/>
  <c r="AD24" i="37"/>
  <c r="R30" i="29"/>
  <c r="E33" i="29"/>
  <c r="D35" i="29"/>
  <c r="E35" i="29"/>
  <c r="R31" i="29"/>
  <c r="F33" i="29"/>
  <c r="R32" i="29"/>
  <c r="F35" i="29"/>
  <c r="G20" i="37"/>
  <c r="J30" i="35"/>
  <c r="H7" i="35"/>
  <c r="K109" i="29"/>
  <c r="L31" i="35"/>
  <c r="J31" i="35"/>
  <c r="K111" i="29"/>
  <c r="L33" i="35"/>
  <c r="J33" i="35"/>
  <c r="B7" i="35"/>
  <c r="G21" i="37"/>
  <c r="G23" i="37"/>
  <c r="G25" i="37"/>
  <c r="G29" i="37"/>
  <c r="G22" i="37"/>
  <c r="G24" i="37"/>
  <c r="G33" i="29"/>
  <c r="H33" i="29"/>
  <c r="R34" i="29"/>
  <c r="H35" i="29"/>
  <c r="G35" i="29"/>
  <c r="R33" i="29"/>
  <c r="G28" i="37"/>
  <c r="G27" i="37"/>
  <c r="H15" i="35"/>
  <c r="G26" i="37"/>
  <c r="B15" i="35"/>
  <c r="H22" i="30"/>
  <c r="B22" i="30"/>
  <c r="I33" i="29"/>
  <c r="J33" i="29"/>
  <c r="F47" i="29"/>
  <c r="I35" i="29"/>
  <c r="R35" i="29"/>
  <c r="K33" i="29"/>
  <c r="J35" i="29"/>
  <c r="R49" i="29"/>
  <c r="L33" i="29"/>
  <c r="R50" i="29"/>
  <c r="K35" i="29"/>
  <c r="L35" i="29"/>
  <c r="M33" i="29"/>
  <c r="N33" i="29"/>
  <c r="N35" i="29"/>
  <c r="M35" i="29"/>
  <c r="Q51" i="29"/>
  <c r="O31"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2" authorId="1" shapeId="0" xr:uid="{00000000-0006-0000-0200-000002000000}">
      <text>
        <r>
          <rPr>
            <b/>
            <sz val="8"/>
            <color indexed="81"/>
            <rFont val="Tahoma"/>
            <family val="2"/>
          </rPr>
          <t xml:space="preserve">If data are not available, do not enter zeros; rather, leave the cells in the table blank. </t>
        </r>
      </text>
    </comment>
    <comment ref="B73" authorId="1" shapeId="0" xr:uid="{00000000-0006-0000-0200-000003000000}">
      <text>
        <r>
          <rPr>
            <b/>
            <sz val="8"/>
            <color indexed="81"/>
            <rFont val="Tahoma"/>
            <family val="2"/>
          </rPr>
          <t>If data are not available, do not enter zeros; rather, leave the cells in this table blank.</t>
        </r>
      </text>
    </comment>
    <comment ref="B79" authorId="0" shapeId="0" xr:uid="{00000000-0006-0000-0200-000004000000}">
      <text>
        <r>
          <rPr>
            <sz val="8"/>
            <color indexed="81"/>
            <rFont val="Tahoma"/>
            <family val="2"/>
            <charset val="204"/>
          </rPr>
          <t xml:space="preserve">If data are not available, do not enter zeros; rather, leave the cells in this table blank. </t>
        </r>
      </text>
    </comment>
    <comment ref="B94"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<sst xmlns="http://schemas.openxmlformats.org/spreadsheetml/2006/main" count="1133" uniqueCount="447">
  <si>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</si>
  <si>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</si>
  <si>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</si>
  <si>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</si>
  <si>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</si>
  <si>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</si>
  <si>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</si>
  <si>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</si>
  <si>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</si>
  <si>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</si>
  <si>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</si>
  <si>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</si>
  <si>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</si>
  <si>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</si>
  <si>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</si>
  <si>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</si>
  <si>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</si>
  <si>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</si>
  <si>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</si>
  <si>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</si>
  <si>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</si>
  <si>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</si>
  <si>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</si>
  <si>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</si>
  <si>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</si>
  <si>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</si>
  <si>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</si>
  <si>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</si>
  <si>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</si>
  <si>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</si>
  <si>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</si>
  <si>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</si>
  <si>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</si>
  <si>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</si>
  <si>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</si>
  <si>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</si>
  <si>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</si>
  <si>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</si>
  <si>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</si>
  <si>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</si>
  <si>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</si>
  <si>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</si>
  <si>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</si>
  <si>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</si>
  <si>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</si>
  <si>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</si>
  <si>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</si>
  <si>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</si>
  <si>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</si>
  <si>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</si>
  <si>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</si>
  <si>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</si>
  <si>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</si>
  <si>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</si>
  <si>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</si>
  <si>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</si>
  <si>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</si>
  <si>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</si>
  <si>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</si>
  <si>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</si>
  <si>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</si>
  <si>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</si>
  <si>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</si>
  <si>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</si>
  <si>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</si>
  <si>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</si>
  <si>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</si>
  <si>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</si>
  <si>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</si>
  <si>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</si>
  <si>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</si>
  <si>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</si>
  <si>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</si>
  <si>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</si>
  <si>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</si>
  <si>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</si>
  <si>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</si>
  <si>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</si>
  <si>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</si>
  <si>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</si>
  <si>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</si>
  <si>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</si>
  <si>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</si>
  <si>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</si>
  <si>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</si>
  <si>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</si>
  <si>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</si>
  <si>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</si>
  <si>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</si>
  <si>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</si>
  <si>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</si>
  <si>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</si>
  <si>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</si>
  <si>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</si>
  <si>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</si>
  <si>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</si>
  <si>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</si>
  <si>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</si>
  <si>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</si>
  <si>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</si>
  <si>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</si>
  <si>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</si>
  <si>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</si>
  <si>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</si>
  <si>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</si>
  <si>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</si>
  <si>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</si>
  <si>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</si>
  <si>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</si>
  <si>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</si>
  <si>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</si>
  <si>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</si>
  <si>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</si>
  <si>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</si>
  <si>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</si>
  <si>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</si>
  <si>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</si>
  <si>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</si>
  <si>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</si>
  <si>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</si>
  <si>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</si>
  <si>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</si>
  <si>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</si>
  <si>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</si>
  <si>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</si>
  <si>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</si>
  <si>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</si>
  <si>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</si>
  <si>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</si>
  <si>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</si>
  <si>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</si>
  <si>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</si>
  <si>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</si>
  <si>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</si>
  <si>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</si>
  <si>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</si>
  <si>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</si>
  <si>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</si>
  <si>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</si>
  <si>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</si>
  <si>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</si>
  <si>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</si>
  <si>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</si>
  <si>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</si>
  <si>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</si>
  <si>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</si>
  <si>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</si>
  <si>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</si>
  <si>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</si>
  <si>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</si>
  <si>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</si>
  <si>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</si>
  <si>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</si>
  <si>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</si>
  <si>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</si>
  <si>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</si>
  <si>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</si>
  <si>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</si>
  <si>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</si>
  <si>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</si>
  <si>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</si>
  <si>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</si>
  <si>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</si>
  <si>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</si>
  <si>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</si>
  <si>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</si>
  <si>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</si>
  <si>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</si>
  <si>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</si>
  <si>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</si>
  <si>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</si>
  <si>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</si>
  <si>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</si>
  <si>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</si>
  <si>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</si>
  <si>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</si>
  <si>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</si>
  <si>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</si>
  <si>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</si>
  <si>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</si>
  <si>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</si>
  <si>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</si>
  <si>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</si>
  <si>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</si>
  <si>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</si>
  <si>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</si>
  <si>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</si>
  <si>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</si>
  <si>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</si>
  <si>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</si>
  <si>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</si>
  <si>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</si>
  <si>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</si>
  <si>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</si>
  <si>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</si>
  <si>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</si>
  <si>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</si>
  <si>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</si>
  <si>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</si>
  <si>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</si>
  <si>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</si>
  <si>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</si>
  <si>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</si>
  <si>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</si>
  <si>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</si>
  <si>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</si>
  <si>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</si>
  <si>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</si>
  <si>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</si>
  <si>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</si>
  <si>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</si>
  <si>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</si>
  <si>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</si>
  <si>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</si>
  <si>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</si>
  <si>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</si>
  <si>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</si>
  <si>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</si>
  <si>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</si>
  <si>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</si>
  <si>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</si>
  <si>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</si>
  <si>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</si>
  <si>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</si>
  <si>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</si>
  <si>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</si>
  <si>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</si>
  <si>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</si>
  <si>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</si>
  <si>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</si>
  <si>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</si>
  <si>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</si>
  <si>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</si>
  <si>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</si>
  <si>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</si>
  <si>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</si>
  <si>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</si>
  <si>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</si>
  <si>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</si>
  <si>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</si>
  <si>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</si>
  <si>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</si>
  <si>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</si>
  <si>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</si>
  <si>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</si>
  <si>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</si>
  <si>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</si>
  <si>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</si>
  <si>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</si>
  <si>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</si>
  <si>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</si>
  <si>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</si>
  <si>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</si>
  <si>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</si>
  <si>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</si>
  <si>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</si>
  <si>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</si>
  <si>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</si>
  <si>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</si>
  <si>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</si>
  <si>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</si>
  <si>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</si>
  <si>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</si>
  <si>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</si>
  <si>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</si>
  <si>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</si>
  <si>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</si>
  <si>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</si>
  <si>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</si>
  <si>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</si>
  <si>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</si>
  <si>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</si>
  <si>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</si>
  <si>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</si>
  <si>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</si>
  <si>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</si>
  <si>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</si>
  <si>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</si>
  <si>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</si>
  <si>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</si>
  <si>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</si>
  <si>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</si>
  <si>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</si>
  <si>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</si>
  <si>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</si>
  <si>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</si>
  <si>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</si>
  <si>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</si>
  <si>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</si>
  <si>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</si>
  <si>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</si>
  <si>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</si>
  <si>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</si>
  <si>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</si>
  <si>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</si>
  <si>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</si>
  <si>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</si>
  <si>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</si>
  <si>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</si>
  <si>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</si>
  <si>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</si>
  <si>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</si>
  <si>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</si>
  <si>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</si>
  <si>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</si>
  <si>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</si>
  <si>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</si>
  <si>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</si>
  <si>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</si>
  <si>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</si>
  <si>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</si>
  <si>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</si>
  <si>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</si>
  <si>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</si>
  <si>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</si>
  <si>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</si>
  <si>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</si>
  <si>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</si>
  <si>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</si>
  <si>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</si>
  <si>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</si>
  <si>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</si>
  <si>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</si>
  <si>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</si>
  <si>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</si>
  <si>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</si>
  <si>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</si>
  <si>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</si>
  <si>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</si>
  <si>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</si>
  <si>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</si>
  <si>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</si>
  <si>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</si>
  <si>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</si>
  <si>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</si>
  <si>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</si>
  <si>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</si>
  <si>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</si>
  <si>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</si>
  <si>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</si>
  <si>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</si>
  <si>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</si>
  <si>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</si>
  <si>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</si>
  <si>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</si>
  <si>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</si>
  <si>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</si>
  <si>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</si>
  <si>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</si>
  <si>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</si>
  <si>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</si>
  <si>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</si>
  <si>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</si>
  <si>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</si>
  <si>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</si>
  <si>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</si>
  <si>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</si>
  <si>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</si>
  <si>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</si>
  <si>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</si>
  <si>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</si>
  <si>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</si>
  <si>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</si>
  <si>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</si>
  <si>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</si>
  <si>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</si>
  <si>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</si>
  <si>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</si>
  <si>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</si>
  <si>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</si>
  <si>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</si>
  <si>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</si>
  <si>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</si>
  <si>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</si>
  <si>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</si>
  <si>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</si>
  <si>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</si>
  <si>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</si>
  <si>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</si>
  <si>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</si>
  <si>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</si>
  <si>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</si>
  <si>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</si>
  <si>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</si>
  <si>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</si>
  <si>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</si>
  <si>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</si>
  <si>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</si>
  <si>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</si>
  <si>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</si>
  <si>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</si>
  <si>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</si>
  <si>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</si>
  <si>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</si>
  <si>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</si>
  <si>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</si>
  <si>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</si>
  <si>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</si>
  <si>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</si>
  <si>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</si>
  <si>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</si>
  <si>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</si>
  <si>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</si>
  <si>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</si>
  <si>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</si>
  <si>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</si>
  <si>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</si>
  <si>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</si>
  <si>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</si>
  <si>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</si>
  <si>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</si>
  <si>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</si>
  <si>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</si>
  <si>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</si>
  <si>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</si>
  <si>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</si>
  <si>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</si>
  <si>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</si>
  <si>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</si>
  <si>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</si>
  <si>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</si>
  <si>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</si>
  <si>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</si>
  <si>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</si>
  <si>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</si>
  <si>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</si>
  <si>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</si>
  <si>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</si>
  <si>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</si>
  <si>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</si>
  <si>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The number includes bacteriologically confirmed XDR TB cases.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</si>
  <si>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</si>
  <si>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</si>
  <si>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</si>
  <si>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</si>
  <si>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</si>
  <si>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</si>
  <si>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</si>
  <si>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</si>
  <si>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</si>
  <si>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</si>
  <si>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</si>
  <si>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</si>
  <si>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Maka Danelia</t>
  </si>
  <si>
    <t>Moxifloxacin</t>
  </si>
  <si>
    <t xml:space="preserve">MDR Patients that began second line treatment include:
1. Bacteriologically confirmed RR-TB and/or MDR-TB cases
2. Clinically diagnosed MDR TB Cases
</t>
  </si>
  <si>
    <t>The new order is expected to be delivered in 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</si>
</sst>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 numFmtId="178" formatCode="#,##0.0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s>
  <fills count="48">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4">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2" fontId="21" fillId="29" borderId="0" xfId="0" applyNumberFormat="1" applyFont="1" applyFill="1"/>
    <xf numFmtId="172"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178"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4" xfId="0" applyNumberFormat="1" applyFont="1" applyFill="1" applyBorder="1" applyAlignment="1" applyProtection="1">
      <alignment horizontal="left"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0" fontId="115" fillId="0" borderId="54" xfId="0" applyFont="1" applyBorder="1" applyAlignment="1" applyProtection="1">
      <alignment horizontal="right"/>
    </xf>
    <xf numFmtId="0" fontId="115" fillId="0" borderId="133" xfId="0" applyFont="1" applyBorder="1" applyAlignment="1" applyProtection="1">
      <alignment horizontal="right"/>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0" xfId="0" applyFont="1" applyBorder="1" applyAlignment="1" applyProtection="1">
      <alignment horizontal="right"/>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4" xfId="0" applyNumberFormat="1" applyFont="1" applyFill="1" applyBorder="1" applyAlignment="1" applyProtection="1">
      <alignment horizontal="left"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43"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43" fontId="106" fillId="41" borderId="0" xfId="81" applyFont="1" applyFill="1" applyAlignment="1" applyProtection="1">
      <alignment horizontal="center" vertical="center"/>
    </xf>
    <xf numFmtId="43" fontId="24" fillId="33" borderId="45" xfId="117" applyFont="1" applyFill="1" applyBorder="1" applyAlignment="1" applyProtection="1">
      <alignment horizont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1" fillId="0" borderId="45" xfId="117" applyFont="1" applyFill="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0" fillId="0" borderId="48" xfId="0" applyBorder="1" applyAlignment="1">
      <alignment horizontal="left" wrapText="1"/>
    </xf>
    <xf numFmtId="0" fontId="0" fillId="0" borderId="49"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7" xfId="0" applyFont="1" applyBorder="1" applyAlignment="1" applyProtection="1">
      <alignment horizontal="left" vertical="center"/>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47"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43" fontId="61" fillId="41" borderId="0" xfId="93" applyFont="1" applyFill="1" applyAlignment="1" applyProtection="1">
      <alignment horizontal="center"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80" fillId="0" borderId="173" xfId="0" applyNumberFormat="1" applyFont="1" applyFill="1" applyBorder="1" applyAlignment="1" applyProtection="1">
      <alignment horizontal="left" vertical="top" wrapText="1"/>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1" xfId="109" applyNumberFormat="1" applyFont="1" applyFill="1" applyBorder="1" applyAlignment="1">
      <alignment horizontal="center" vertical="center" wrapText="1"/>
    </xf>
    <xf numFmtId="0" fontId="21" fillId="0" borderId="219" xfId="0" applyFont="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77" fillId="30" borderId="226" xfId="109"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22"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0" xfId="0" applyFont="1" applyFill="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xr:uid="{00000000-0005-0000-0000-000000000000}"/>
    <cellStyle name="_TB_Calc_percent" xfId="2" xr:uid="{00000000-0005-0000-0000-000001000000}"/>
    <cellStyle name="_TB_def_number" xfId="3" xr:uid="{00000000-0005-0000-0000-000002000000}"/>
    <cellStyle name="_TB_def_percent" xfId="4" xr:uid="{00000000-0005-0000-0000-000003000000}"/>
    <cellStyle name="_TB_subtitle2" xfId="5" xr:uid="{00000000-0005-0000-0000-000004000000}"/>
    <cellStyle name="20% - Accent1" xfId="6" xr:uid="{00000000-0005-0000-0000-000005000000}"/>
    <cellStyle name="20% - Accent2" xfId="7" xr:uid="{00000000-0005-0000-0000-000006000000}"/>
    <cellStyle name="20% - Accent3" xfId="8" xr:uid="{00000000-0005-0000-0000-000007000000}"/>
    <cellStyle name="20% - Accent4" xfId="9" xr:uid="{00000000-0005-0000-0000-000008000000}"/>
    <cellStyle name="20% - Accent5" xfId="10" xr:uid="{00000000-0005-0000-0000-000009000000}"/>
    <cellStyle name="20% - Accent6" xfId="11" xr:uid="{00000000-0005-0000-0000-00000A000000}"/>
    <cellStyle name="20% - Акцент1" xfId="12" xr:uid="{00000000-0005-0000-0000-00000B000000}"/>
    <cellStyle name="20% - Акцент2" xfId="13" xr:uid="{00000000-0005-0000-0000-00000C000000}"/>
    <cellStyle name="20% - Акцент3" xfId="14" xr:uid="{00000000-0005-0000-0000-00000D000000}"/>
    <cellStyle name="20% - Акцент4" xfId="15" xr:uid="{00000000-0005-0000-0000-00000E000000}"/>
    <cellStyle name="20% - Акцент5" xfId="16" xr:uid="{00000000-0005-0000-0000-00000F000000}"/>
    <cellStyle name="20% - Акцент6" xfId="17" xr:uid="{00000000-0005-0000-0000-000010000000}"/>
    <cellStyle name="40% - Accent1" xfId="18" xr:uid="{00000000-0005-0000-0000-000011000000}"/>
    <cellStyle name="40% - Accent2" xfId="19" xr:uid="{00000000-0005-0000-0000-000012000000}"/>
    <cellStyle name="40% - Accent3" xfId="20" xr:uid="{00000000-0005-0000-0000-000013000000}"/>
    <cellStyle name="40% - Accent4" xfId="21" xr:uid="{00000000-0005-0000-0000-000014000000}"/>
    <cellStyle name="40% - Accent5" xfId="22" xr:uid="{00000000-0005-0000-0000-000015000000}"/>
    <cellStyle name="40% - Accent6" xfId="23" xr:uid="{00000000-0005-0000-0000-000016000000}"/>
    <cellStyle name="40% - Акцент1" xfId="24" xr:uid="{00000000-0005-0000-0000-000017000000}"/>
    <cellStyle name="40% - Акцент2" xfId="25" xr:uid="{00000000-0005-0000-0000-000018000000}"/>
    <cellStyle name="40% - Акцент3" xfId="26" xr:uid="{00000000-0005-0000-0000-000019000000}"/>
    <cellStyle name="40% - Акцент4" xfId="27" xr:uid="{00000000-0005-0000-0000-00001A000000}"/>
    <cellStyle name="40% - Акцент5" xfId="28" xr:uid="{00000000-0005-0000-0000-00001B000000}"/>
    <cellStyle name="40% - Акцент6" xfId="29" xr:uid="{00000000-0005-0000-0000-00001C000000}"/>
    <cellStyle name="60% - Accent1" xfId="30" xr:uid="{00000000-0005-0000-0000-00001D000000}"/>
    <cellStyle name="60% - Accent2" xfId="31" xr:uid="{00000000-0005-0000-0000-00001E000000}"/>
    <cellStyle name="60% - Accent3" xfId="32" xr:uid="{00000000-0005-0000-0000-00001F000000}"/>
    <cellStyle name="60% - Accent4" xfId="33" xr:uid="{00000000-0005-0000-0000-000020000000}"/>
    <cellStyle name="60% - Accent5" xfId="34" xr:uid="{00000000-0005-0000-0000-000021000000}"/>
    <cellStyle name="60% - Accent6" xfId="35" xr:uid="{00000000-0005-0000-0000-000022000000}"/>
    <cellStyle name="60% - Акцент1" xfId="36" xr:uid="{00000000-0005-0000-0000-000023000000}"/>
    <cellStyle name="60% - Акцент2" xfId="37" xr:uid="{00000000-0005-0000-0000-000024000000}"/>
    <cellStyle name="60% - Акцент3" xfId="38" xr:uid="{00000000-0005-0000-0000-000025000000}"/>
    <cellStyle name="60% - Акцент4" xfId="39" xr:uid="{00000000-0005-0000-0000-000026000000}"/>
    <cellStyle name="60% - Акцент5" xfId="40" xr:uid="{00000000-0005-0000-0000-000027000000}"/>
    <cellStyle name="60% - Акцент6" xfId="41" xr:uid="{00000000-0005-0000-0000-000028000000}"/>
    <cellStyle name="Accent1" xfId="42" xr:uid="{00000000-0005-0000-0000-000029000000}"/>
    <cellStyle name="Accent2" xfId="43" xr:uid="{00000000-0005-0000-0000-00002A000000}"/>
    <cellStyle name="Accent3" xfId="44" xr:uid="{00000000-0005-0000-0000-00002B000000}"/>
    <cellStyle name="Accent4" xfId="45" xr:uid="{00000000-0005-0000-0000-00002C000000}"/>
    <cellStyle name="Accent5" xfId="46" xr:uid="{00000000-0005-0000-0000-00002D000000}"/>
    <cellStyle name="Accent6" xfId="47" xr:uid="{00000000-0005-0000-0000-00002E000000}"/>
    <cellStyle name="Bad" xfId="48" xr:uid="{00000000-0005-0000-0000-00002F000000}"/>
    <cellStyle name="Calculation" xfId="49" xr:uid="{00000000-0005-0000-0000-000030000000}"/>
    <cellStyle name="Check Cell" xfId="50" xr:uid="{00000000-0005-0000-0000-000031000000}"/>
    <cellStyle name="Comma" xfId="51" builtinId="3"/>
    <cellStyle name="Comma 2" xfId="52" xr:uid="{00000000-0005-0000-0000-000033000000}"/>
    <cellStyle name="Comma 2 2" xfId="53" xr:uid="{00000000-0005-0000-0000-000034000000}"/>
    <cellStyle name="Comma 2 3" xfId="54" xr:uid="{00000000-0005-0000-0000-000035000000}"/>
    <cellStyle name="Comma 3" xfId="55" xr:uid="{00000000-0005-0000-0000-000036000000}"/>
    <cellStyle name="Comma 3 2" xfId="56" xr:uid="{00000000-0005-0000-0000-000037000000}"/>
    <cellStyle name="Comma 4" xfId="57" xr:uid="{00000000-0005-0000-0000-000038000000}"/>
    <cellStyle name="Comma 5" xfId="58" xr:uid="{00000000-0005-0000-0000-000039000000}"/>
    <cellStyle name="Comma 5 2" xfId="59" xr:uid="{00000000-0005-0000-0000-00003A000000}"/>
    <cellStyle name="Comma 6" xfId="60" xr:uid="{00000000-0005-0000-0000-00003B000000}"/>
    <cellStyle name="Comma 6 2" xfId="61" xr:uid="{00000000-0005-0000-0000-00003C000000}"/>
    <cellStyle name="Comma 7" xfId="62" xr:uid="{00000000-0005-0000-0000-00003D000000}"/>
    <cellStyle name="Comma 8" xfId="63" xr:uid="{00000000-0005-0000-0000-00003E000000}"/>
    <cellStyle name="Currency 2" xfId="64" xr:uid="{00000000-0005-0000-0000-00003F000000}"/>
    <cellStyle name="Currency 3" xfId="65" xr:uid="{00000000-0005-0000-0000-000040000000}"/>
    <cellStyle name="Euro" xfId="66" xr:uid="{00000000-0005-0000-0000-000041000000}"/>
    <cellStyle name="Explanatory Text" xfId="67" xr:uid="{00000000-0005-0000-0000-000042000000}"/>
    <cellStyle name="Followed Hyperlink" xfId="150" builtinId="9" hidden="1"/>
    <cellStyle name="Followed Hyperlink" xfId="152" builtinId="9" hidden="1"/>
    <cellStyle name="Good" xfId="68" xr:uid="{00000000-0005-0000-0000-000045000000}"/>
    <cellStyle name="Heading 1" xfId="69" xr:uid="{00000000-0005-0000-0000-000046000000}"/>
    <cellStyle name="Heading 2" xfId="70" xr:uid="{00000000-0005-0000-0000-000047000000}"/>
    <cellStyle name="Heading 3" xfId="71" xr:uid="{00000000-0005-0000-0000-000048000000}"/>
    <cellStyle name="Heading 4" xfId="72" xr:uid="{00000000-0005-0000-0000-000049000000}"/>
    <cellStyle name="Hyperlink" xfId="149" builtinId="8" hidden="1"/>
    <cellStyle name="Hyperlink" xfId="151" builtinId="8" hidden="1"/>
    <cellStyle name="Hyperlink 2" xfId="73" xr:uid="{00000000-0005-0000-0000-00004C000000}"/>
    <cellStyle name="Hyperlink 3" xfId="74" xr:uid="{00000000-0005-0000-0000-00004D000000}"/>
    <cellStyle name="Input" xfId="75" xr:uid="{00000000-0005-0000-0000-00004E000000}"/>
    <cellStyle name="Linked Cell" xfId="76" xr:uid="{00000000-0005-0000-0000-00004F000000}"/>
    <cellStyle name="Millares 2" xfId="77" xr:uid="{00000000-0005-0000-0000-000050000000}"/>
    <cellStyle name="Normal" xfId="0" builtinId="0"/>
    <cellStyle name="Normal 10" xfId="78" xr:uid="{00000000-0005-0000-0000-000052000000}"/>
    <cellStyle name="Normal 11" xfId="79" xr:uid="{00000000-0005-0000-0000-000053000000}"/>
    <cellStyle name="Normal 12" xfId="80" xr:uid="{00000000-0005-0000-0000-000054000000}"/>
    <cellStyle name="Normal 2" xfId="81" xr:uid="{00000000-0005-0000-0000-000055000000}"/>
    <cellStyle name="Normal 2 2" xfId="82" xr:uid="{00000000-0005-0000-0000-000056000000}"/>
    <cellStyle name="Normal 2 2 2" xfId="83" xr:uid="{00000000-0005-0000-0000-000057000000}"/>
    <cellStyle name="Normal 2 3" xfId="84" xr:uid="{00000000-0005-0000-0000-000058000000}"/>
    <cellStyle name="Normal 2 3 2" xfId="85" xr:uid="{00000000-0005-0000-0000-000059000000}"/>
    <cellStyle name="Normal 2 4" xfId="86" xr:uid="{00000000-0005-0000-0000-00005A000000}"/>
    <cellStyle name="Normal 2 4 2" xfId="87" xr:uid="{00000000-0005-0000-0000-00005B000000}"/>
    <cellStyle name="Normal 2 5" xfId="88" xr:uid="{00000000-0005-0000-0000-00005C000000}"/>
    <cellStyle name="Normal 2 6" xfId="89" xr:uid="{00000000-0005-0000-0000-00005D000000}"/>
    <cellStyle name="Normal 2 7" xfId="90" xr:uid="{00000000-0005-0000-0000-00005E000000}"/>
    <cellStyle name="Normal 2 8" xfId="91" xr:uid="{00000000-0005-0000-0000-00005F000000}"/>
    <cellStyle name="Normal 2_Dashboard ver 2.2 ES" xfId="92" xr:uid="{00000000-0005-0000-0000-000060000000}"/>
    <cellStyle name="Normal 2_Prototipo" xfId="93" xr:uid="{00000000-0005-0000-0000-000061000000}"/>
    <cellStyle name="Normal 3" xfId="94" xr:uid="{00000000-0005-0000-0000-000062000000}"/>
    <cellStyle name="Normal 3 2" xfId="95" xr:uid="{00000000-0005-0000-0000-000063000000}"/>
    <cellStyle name="Normal 3 3" xfId="96" xr:uid="{00000000-0005-0000-0000-000064000000}"/>
    <cellStyle name="Normal 4" xfId="97" xr:uid="{00000000-0005-0000-0000-000065000000}"/>
    <cellStyle name="Normal 4 2" xfId="98" xr:uid="{00000000-0005-0000-0000-000066000000}"/>
    <cellStyle name="Normal 5" xfId="99" xr:uid="{00000000-0005-0000-0000-000067000000}"/>
    <cellStyle name="Normal 5 2" xfId="100" xr:uid="{00000000-0005-0000-0000-000068000000}"/>
    <cellStyle name="Normal 5 3" xfId="101" xr:uid="{00000000-0005-0000-0000-000069000000}"/>
    <cellStyle name="Normal 5 4" xfId="102" xr:uid="{00000000-0005-0000-0000-00006A000000}"/>
    <cellStyle name="Normal 6" xfId="103" xr:uid="{00000000-0005-0000-0000-00006B000000}"/>
    <cellStyle name="Normal 6 2" xfId="104" xr:uid="{00000000-0005-0000-0000-00006C000000}"/>
    <cellStyle name="Normal 7 2" xfId="105" xr:uid="{00000000-0005-0000-0000-00006D000000}"/>
    <cellStyle name="Normal 7 3" xfId="106" xr:uid="{00000000-0005-0000-0000-00006E000000}"/>
    <cellStyle name="Normal 8 2" xfId="107" xr:uid="{00000000-0005-0000-0000-00006F000000}"/>
    <cellStyle name="Normal 9" xfId="108" xr:uid="{00000000-0005-0000-0000-000070000000}"/>
    <cellStyle name="Normal_TZ_R3HIV_Phase_2_21_August_08" xfId="109" xr:uid="{00000000-0005-0000-0000-000071000000}"/>
    <cellStyle name="Note" xfId="110" xr:uid="{00000000-0005-0000-0000-000072000000}"/>
    <cellStyle name="Output" xfId="111" xr:uid="{00000000-0005-0000-0000-000073000000}"/>
    <cellStyle name="Percent" xfId="112" builtinId="5"/>
    <cellStyle name="Percent 2" xfId="113" xr:uid="{00000000-0005-0000-0000-000075000000}"/>
    <cellStyle name="Percent 3" xfId="114" xr:uid="{00000000-0005-0000-0000-000076000000}"/>
    <cellStyle name="Percent 4" xfId="115" xr:uid="{00000000-0005-0000-0000-000077000000}"/>
    <cellStyle name="Title" xfId="116" xr:uid="{00000000-0005-0000-0000-000078000000}"/>
    <cellStyle name="Título 3 3" xfId="117" xr:uid="{00000000-0005-0000-0000-000079000000}"/>
    <cellStyle name="Título 3 3_Prototipo" xfId="118" xr:uid="{00000000-0005-0000-0000-00007A000000}"/>
    <cellStyle name="Título 3 3_PrototipoRep1" xfId="119" xr:uid="{00000000-0005-0000-0000-00007B000000}"/>
    <cellStyle name="Título 3 7" xfId="120" xr:uid="{00000000-0005-0000-0000-00007C000000}"/>
    <cellStyle name="Warning Text" xfId="121" xr:uid="{00000000-0005-0000-0000-00007D000000}"/>
    <cellStyle name="Акцент1" xfId="122" xr:uid="{00000000-0005-0000-0000-00007E000000}"/>
    <cellStyle name="Акцент2" xfId="123" xr:uid="{00000000-0005-0000-0000-00007F000000}"/>
    <cellStyle name="Акцент3" xfId="124" xr:uid="{00000000-0005-0000-0000-000080000000}"/>
    <cellStyle name="Акцент4" xfId="125" xr:uid="{00000000-0005-0000-0000-000081000000}"/>
    <cellStyle name="Акцент5" xfId="126" xr:uid="{00000000-0005-0000-0000-000082000000}"/>
    <cellStyle name="Акцент6" xfId="127" xr:uid="{00000000-0005-0000-0000-000083000000}"/>
    <cellStyle name="Ввод " xfId="128" xr:uid="{00000000-0005-0000-0000-000084000000}"/>
    <cellStyle name="Вывод" xfId="129" xr:uid="{00000000-0005-0000-0000-000085000000}"/>
    <cellStyle name="Вычисление" xfId="130" xr:uid="{00000000-0005-0000-0000-000086000000}"/>
    <cellStyle name="Заголовок 1" xfId="131" xr:uid="{00000000-0005-0000-0000-000087000000}"/>
    <cellStyle name="Заголовок 2" xfId="132" xr:uid="{00000000-0005-0000-0000-000088000000}"/>
    <cellStyle name="Заголовок 3" xfId="133" xr:uid="{00000000-0005-0000-0000-000089000000}"/>
    <cellStyle name="Заголовок 4" xfId="134" xr:uid="{00000000-0005-0000-0000-00008A000000}"/>
    <cellStyle name="Итог" xfId="135" xr:uid="{00000000-0005-0000-0000-00008B000000}"/>
    <cellStyle name="Контрольная ячейка" xfId="136" xr:uid="{00000000-0005-0000-0000-00008C000000}"/>
    <cellStyle name="Название" xfId="137" xr:uid="{00000000-0005-0000-0000-00008D000000}"/>
    <cellStyle name="Нейтральный" xfId="138" xr:uid="{00000000-0005-0000-0000-00008E000000}"/>
    <cellStyle name="Обычный 2" xfId="139" xr:uid="{00000000-0005-0000-0000-00008F000000}"/>
    <cellStyle name="Обычный 3" xfId="140" xr:uid="{00000000-0005-0000-0000-000090000000}"/>
    <cellStyle name="Обычный_Книга1" xfId="141" xr:uid="{00000000-0005-0000-0000-000091000000}"/>
    <cellStyle name="Плохой" xfId="142" xr:uid="{00000000-0005-0000-0000-000092000000}"/>
    <cellStyle name="Пояснение" xfId="143" xr:uid="{00000000-0005-0000-0000-000093000000}"/>
    <cellStyle name="Примечание" xfId="144" xr:uid="{00000000-0005-0000-0000-000094000000}"/>
    <cellStyle name="Связанная ячейка" xfId="145" xr:uid="{00000000-0005-0000-0000-000095000000}"/>
    <cellStyle name="Текст предупреждения" xfId="146" xr:uid="{00000000-0005-0000-0000-000096000000}"/>
    <cellStyle name="Финансовый_AZE budget templates 21 May" xfId="147" xr:uid="{00000000-0005-0000-0000-000097000000}"/>
    <cellStyle name="Хороший" xfId="148" xr:uid="{00000000-0005-0000-0000-000098000000}"/>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5680060</c:v>
                </c:pt>
                <c:pt idx="4">
                  <c:v>6335975</c:v>
                </c:pt>
                <c:pt idx="5">
                  <c:v>7860521</c:v>
                </c:pt>
                <c:pt idx="6">
                  <c:v>7860521</c:v>
                </c:pt>
                <c:pt idx="7">
                  <c:v>7860521</c:v>
                </c:pt>
                <c:pt idx="8">
                  <c:v>7860521</c:v>
                </c:pt>
                <c:pt idx="9">
                  <c:v>7860521</c:v>
                </c:pt>
                <c:pt idx="10">
                  <c:v>7860521</c:v>
                </c:pt>
                <c:pt idx="11">
                  <c:v>7860521</c:v>
                </c:pt>
              </c:numCache>
            </c:numRef>
          </c:val>
          <c:extLs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459101760"/>
        <c:axId val="-459104480"/>
      </c:barChart>
      <c:catAx>
        <c:axId val="-45910176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459104480"/>
        <c:crosses val="autoZero"/>
        <c:auto val="1"/>
        <c:lblAlgn val="ctr"/>
        <c:lblOffset val="100"/>
        <c:tickLblSkip val="1"/>
        <c:tickMarkSkip val="1"/>
        <c:noMultiLvlLbl val="0"/>
      </c:catAx>
      <c:valAx>
        <c:axId val="-45910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45910176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pt idx="3">
                  <c:v>93</c:v>
                </c:pt>
                <c:pt idx="4">
                  <c:v>94</c:v>
                </c:pt>
                <c:pt idx="5">
                  <c:v>97</c:v>
                </c:pt>
                <c:pt idx="6">
                  <c:v>94</c:v>
                </c:pt>
              </c:numCache>
            </c:numRef>
          </c:val>
          <c:extLs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363444624"/>
        <c:axId val="-363451696"/>
      </c:barChart>
      <c:catAx>
        <c:axId val="-363444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63451696"/>
        <c:crosses val="autoZero"/>
        <c:auto val="1"/>
        <c:lblAlgn val="ctr"/>
        <c:lblOffset val="100"/>
        <c:tickLblSkip val="1"/>
        <c:tickMarkSkip val="1"/>
        <c:noMultiLvlLbl val="0"/>
      </c:catAx>
      <c:valAx>
        <c:axId val="-3634516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63444624"/>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pt idx="3">
                  <c:v>77</c:v>
                </c:pt>
                <c:pt idx="4">
                  <c:v>80</c:v>
                </c:pt>
                <c:pt idx="5">
                  <c:v>72</c:v>
                </c:pt>
                <c:pt idx="6">
                  <c:v>76</c:v>
                </c:pt>
              </c:numCache>
            </c:numRef>
          </c:val>
          <c:extLs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363450608"/>
        <c:axId val="-363441904"/>
      </c:barChart>
      <c:catAx>
        <c:axId val="-36345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63441904"/>
        <c:crosses val="autoZero"/>
        <c:auto val="1"/>
        <c:lblAlgn val="ctr"/>
        <c:lblOffset val="100"/>
        <c:tickLblSkip val="1"/>
        <c:tickMarkSkip val="1"/>
        <c:noMultiLvlLbl val="0"/>
      </c:catAx>
      <c:valAx>
        <c:axId val="-3634419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63450608"/>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5680060</c:v>
                </c:pt>
                <c:pt idx="4">
                  <c:v>6335975</c:v>
                </c:pt>
                <c:pt idx="5">
                  <c:v>7860521</c:v>
                </c:pt>
                <c:pt idx="6">
                  <c:v>7860521</c:v>
                </c:pt>
                <c:pt idx="7">
                  <c:v>7860521</c:v>
                </c:pt>
                <c:pt idx="8">
                  <c:v>7860521</c:v>
                </c:pt>
                <c:pt idx="9">
                  <c:v>7860521</c:v>
                </c:pt>
                <c:pt idx="10">
                  <c:v>7860521</c:v>
                </c:pt>
              </c:numCache>
            </c:numRef>
          </c:val>
          <c:extLs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363449520"/>
        <c:axId val="-363443536"/>
      </c:areaChart>
      <c:catAx>
        <c:axId val="-363449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363443536"/>
        <c:crosses val="autoZero"/>
        <c:auto val="1"/>
        <c:lblAlgn val="ctr"/>
        <c:lblOffset val="100"/>
        <c:tickLblSkip val="8"/>
        <c:tickMarkSkip val="1"/>
        <c:noMultiLvlLbl val="0"/>
      </c:catAx>
      <c:valAx>
        <c:axId val="-36344353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6344952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6335975</c:v>
                </c:pt>
                <c:pt idx="1">
                  <c:v>3582140.9772074781</c:v>
                </c:pt>
                <c:pt idx="2">
                  <c:v>608176.16354690201</c:v>
                </c:pt>
                <c:pt idx="3">
                  <c:v>642697.82999999996</c:v>
                </c:pt>
              </c:numCache>
            </c:numRef>
          </c:val>
          <c:extLs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0</c:v>
                </c:pt>
                <c:pt idx="1">
                  <c:v>571790.1502447502</c:v>
                </c:pt>
                <c:pt idx="2">
                  <c:v>96498.696951620557</c:v>
                </c:pt>
                <c:pt idx="3">
                  <c:v>93784.6</c:v>
                </c:pt>
              </c:numCache>
            </c:numRef>
          </c:val>
          <c:extLs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459108832"/>
        <c:axId val="-459108288"/>
      </c:barChart>
      <c:catAx>
        <c:axId val="-45910883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59108288"/>
        <c:crossesAt val="0"/>
        <c:auto val="1"/>
        <c:lblAlgn val="ctr"/>
        <c:lblOffset val="100"/>
        <c:noMultiLvlLbl val="0"/>
      </c:catAx>
      <c:valAx>
        <c:axId val="-45910828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910883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6469758.5609527454</c:v>
                </c:pt>
                <c:pt idx="1">
                  <c:v>729357.10636824102</c:v>
                </c:pt>
                <c:pt idx="2">
                  <c:v>169123.93047318101</c:v>
                </c:pt>
                <c:pt idx="3">
                  <c:v>561191.15113208361</c:v>
                </c:pt>
                <c:pt idx="4">
                  <c:v>572253.83133468975</c:v>
                </c:pt>
              </c:numCache>
            </c:numRef>
          </c:val>
          <c:extLs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3626455.3343556882</c:v>
                </c:pt>
                <c:pt idx="1">
                  <c:v>552720.02635172615</c:v>
                </c:pt>
                <c:pt idx="2">
                  <c:v>96689.541655198351</c:v>
                </c:pt>
                <c:pt idx="3">
                  <c:v>75278.877325461013</c:v>
                </c:pt>
                <c:pt idx="4">
                  <c:v>259703.22152940987</c:v>
                </c:pt>
              </c:numCache>
            </c:numRef>
          </c:val>
          <c:extLs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459102304"/>
        <c:axId val="-459114272"/>
      </c:barChart>
      <c:catAx>
        <c:axId val="-459102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59114272"/>
        <c:crosses val="autoZero"/>
        <c:auto val="1"/>
        <c:lblAlgn val="ctr"/>
        <c:lblOffset val="100"/>
        <c:tickMarkSkip val="1"/>
        <c:noMultiLvlLbl val="0"/>
      </c:catAx>
      <c:valAx>
        <c:axId val="-4591142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45910230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7AC-478B-A929-7E0D2AB282C9}"/>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11</c:v>
                </c:pt>
              </c:numCache>
            </c:numRef>
          </c:val>
          <c:extLs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459115904"/>
        <c:axId val="-45911372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11</c:v>
                </c:pt>
              </c:numCache>
            </c:numRef>
          </c:val>
          <c:extLs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Entry'!$E$79</c:f>
              <c:numCache>
                <c:formatCode>General</c:formatCode>
                <c:ptCount val="1"/>
                <c:pt idx="0">
                  <c:v>0</c:v>
                </c:pt>
              </c:numCache>
            </c:numRef>
          </c:val>
          <c:extLs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459113184"/>
        <c:axId val="-620717616"/>
      </c:barChart>
      <c:catAx>
        <c:axId val="-459115904"/>
        <c:scaling>
          <c:orientation val="minMax"/>
        </c:scaling>
        <c:delete val="1"/>
        <c:axPos val="l"/>
        <c:majorTickMark val="out"/>
        <c:minorTickMark val="none"/>
        <c:tickLblPos val="none"/>
        <c:crossAx val="-459113728"/>
        <c:crosses val="autoZero"/>
        <c:auto val="1"/>
        <c:lblAlgn val="ctr"/>
        <c:lblOffset val="100"/>
        <c:noMultiLvlLbl val="0"/>
      </c:catAx>
      <c:valAx>
        <c:axId val="-4591137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59115904"/>
        <c:crosses val="max"/>
        <c:crossBetween val="between"/>
      </c:valAx>
      <c:catAx>
        <c:axId val="-459113184"/>
        <c:scaling>
          <c:orientation val="minMax"/>
        </c:scaling>
        <c:delete val="1"/>
        <c:axPos val="l"/>
        <c:majorTickMark val="out"/>
        <c:minorTickMark val="none"/>
        <c:tickLblPos val="none"/>
        <c:crossAx val="-620717616"/>
        <c:crosses val="autoZero"/>
        <c:auto val="0"/>
        <c:lblAlgn val="ctr"/>
        <c:lblOffset val="100"/>
        <c:noMultiLvlLbl val="0"/>
      </c:catAx>
      <c:valAx>
        <c:axId val="-620717616"/>
        <c:scaling>
          <c:orientation val="minMax"/>
        </c:scaling>
        <c:delete val="0"/>
        <c:axPos val="b"/>
        <c:numFmt formatCode="0%" sourceLinked="1"/>
        <c:majorTickMark val="none"/>
        <c:minorTickMark val="none"/>
        <c:tickLblPos val="none"/>
        <c:spPr>
          <a:ln w="3175">
            <a:solidFill>
              <a:srgbClr val="000000"/>
            </a:solidFill>
            <a:prstDash val="solid"/>
          </a:ln>
        </c:spPr>
        <c:crossAx val="-459113184"/>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1</c:v>
                </c:pt>
              </c:numCache>
            </c:numRef>
          </c:val>
          <c:extLs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1</c:v>
                </c:pt>
              </c:numCache>
            </c:numRef>
          </c:val>
          <c:extLs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1</c:v>
                </c:pt>
              </c:numCache>
            </c:numRef>
          </c:val>
          <c:extLs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1</c:v>
                </c:pt>
              </c:numCache>
            </c:numRef>
          </c:val>
          <c:extLs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1</c:v>
                </c:pt>
              </c:numCache>
            </c:numRef>
          </c:val>
          <c:extLs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618786112"/>
        <c:axId val="-363441360"/>
      </c:barChart>
      <c:catAx>
        <c:axId val="-618786112"/>
        <c:scaling>
          <c:orientation val="minMax"/>
        </c:scaling>
        <c:delete val="0"/>
        <c:axPos val="b"/>
        <c:majorTickMark val="none"/>
        <c:minorTickMark val="none"/>
        <c:tickLblPos val="none"/>
        <c:spPr>
          <a:ln w="3175">
            <a:solidFill>
              <a:srgbClr val="000000"/>
            </a:solidFill>
            <a:prstDash val="solid"/>
          </a:ln>
        </c:spPr>
        <c:crossAx val="-363441360"/>
        <c:crosses val="autoZero"/>
        <c:auto val="0"/>
        <c:lblAlgn val="ctr"/>
        <c:lblOffset val="100"/>
        <c:tickMarkSkip val="1"/>
        <c:noMultiLvlLbl val="0"/>
      </c:catAx>
      <c:valAx>
        <c:axId val="-363441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18786112"/>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363446800"/>
        <c:axId val="-363440272"/>
      </c:barChart>
      <c:catAx>
        <c:axId val="-3634468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3440272"/>
        <c:crosses val="autoZero"/>
        <c:auto val="1"/>
        <c:lblAlgn val="ctr"/>
        <c:lblOffset val="100"/>
        <c:tickLblSkip val="1"/>
        <c:tickMarkSkip val="1"/>
        <c:noMultiLvlLbl val="0"/>
      </c:catAx>
      <c:valAx>
        <c:axId val="-36344027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3446800"/>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363447888"/>
        <c:axId val="-363442448"/>
      </c:barChart>
      <c:catAx>
        <c:axId val="-3634478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63442448"/>
        <c:crosses val="autoZero"/>
        <c:auto val="1"/>
        <c:lblAlgn val="ctr"/>
        <c:lblOffset val="100"/>
        <c:noMultiLvlLbl val="0"/>
      </c:catAx>
      <c:valAx>
        <c:axId val="-36344244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63447888"/>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828604.12925766793</c:v>
                </c:pt>
                <c:pt idx="4">
                  <c:v>913270.71308801917</c:v>
                </c:pt>
                <c:pt idx="5">
                  <c:v>1022932.8430880192</c:v>
                </c:pt>
                <c:pt idx="6">
                  <c:v>1236527.8430880192</c:v>
                </c:pt>
                <c:pt idx="7">
                  <c:v>1236527.8430880192</c:v>
                </c:pt>
                <c:pt idx="8">
                  <c:v>1236527.8430880192</c:v>
                </c:pt>
                <c:pt idx="9">
                  <c:v>1236527.8430880192</c:v>
                </c:pt>
                <c:pt idx="10">
                  <c:v>1236527.8430880192</c:v>
                </c:pt>
                <c:pt idx="11">
                  <c:v>1236527.8430880192</c:v>
                </c:pt>
              </c:numCache>
            </c:numRef>
          </c:val>
          <c:smooth val="0"/>
          <c:extLs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1582290</c:v>
                </c:pt>
                <c:pt idx="4">
                  <c:v>1820151</c:v>
                </c:pt>
                <c:pt idx="5">
                  <c:v>2445024</c:v>
                </c:pt>
                <c:pt idx="6">
                  <c:v>2771172</c:v>
                </c:pt>
                <c:pt idx="7">
                  <c:v>2771172</c:v>
                </c:pt>
                <c:pt idx="8">
                  <c:v>2771172</c:v>
                </c:pt>
                <c:pt idx="9">
                  <c:v>2771172</c:v>
                </c:pt>
                <c:pt idx="10">
                  <c:v>2771172</c:v>
                </c:pt>
                <c:pt idx="11">
                  <c:v>2771172</c:v>
                </c:pt>
              </c:numCache>
            </c:numRef>
          </c:val>
          <c:smooth val="0"/>
          <c:extLs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363451152"/>
        <c:axId val="-363453328"/>
      </c:lineChart>
      <c:catAx>
        <c:axId val="-363451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363453328"/>
        <c:crosses val="autoZero"/>
        <c:auto val="1"/>
        <c:lblAlgn val="ctr"/>
        <c:lblOffset val="100"/>
        <c:tickLblSkip val="1"/>
        <c:tickMarkSkip val="1"/>
        <c:noMultiLvlLbl val="0"/>
      </c:catAx>
      <c:valAx>
        <c:axId val="-3634533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363451152"/>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pt idx="3">
                  <c:v>18</c:v>
                </c:pt>
                <c:pt idx="4">
                  <c:v>15</c:v>
                </c:pt>
                <c:pt idx="5">
                  <c:v>12</c:v>
                </c:pt>
                <c:pt idx="6">
                  <c:v>8</c:v>
                </c:pt>
              </c:numCache>
            </c:numRef>
          </c:val>
          <c:extLs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363445712"/>
        <c:axId val="-363452784"/>
      </c:barChart>
      <c:catAx>
        <c:axId val="-363445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63452784"/>
        <c:crosses val="autoZero"/>
        <c:auto val="1"/>
        <c:lblAlgn val="ctr"/>
        <c:lblOffset val="100"/>
        <c:tickLblSkip val="1"/>
        <c:tickMarkSkip val="1"/>
        <c:noMultiLvlLbl val="0"/>
      </c:catAx>
      <c:valAx>
        <c:axId val="-36345278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63445712"/>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4" xr6:uid="{00000000-000C-0000-FFFF-FFFF37000000}" r="C46" connectionId="0">
    <xmlCellPr id="1" xr6:uid="{00000000-0010-0000-3700-000001000000}" uniqueName="1">
      <xmlPr mapId="43" xpath="/ns1:Root/ns1:F2/ns1:_Cumulative_Budget__in___" xmlDataType="string"/>
    </xmlCellPr>
  </singleXmlCell>
  <singleXmlCell id="475" xr6:uid="{00000000-000C-0000-FFFF-FFFF38000000}" r="D46" connectionId="0">
    <xmlCellPr id="1" xr6:uid="{00000000-0010-0000-3800-000001000000}" uniqueName="1">
      <xmlPr mapId="43" xpath="/ns1:Root/ns1:F2/ns1:_Cumulative_Expenditures__in___" xmlDataType="string"/>
    </xmlCellPr>
  </singleXmlCell>
  <singleXmlCell id="476" xr6:uid="{00000000-000C-0000-FFFF-FFFF39000000}" r="C52" connectionId="0">
    <xmlCellPr id="1" xr6:uid="{00000000-0010-0000-3900-000001000000}" uniqueName="1">
      <xmlPr mapId="43" xpath="/ns1:Root/ns1:F3/ns1:Disbursed_by_Global_Fund_Prior_to_reporting_period__in___" xmlDataType="double"/>
    </xmlCellPr>
  </singleXmlCell>
  <singleXmlCell id="477" xr6:uid="{00000000-000C-0000-FFFF-FFFF3A000000}" r="D52" connectionId="0">
    <xmlCellPr id="1" xr6:uid="{00000000-0010-0000-3A00-000001000000}" uniqueName="1">
      <xmlPr mapId="43" xpath="/ns1:Root/ns1:F3/ns1:Disbursed_by_Global_Fund_Reporting_period__in___" xmlDataType="double"/>
    </xmlCellPr>
  </singleXmlCell>
  <singleXmlCell id="478" xr6:uid="{00000000-000C-0000-FFFF-FFFF3B000000}" r="C53" connectionId="0">
    <xmlCellPr id="1" xr6:uid="{00000000-0010-0000-3B00-000001000000}" uniqueName="1">
      <xmlPr mapId="43" xpath="/ns1:Root/ns1:F3/ns1:PR_expenditure_and_disbursement_Prior_to_reporting_period__in___" xmlDataType="double"/>
    </xmlCellPr>
  </singleXmlCell>
  <singleXmlCell id="479" xr6:uid="{00000000-000C-0000-FFFF-FFFF3C000000}" r="D53" connectionId="0">
    <xmlCellPr id="1" xr6:uid="{00000000-0010-0000-3C00-000001000000}" uniqueName="1">
      <xmlPr mapId="43" xpath="/ns1:Root/ns1:F3/ns1:PR_expenditure_and_disbursement_Reporting_period__in___" xmlDataType="double"/>
    </xmlCellPr>
  </singleXmlCell>
  <singleXmlCell id="480" xr6:uid="{00000000-000C-0000-FFFF-FFFF3D000000}" r="C54" connectionId="0">
    <xmlCellPr id="1" xr6:uid="{00000000-0010-0000-3D00-000001000000}" uniqueName="1">
      <xmlPr mapId="43" xpath="/ns1:Root/ns1:F3/ns1:Disbursed_to_SRs_Prior_to_reporting_period__in___" xmlDataType="double"/>
    </xmlCellPr>
  </singleXmlCell>
  <singleXmlCell id="481" xr6:uid="{00000000-000C-0000-FFFF-FFFF3E000000}" r="D54" connectionId="0">
    <xmlCellPr id="1" xr6:uid="{00000000-0010-0000-3E00-000001000000}" uniqueName="1">
      <xmlPr mapId="43" xpath="/ns1:Root/ns1:F3/ns1:Disbursed_to_SRs_Reporting_period__in___" xmlDataType="double"/>
    </xmlCellPr>
  </singleXmlCell>
  <singleXmlCell id="482" xr6:uid="{00000000-000C-0000-FFFF-FFFF3F000000}" r="C55" connectionId="0">
    <xmlCellPr id="1" xr6:uid="{00000000-0010-0000-3F00-000001000000}" uniqueName="1">
      <xmlPr mapId="43" xpath="/ns1:Root/ns1:F3/ns1:SR_expenditures_Prior_to_reporting_period__in___" xmlDataType="double"/>
    </xmlCellPr>
  </singleXmlCell>
  <singleXmlCell id="483" xr6:uid="{00000000-000C-0000-FFFF-FFFF40000000}" r="D55" connectionId="0">
    <xmlCellPr id="1" xr6:uid="{00000000-0010-0000-4000-000001000000}" uniqueName="1">
      <xmlPr mapId="43" xpath="/ns1:Root/ns1:F3/ns1:SR_expenditures_Reporting_period__in___" xmlDataType="double"/>
    </xmlCellPr>
  </singleXmlCell>
  <singleXmlCell id="484" xr6:uid="{00000000-000C-0000-FFFF-FFFF41000000}" r="C62" connectionId="0">
    <xmlCellPr id="1" xr6:uid="{00000000-0010-0000-4100-000001000000}" uniqueName="1">
      <xmlPr mapId="43" xpath="/ns1:Root/ns1:F4/ns1:Days_taken_to_submit_acceptable_PU_DR_to_LFA_Expected__days_" xmlDataType="double"/>
    </xmlCellPr>
  </singleXmlCell>
  <singleXmlCell id="485" xr6:uid="{00000000-000C-0000-FFFF-FFFF42000000}" r="D62" connectionId="0">
    <xmlCellPr id="1" xr6:uid="{00000000-0010-0000-4200-000001000000}" uniqueName="1">
      <xmlPr mapId="43" xpath="/ns1:Root/ns1:F4/ns1:Days_taken_to_submit_acceptable_PU_DR_to_LFA_Actual__days_" xmlDataType="double"/>
    </xmlCellPr>
  </singleXmlCell>
  <singleXmlCell id="486" xr6:uid="{00000000-000C-0000-FFFF-FFFF43000000}" r="C63" connectionId="0">
    <xmlCellPr id="1" xr6:uid="{00000000-0010-0000-4300-000001000000}" uniqueName="1">
      <xmlPr mapId="43" xpath="/ns1:Root/ns1:F4/ns1:Days_taken_for_disbursement_to_reach_PR_Expected__days_" xmlDataType="double"/>
    </xmlCellPr>
  </singleXmlCell>
  <singleXmlCell id="487" xr6:uid="{00000000-000C-0000-FFFF-FFFF44000000}" r="D63" connectionId="0">
    <xmlCellPr id="1" xr6:uid="{00000000-0010-0000-4400-000001000000}" uniqueName="1">
      <xmlPr mapId="43" xpath="/ns1:Root/ns1:F4/ns1:Days_taken_for_disbursement_to_reach_PR_Actual__days_" xmlDataType="double"/>
    </xmlCellPr>
  </singleXmlCell>
  <singleXmlCell id="488" xr6:uid="{00000000-000C-0000-FFFF-FFFF45000000}" r="C64" connectionId="0">
    <xmlCellPr id="1" xr6:uid="{00000000-0010-0000-4500-000001000000}" uniqueName="1">
      <xmlPr mapId="43" xpath="/ns1:Root/ns1:F4/ns1:Days_taken_for_disbursement_to_reach_SRs__Expected__days_" xmlDataType="double"/>
    </xmlCellPr>
  </singleXmlCell>
  <singleXmlCell id="489" xr6:uid="{00000000-000C-0000-FFFF-FFFF46000000}" r="D64" connectionId="0">
    <xmlCellPr id="1" xr6:uid="{00000000-0010-0000-4600-000001000000}" uniqueName="1">
      <xmlPr mapId="43" xpath="/ns1:Root/ns1:F4/ns1:Days_taken_for_disbursement_to_reach_SRs__Actual__days_" xmlDataType="double"/>
    </xmlCellPr>
  </singleXmlCell>
  <singleXmlCell id="490" xr6:uid="{00000000-000C-0000-FFFF-FFFF47000000}" r="B72" connectionId="0">
    <xmlCellPr id="1" xr6:uid="{00000000-0010-0000-4700-000001000000}" uniqueName="1">
      <xmlPr mapId="43" xpath="/ns1:Root/ns1:M1/ns1:Conditions_precedents__CPs__" xmlDataType="string"/>
    </xmlCellPr>
  </singleXmlCell>
  <singleXmlCell id="491" xr6:uid="{00000000-000C-0000-FFFF-FFFF48000000}" r="D72" connectionId="0">
    <xmlCellPr id="1" xr6:uid="{00000000-0010-0000-4800-000001000000}" uniqueName="1">
      <xmlPr mapId="43" xpath="/ns1:Root/ns1:M1/ns1:Conditions_precedents__CPs__Fulfilled" xmlDataType="double"/>
    </xmlCellPr>
  </singleXmlCell>
  <singleXmlCell id="492" xr6:uid="{00000000-000C-0000-FFFF-FFFF49000000}" r="E72" connectionId="0">
    <xmlCellPr id="1" xr6:uid="{00000000-0010-0000-4900-000001000000}" uniqueName="1">
      <xmlPr mapId="43" xpath="/ns1:Root/ns1:M1/ns1:Conditions_precedents__CPs__Not_fulfilled__but_within_deadline" xmlDataType="double"/>
    </xmlCellPr>
  </singleXmlCell>
  <singleXmlCell id="493" xr6:uid="{00000000-000C-0000-FFFF-FFFF4A000000}" r="F72" connectionId="0">
    <xmlCellPr id="1" xr6:uid="{00000000-0010-0000-4A00-000001000000}" uniqueName="1">
      <xmlPr mapId="43" xpath="/ns1:Root/ns1:M1/ns1:Conditions_precedents__CPs__Not_fulfilled__and_past_the_deadline" xmlDataType="double"/>
    </xmlCellPr>
  </singleXmlCell>
  <singleXmlCell id="494" xr6:uid="{00000000-000C-0000-FFFF-FFFF4B000000}" r="B73" connectionId="0">
    <xmlCellPr id="1" xr6:uid="{00000000-0010-0000-4B00-000001000000}" uniqueName="1">
      <xmlPr mapId="43" xpath="/ns1:Root/ns1:M1/ns1:Time_Bound_Actions__TBAs__" xmlDataType="string"/>
    </xmlCellPr>
  </singleXmlCell>
  <singleXmlCell id="495" xr6:uid="{00000000-000C-0000-FFFF-FFFF4C000000}" r="D73" connectionId="0">
    <xmlCellPr id="1" xr6:uid="{00000000-0010-0000-4C00-000001000000}" uniqueName="1">
      <xmlPr mapId="43" xpath="/ns1:Root/ns1:M1/ns1:Time_Bound_Actions__TBAs__Fulfilled" xmlDataType="double"/>
    </xmlCellPr>
  </singleXmlCell>
  <singleXmlCell id="496" xr6:uid="{00000000-000C-0000-FFFF-FFFF4D000000}" r="E73" connectionId="0">
    <xmlCellPr id="1" xr6:uid="{00000000-0010-0000-4D00-000001000000}" uniqueName="1">
      <xmlPr mapId="43" xpath="/ns1:Root/ns1:M1/ns1:Time_Bound_Actions__TBAs__Not_fulfilled__but_within_deadline" xmlDataType="string"/>
    </xmlCellPr>
  </singleXmlCell>
  <singleXmlCell id="497" xr6:uid="{00000000-000C-0000-FFFF-FFFF4E000000}" r="F73" connectionId="0">
    <xmlCellPr id="1" xr6:uid="{00000000-0010-0000-4E00-000001000000}" uniqueName="1">
      <xmlPr mapId="43" xpath="/ns1:Root/ns1:M1/ns1:Time_Bound_Actions__TBAs__Not_fulfilled__and_past_the_deadline" xmlDataType="double"/>
    </xmlCellPr>
  </singleXmlCell>
  <singleXmlCell id="498" xr6:uid="{00000000-000C-0000-FFFF-FFFF4F000000}" r="C79" connectionId="0">
    <xmlCellPr id="1" xr6:uid="{00000000-0010-0000-4F00-000001000000}" uniqueName="1">
      <xmlPr mapId="43" xpath="/ns1:Root/ns1:M2/ns1:PMU_Planned" xmlDataType="double"/>
    </xmlCellPr>
  </singleXmlCell>
  <singleXmlCell id="499" xr6:uid="{00000000-000C-0000-FFFF-FFFF50000000}" r="D79" connectionId="0">
    <xmlCellPr id="1" xr6:uid="{00000000-0010-0000-5000-000001000000}" uniqueName="1">
      <xmlPr mapId="43" xpath="/ns1:Root/ns1:M2/ns1:PMU_Filled" xmlDataType="double"/>
    </xmlCellPr>
  </singleXmlCell>
  <singleXmlCell id="500" xr6:uid="{00000000-000C-0000-FFFF-FFFF51000000}" r="C84" connectionId="0">
    <xmlCellPr id="1" xr6:uid="{00000000-0010-0000-5100-000001000000}" uniqueName="1">
      <xmlPr mapId="43" xpath="/ns1:Root/ns1:M3/ns1:SRs_Identified" xmlDataType="double"/>
    </xmlCellPr>
  </singleXmlCell>
  <singleXmlCell id="501" xr6:uid="{00000000-000C-0000-FFFF-FFFF52000000}" r="D84" connectionId="0">
    <xmlCellPr id="1" xr6:uid="{00000000-0010-0000-5200-000001000000}" uniqueName="1">
      <xmlPr mapId="43" xpath="/ns1:Root/ns1:M3/ns1:SRs_Assessed" xmlDataType="double"/>
    </xmlCellPr>
  </singleXmlCell>
  <singleXmlCell id="502" xr6:uid="{00000000-000C-0000-FFFF-FFFF53000000}" r="E84" connectionId="0">
    <xmlCellPr id="1" xr6:uid="{00000000-0010-0000-5300-000001000000}" uniqueName="1">
      <xmlPr mapId="43" xpath="/ns1:Root/ns1:M3/ns1:SRs_Approved" xmlDataType="double"/>
    </xmlCellPr>
  </singleXmlCell>
  <singleXmlCell id="503" xr6:uid="{00000000-000C-0000-FFFF-FFFF54000000}" r="F84" connectionId="0">
    <xmlCellPr id="1" xr6:uid="{00000000-0010-0000-5400-000001000000}" uniqueName="1">
      <xmlPr mapId="43" xpath="/ns1:Root/ns1:M3/ns1:SRs_Signed" xmlDataType="double"/>
    </xmlCellPr>
  </singleXmlCell>
  <singleXmlCell id="504" xr6:uid="{00000000-000C-0000-FFFF-FFFF55000000}" r="G84" connectionId="0">
    <xmlCellPr id="1" xr6:uid="{00000000-0010-0000-5500-000001000000}" uniqueName="1">
      <xmlPr mapId="43" xpath="/ns1:Root/ns1:M3/ns1:SRs_Receiving_Funding" xmlDataType="double"/>
    </xmlCellPr>
  </singleXmlCell>
  <singleXmlCell id="506" xr6:uid="{00000000-000C-0000-FFFF-FFFF56000000}" r="C89" connectionId="0">
    <xmlCellPr id="1" xr6:uid="{00000000-0010-0000-5600-000001000000}" uniqueName="1">
      <xmlPr mapId="43" xpath="/ns1:Root/ns1:M4/ns1:SSR_to_SR__IR_____Expected" xmlDataType="string"/>
    </xmlCellPr>
  </singleXmlCell>
  <singleXmlCell id="507" xr6:uid="{00000000-000C-0000-FFFF-FFFF57000000}" r="D89" connectionId="0">
    <xmlCellPr id="1" xr6:uid="{00000000-0010-0000-5700-000001000000}" uniqueName="1">
      <xmlPr mapId="43" xpath="/ns1:Root/ns1:M4/ns1:SSR_to_SR__IR____Received" xmlDataType="string"/>
    </xmlCellPr>
  </singleXmlCell>
  <singleXmlCell id="509" xr6:uid="{00000000-000C-0000-FFFF-FFFF58000000}" r="C90" connectionId="0">
    <xmlCellPr id="1" xr6:uid="{00000000-0010-0000-5800-000001000000}" uniqueName="1">
      <xmlPr mapId="43" xpath="/ns1:Root/ns1:M4/ns1:SRs__IRs__to_PR____Expected" xmlDataType="double"/>
    </xmlCellPr>
  </singleXmlCell>
  <singleXmlCell id="510" xr6:uid="{00000000-000C-0000-FFFF-FFFF59000000}" r="D90" connectionId="0">
    <xmlCellPr id="1" xr6:uid="{00000000-0010-0000-5900-000001000000}" uniqueName="1">
      <xmlPr mapId="43" xpath="/ns1:Root/ns1:M4/ns1:SRs__IRs__to_PR___Received" xmlDataType="double"/>
    </xmlCellPr>
  </singleXmlCell>
  <singleXmlCell id="511" xr6:uid="{00000000-000C-0000-FFFF-FFFF5A000000}" r="C95" connectionId="0">
    <xmlCellPr id="1" xr6:uid="{00000000-0010-0000-5A00-000001000000}" uniqueName="1">
      <xmlPr mapId="43" xpath="/ns1:Root/ns1:M5/ns1:Budget_Approved__P1" xmlDataType="double"/>
    </xmlCellPr>
  </singleXmlCell>
  <singleXmlCell id="512" xr6:uid="{00000000-000C-0000-FFFF-FFFF5B000000}" r="D95" connectionId="0">
    <xmlCellPr id="1" xr6:uid="{00000000-0010-0000-5B00-000001000000}" uniqueName="1">
      <xmlPr mapId="43" xpath="/ns1:Root/ns1:M5/ns1:Budget_Approved__P2" xmlDataType="double"/>
    </xmlCellPr>
  </singleXmlCell>
  <singleXmlCell id="513" xr6:uid="{00000000-000C-0000-FFFF-FFFF5C000000}" r="E95" connectionId="0">
    <xmlCellPr id="1" xr6:uid="{00000000-0010-0000-5C00-000001000000}" uniqueName="1">
      <xmlPr mapId="43" xpath="/ns1:Root/ns1:M5/ns1:Budget_Approved__P3" xmlDataType="double"/>
    </xmlCellPr>
  </singleXmlCell>
  <singleXmlCell id="514" xr6:uid="{00000000-000C-0000-FFFF-FFFF5D000000}" r="F95" connectionId="0">
    <xmlCellPr id="1" xr6:uid="{00000000-0010-0000-5D00-000001000000}" uniqueName="1">
      <xmlPr mapId="43" xpath="/ns1:Root/ns1:M5/ns1:Budget_Approved__P4" xmlDataType="double"/>
    </xmlCellPr>
  </singleXmlCell>
  <singleXmlCell id="515" xr6:uid="{00000000-000C-0000-FFFF-FFFF5E000000}" r="G95" connectionId="0">
    <xmlCellPr id="1" xr6:uid="{00000000-0010-0000-5E00-000001000000}" uniqueName="1">
      <xmlPr mapId="43" xpath="/ns1:Root/ns1:M5/ns1:Budget_Approved__P5" xmlDataType="double"/>
    </xmlCellPr>
  </singleXmlCell>
  <singleXmlCell id="516" xr6:uid="{00000000-000C-0000-FFFF-FFFF5F000000}" r="H95" connectionId="0">
    <xmlCellPr id="1" xr6:uid="{00000000-0010-0000-5F00-000001000000}" uniqueName="1">
      <xmlPr mapId="43" xpath="/ns1:Root/ns1:M5/ns1:Budget_Approved__P6" xmlDataType="double"/>
    </xmlCellPr>
  </singleXmlCell>
  <singleXmlCell id="517" xr6:uid="{00000000-000C-0000-FFFF-FFFF60000000}" r="I95" connectionId="0">
    <xmlCellPr id="1" xr6:uid="{00000000-0010-0000-6000-000001000000}" uniqueName="1">
      <xmlPr mapId="43" xpath="/ns1:Root/ns1:M5/ns1:Budget_Approved__P7" xmlDataType="double"/>
    </xmlCellPr>
  </singleXmlCell>
  <singleXmlCell id="518" xr6:uid="{00000000-000C-0000-FFFF-FFFF61000000}" r="J95" connectionId="0">
    <xmlCellPr id="1" xr6:uid="{00000000-0010-0000-6100-000001000000}" uniqueName="1">
      <xmlPr mapId="43" xpath="/ns1:Root/ns1:M5/ns1:Budget_Approved__P8" xmlDataType="double"/>
    </xmlCellPr>
  </singleXmlCell>
  <singleXmlCell id="519" xr6:uid="{00000000-000C-0000-FFFF-FFFF62000000}" r="K95" connectionId="0">
    <xmlCellPr id="1" xr6:uid="{00000000-0010-0000-6200-000001000000}" uniqueName="1">
      <xmlPr mapId="43" xpath="/ns1:Root/ns1:M5/ns1:Budget_Approved__P9" xmlDataType="double"/>
    </xmlCellPr>
  </singleXmlCell>
  <singleXmlCell id="520" xr6:uid="{00000000-000C-0000-FFFF-FFFF63000000}" r="L95" connectionId="0">
    <xmlCellPr id="1" xr6:uid="{00000000-0010-0000-6300-000001000000}" uniqueName="1">
      <xmlPr mapId="43" xpath="/ns1:Root/ns1:M5/ns1:Budget_Approved__P10" xmlDataType="double"/>
    </xmlCellPr>
  </singleXmlCell>
  <singleXmlCell id="521" xr6:uid="{00000000-000C-0000-FFFF-FFFF64000000}" r="M95" connectionId="0">
    <xmlCellPr id="1" xr6:uid="{00000000-0010-0000-6400-000001000000}" uniqueName="1">
      <xmlPr mapId="43" xpath="/ns1:Root/ns1:M5/ns1:Budget_Approved__P11" xmlDataType="double"/>
    </xmlCellPr>
  </singleXmlCell>
  <singleXmlCell id="522" xr6:uid="{00000000-000C-0000-FFFF-FFFF65000000}" r="N95" connectionId="0">
    <xmlCellPr id="1" xr6:uid="{00000000-0010-0000-6500-000001000000}" uniqueName="1">
      <xmlPr mapId="43" xpath="/ns1:Root/ns1:M5/ns1:Budget_Approved__P12" xmlDataType="double"/>
    </xmlCellPr>
  </singleXmlCell>
  <singleXmlCell id="523" xr6:uid="{00000000-000C-0000-FFFF-FFFF66000000}" r="C96" connectionId="0">
    <xmlCellPr id="1" xr6:uid="{00000000-0010-0000-6600-000001000000}" uniqueName="1">
      <xmlPr mapId="43" xpath="/ns1:Root/ns1:M5/ns1:Obligations_P1" xmlDataType="double"/>
    </xmlCellPr>
  </singleXmlCell>
  <singleXmlCell id="524" xr6:uid="{00000000-000C-0000-FFFF-FFFF67000000}" r="D96" connectionId="0">
    <xmlCellPr id="1" xr6:uid="{00000000-0010-0000-6700-000001000000}" uniqueName="1">
      <xmlPr mapId="43" xpath="/ns1:Root/ns1:M5/ns1:Obligations_P2" xmlDataType="double"/>
    </xmlCellPr>
  </singleXmlCell>
  <singleXmlCell id="525" xr6:uid="{00000000-000C-0000-FFFF-FFFF68000000}" r="E96" connectionId="0">
    <xmlCellPr id="1" xr6:uid="{00000000-0010-0000-6800-000001000000}" uniqueName="1">
      <xmlPr mapId="43" xpath="/ns1:Root/ns1:M5/ns1:Obligations_P3" xmlDataType="double"/>
    </xmlCellPr>
  </singleXmlCell>
  <singleXmlCell id="526" xr6:uid="{00000000-000C-0000-FFFF-FFFF69000000}" r="F96" connectionId="0">
    <xmlCellPr id="1" xr6:uid="{00000000-0010-0000-6900-000001000000}" uniqueName="1">
      <xmlPr mapId="43" xpath="/ns1:Root/ns1:M5/ns1:Obligations_P4" xmlDataType="double"/>
    </xmlCellPr>
  </singleXmlCell>
  <singleXmlCell id="527" xr6:uid="{00000000-000C-0000-FFFF-FFFF6A000000}" r="G96" connectionId="0">
    <xmlCellPr id="1" xr6:uid="{00000000-0010-0000-6A00-000001000000}" uniqueName="1">
      <xmlPr mapId="43" xpath="/ns1:Root/ns1:M5/ns1:Obligations_P5" xmlDataType="double"/>
    </xmlCellPr>
  </singleXmlCell>
  <singleXmlCell id="528" xr6:uid="{00000000-000C-0000-FFFF-FFFF6B000000}" r="H96" connectionId="0">
    <xmlCellPr id="1" xr6:uid="{00000000-0010-0000-6B00-000001000000}" uniqueName="1">
      <xmlPr mapId="43" xpath="/ns1:Root/ns1:M5/ns1:Obligations_P6" xmlDataType="double"/>
    </xmlCellPr>
  </singleXmlCell>
  <singleXmlCell id="529" xr6:uid="{00000000-000C-0000-FFFF-FFFF6C000000}" r="I96" connectionId="0">
    <xmlCellPr id="1" xr6:uid="{00000000-0010-0000-6C00-000001000000}" uniqueName="1">
      <xmlPr mapId="43" xpath="/ns1:Root/ns1:M5/ns1:Obligations_P7" xmlDataType="double"/>
    </xmlCellPr>
  </singleXmlCell>
  <singleXmlCell id="530" xr6:uid="{00000000-000C-0000-FFFF-FFFF6D000000}" r="J96" connectionId="0">
    <xmlCellPr id="1" xr6:uid="{00000000-0010-0000-6D00-000001000000}" uniqueName="1">
      <xmlPr mapId="43" xpath="/ns1:Root/ns1:M5/ns1:Obligations_P8" xmlDataType="double"/>
    </xmlCellPr>
  </singleXmlCell>
  <singleXmlCell id="531" xr6:uid="{00000000-000C-0000-FFFF-FFFF6E000000}" r="K96" connectionId="0">
    <xmlCellPr id="1" xr6:uid="{00000000-0010-0000-6E00-000001000000}" uniqueName="1">
      <xmlPr mapId="43" xpath="/ns1:Root/ns1:M5/ns1:Obligations_P9" xmlDataType="double"/>
    </xmlCellPr>
  </singleXmlCell>
  <singleXmlCell id="532" xr6:uid="{00000000-000C-0000-FFFF-FFFF6F000000}" r="L96" connectionId="0">
    <xmlCellPr id="1" xr6:uid="{00000000-0010-0000-6F00-000001000000}" uniqueName="1">
      <xmlPr mapId="43" xpath="/ns1:Root/ns1:M5/ns1:Obligations_P10" xmlDataType="double"/>
    </xmlCellPr>
  </singleXmlCell>
  <singleXmlCell id="533" xr6:uid="{00000000-000C-0000-FFFF-FFFF70000000}" r="M96" connectionId="0">
    <xmlCellPr id="1" xr6:uid="{00000000-0010-0000-7000-000001000000}" uniqueName="1">
      <xmlPr mapId="43" xpath="/ns1:Root/ns1:M5/ns1:Obligations_P11" xmlDataType="double"/>
    </xmlCellPr>
  </singleXmlCell>
  <singleXmlCell id="534" xr6:uid="{00000000-000C-0000-FFFF-FFFF71000000}" r="N96" connectionId="0">
    <xmlCellPr id="1" xr6:uid="{00000000-0010-0000-7100-000001000000}" uniqueName="1">
      <xmlPr mapId="43" xpath="/ns1:Root/ns1:M5/ns1:Obligations_P12" xmlDataType="double"/>
    </xmlCellPr>
  </singleXmlCell>
  <singleXmlCell id="535" xr6:uid="{00000000-000C-0000-FFFF-FFFF72000000}" r="C97" connectionId="0">
    <xmlCellPr id="1" xr6:uid="{00000000-0010-0000-7200-000001000000}" uniqueName="1">
      <xmlPr mapId="43" xpath="/ns1:Root/ns1:M5/ns1:Expenditures_P1" xmlDataType="double"/>
    </xmlCellPr>
  </singleXmlCell>
  <singleXmlCell id="536" xr6:uid="{00000000-000C-0000-FFFF-FFFF73000000}" r="D97" connectionId="0">
    <xmlCellPr id="1" xr6:uid="{00000000-0010-0000-7300-000001000000}" uniqueName="1">
      <xmlPr mapId="43" xpath="/ns1:Root/ns1:M5/ns1:Expenditures_P2" xmlDataType="double"/>
    </xmlCellPr>
  </singleXmlCell>
  <singleXmlCell id="537" xr6:uid="{00000000-000C-0000-FFFF-FFFF74000000}" r="E97" connectionId="0">
    <xmlCellPr id="1" xr6:uid="{00000000-0010-0000-7400-000001000000}" uniqueName="1">
      <xmlPr mapId="43" xpath="/ns1:Root/ns1:M5/ns1:Expenditures_P3" xmlDataType="double"/>
    </xmlCellPr>
  </singleXmlCell>
  <singleXmlCell id="538" xr6:uid="{00000000-000C-0000-FFFF-FFFF75000000}" r="F97" connectionId="0">
    <xmlCellPr id="1" xr6:uid="{00000000-0010-0000-7500-000001000000}" uniqueName="1">
      <xmlPr mapId="43" xpath="/ns1:Root/ns1:M5/ns1:Expenditures_P4" xmlDataType="double"/>
    </xmlCellPr>
  </singleXmlCell>
  <singleXmlCell id="539" xr6:uid="{00000000-000C-0000-FFFF-FFFF76000000}" r="G97" connectionId="0">
    <xmlCellPr id="1" xr6:uid="{00000000-0010-0000-7600-000001000000}" uniqueName="1">
      <xmlPr mapId="43" xpath="/ns1:Root/ns1:M5/ns1:Expenditures_P5" xmlDataType="double"/>
    </xmlCellPr>
  </singleXmlCell>
  <singleXmlCell id="540" xr6:uid="{00000000-000C-0000-FFFF-FFFF77000000}" r="H97" connectionId="0">
    <xmlCellPr id="1" xr6:uid="{00000000-0010-0000-7700-000001000000}" uniqueName="1">
      <xmlPr mapId="43" xpath="/ns1:Root/ns1:M5/ns1:Expenditures_P6" xmlDataType="double"/>
    </xmlCellPr>
  </singleXmlCell>
  <singleXmlCell id="541" xr6:uid="{00000000-000C-0000-FFFF-FFFF78000000}" r="I97" connectionId="0">
    <xmlCellPr id="1" xr6:uid="{00000000-0010-0000-7800-000001000000}" uniqueName="1">
      <xmlPr mapId="43" xpath="/ns1:Root/ns1:M5/ns1:Expenditures_P7" xmlDataType="double"/>
    </xmlCellPr>
  </singleXmlCell>
  <singleXmlCell id="542" xr6:uid="{00000000-000C-0000-FFFF-FFFF79000000}" r="J97" connectionId="0">
    <xmlCellPr id="1" xr6:uid="{00000000-0010-0000-7900-000001000000}" uniqueName="1">
      <xmlPr mapId="43" xpath="/ns1:Root/ns1:M5/ns1:Expenditures_P8" xmlDataType="double"/>
    </xmlCellPr>
  </singleXmlCell>
  <singleXmlCell id="543" xr6:uid="{00000000-000C-0000-FFFF-FFFF7A000000}" r="K97" connectionId="0">
    <xmlCellPr id="1" xr6:uid="{00000000-0010-0000-7A00-000001000000}" uniqueName="1">
      <xmlPr mapId="43" xpath="/ns1:Root/ns1:M5/ns1:Expenditures_P9" xmlDataType="double"/>
    </xmlCellPr>
  </singleXmlCell>
  <singleXmlCell id="544" xr6:uid="{00000000-000C-0000-FFFF-FFFF7B000000}" r="L97" connectionId="0">
    <xmlCellPr id="1" xr6:uid="{00000000-0010-0000-7B00-000001000000}" uniqueName="1">
      <xmlPr mapId="43" xpath="/ns1:Root/ns1:M5/ns1:Expenditures_P10" xmlDataType="double"/>
    </xmlCellPr>
  </singleXmlCell>
  <singleXmlCell id="545" xr6:uid="{00000000-000C-0000-FFFF-FFFF7C000000}" r="M97" connectionId="0">
    <xmlCellPr id="1" xr6:uid="{00000000-0010-0000-7C00-000001000000}" uniqueName="1">
      <xmlPr mapId="43" xpath="/ns1:Root/ns1:M5/ns1:Expenditures_P11" xmlDataType="double"/>
    </xmlCellPr>
  </singleXmlCell>
  <singleXmlCell id="546" xr6:uid="{00000000-000C-0000-FFFF-FFFF7D000000}" r="N97" connectionId="0">
    <xmlCellPr id="1" xr6:uid="{00000000-0010-0000-7D00-000001000000}" uniqueName="1">
      <xmlPr mapId="43" xpath="/ns1:Root/ns1:M5/ns1:Expenditures_P12" xmlDataType="double"/>
    </xmlCellPr>
  </singleXmlCell>
  <singleXmlCell id="547" xr6:uid="{00000000-000C-0000-FFFF-FFFF7E000000}" r="C108" connectionId="0">
    <xmlCellPr id="1" xr6:uid="{00000000-0010-0000-7E00-000001000000}" uniqueName="1">
      <xmlPr mapId="43" xpath="/ns1:Root/ns1:M6/ns1:HIV___AIDS_Products" xmlDataType="string"/>
    </xmlCellPr>
  </singleXmlCell>
  <singleXmlCell id="548" xr6:uid="{00000000-000C-0000-FFFF-FFFF7F000000}" r="D108" connectionId="0">
    <xmlCellPr id="1" xr6:uid="{00000000-0010-0000-7F00-000001000000}" uniqueName="1">
      <xmlPr mapId="43" xpath="/ns1:Root/ns1:M6/ns1:HIV___AIDS__1__Number_of_tablets_per_patient_per_day__Review_country_treatment_guidelines_" xmlDataType="double"/>
    </xmlCellPr>
  </singleXmlCell>
  <singleXmlCell id="549" xr6:uid="{00000000-000C-0000-FFFF-FFFF80000000}" r="F108" connectionId="0">
    <xmlCellPr id="1" xr6:uid="{00000000-0010-0000-8000-000001000000}" uniqueName="1">
      <xmlPr mapId="43" xpath="/ns1:Root/ns1:M6/ns1:HIV___AIDS__3__Total_patients_in_treatment" xmlDataType="double"/>
    </xmlCellPr>
  </singleXmlCell>
  <singleXmlCell id="550" xr6:uid="{00000000-000C-0000-FFFF-FFFF81000000}" r="H108" connectionId="0">
    <xmlCellPr id="1" xr6:uid="{00000000-0010-0000-8100-000001000000}" uniqueName="1">
      <xmlPr mapId="43" xpath="/ns1:Root/ns1:M6/ns1:HIV___AIDS__5__Current_stock_in_central_warehouse__that_does_not_expire_within_the_next_3_months_" xmlDataType="double"/>
    </xmlCellPr>
  </singleXmlCell>
  <singleXmlCell id="551" xr6:uid="{00000000-000C-0000-FFFF-FFFF82000000}" r="J108" connectionId="0">
    <xmlCellPr id="1" xr6:uid="{00000000-0010-0000-8200-000001000000}" uniqueName="1">
      <xmlPr mapId="43" xpath="/ns1:Root/ns1:M6/ns1:HIV___AIDS__7__Level_of_safety_stock__expressed_in_months_and_defined_by_country__" xmlDataType="double"/>
    </xmlCellPr>
  </singleXmlCell>
  <singleXmlCell id="552" xr6:uid="{00000000-000C-0000-FFFF-FFFF83000000}" r="C109" connectionId="0">
    <xmlCellPr id="1" xr6:uid="{00000000-0010-0000-8300-000001000000}" uniqueName="1">
      <xmlPr mapId="43" xpath="/ns1:Root/ns1:M6/ns1:_Products_1" xmlDataType="string"/>
    </xmlCellPr>
  </singleXmlCell>
  <singleXmlCell id="553" xr6:uid="{00000000-000C-0000-FFFF-FFFF84000000}" r="D109" connectionId="0">
    <xmlCellPr id="1" xr6:uid="{00000000-0010-0000-8400-000001000000}" uniqueName="1">
      <xmlPr mapId="43" xpath="/ns1:Root/ns1:M6/ns1:__1__Number_of_tablets_per_patient_per_day__Review_country_treatment_guidelines__1" xmlDataType="double"/>
    </xmlCellPr>
  </singleXmlCell>
  <singleXmlCell id="554" xr6:uid="{00000000-000C-0000-FFFF-FFFF85000000}" r="F109" connectionId="0">
    <xmlCellPr id="1" xr6:uid="{00000000-0010-0000-8500-000001000000}" uniqueName="1">
      <xmlPr mapId="43" xpath="/ns1:Root/ns1:M6/ns1:__3__Total_patients_in_treatment_1" xmlDataType="double"/>
    </xmlCellPr>
  </singleXmlCell>
  <singleXmlCell id="555" xr6:uid="{00000000-000C-0000-FFFF-FFFF86000000}" r="H109" connectionId="0">
    <xmlCellPr id="1" xr6:uid="{00000000-0010-0000-8600-000001000000}" uniqueName="1">
      <xmlPr mapId="43" xpath="/ns1:Root/ns1:M6/ns1:__5__Current_stock_in_central_warehouse__that_does_not_expire_within_the_next_3_months__1" xmlDataType="double"/>
    </xmlCellPr>
  </singleXmlCell>
  <singleXmlCell id="556" xr6:uid="{00000000-000C-0000-FFFF-FFFF87000000}" r="J109" connectionId="0">
    <xmlCellPr id="1" xr6:uid="{00000000-0010-0000-8700-000001000000}" uniqueName="1">
      <xmlPr mapId="43" xpath="/ns1:Root/ns1:M6/ns1:__7__Level_of_safety_stock__expressed_in_months_and_defined_by_country___1" xmlDataType="double"/>
    </xmlCellPr>
  </singleXmlCell>
  <singleXmlCell id="557" xr6:uid="{00000000-000C-0000-FFFF-FFFF88000000}" r="C110" connectionId="0">
    <xmlCellPr id="1" xr6:uid="{00000000-0010-0000-8800-000001000000}" uniqueName="1">
      <xmlPr mapId="43" xpath="/ns1:Root/ns1:M6/ns1:_Products_2" xmlDataType="string"/>
    </xmlCellPr>
  </singleXmlCell>
  <singleXmlCell id="558" xr6:uid="{00000000-000C-0000-FFFF-FFFF89000000}" r="D110" connectionId="0">
    <xmlCellPr id="1" xr6:uid="{00000000-0010-0000-8900-000001000000}" uniqueName="1">
      <xmlPr mapId="43" xpath="/ns1:Root/ns1:M6/ns1:__1__Number_of_tablets_per_patient_per_day__Review_country_treatment_guidelines__2" xmlDataType="double"/>
    </xmlCellPr>
  </singleXmlCell>
  <singleXmlCell id="559" xr6:uid="{00000000-000C-0000-FFFF-FFFF8A000000}" r="F110" connectionId="0">
    <xmlCellPr id="1" xr6:uid="{00000000-0010-0000-8A00-000001000000}" uniqueName="1">
      <xmlPr mapId="43" xpath="/ns1:Root/ns1:M6/ns1:__3__Total_patients_in_treatment_2" xmlDataType="double"/>
    </xmlCellPr>
  </singleXmlCell>
  <singleXmlCell id="560" xr6:uid="{00000000-000C-0000-FFFF-FFFF8B000000}" r="H110" connectionId="0">
    <xmlCellPr id="1" xr6:uid="{00000000-0010-0000-8B00-000001000000}" uniqueName="1">
      <xmlPr mapId="43" xpath="/ns1:Root/ns1:M6/ns1:__5__Current_stock_in_central_warehouse__that_does_not_expire_within_the_next_3_months__2" xmlDataType="double"/>
    </xmlCellPr>
  </singleXmlCell>
  <singleXmlCell id="561" xr6:uid="{00000000-000C-0000-FFFF-FFFF8C000000}" r="J110" connectionId="0">
    <xmlCellPr id="1" xr6:uid="{00000000-0010-0000-8C00-000001000000}" uniqueName="1">
      <xmlPr mapId="43" xpath="/ns1:Root/ns1:M6/ns1:__7__Level_of_safety_stock__expressed_in_months_and_defined_by_country___2" xmlDataType="double"/>
    </xmlCellPr>
  </singleXmlCell>
  <singleXmlCell id="562" xr6:uid="{00000000-000C-0000-FFFF-FFFF8D000000}" r="C111" connectionId="0">
    <xmlCellPr id="1" xr6:uid="{00000000-0010-0000-8D00-000001000000}" uniqueName="1">
      <xmlPr mapId="43" xpath="/ns1:Root/ns1:M6/ns1:_Products" xmlDataType="string"/>
    </xmlCellPr>
  </singleXmlCell>
  <singleXmlCell id="563" xr6:uid="{00000000-000C-0000-FFFF-FFFF8E000000}" r="D111" connectionId="0">
    <xmlCellPr id="1" xr6:uid="{00000000-0010-0000-8E00-000001000000}" uniqueName="1">
      <xmlPr mapId="43" xpath="/ns1:Root/ns1:M6/ns1:__1__Number_of_tablets_per_patient_per_day__Review_country_treatment_guidelines_" xmlDataType="double"/>
    </xmlCellPr>
  </singleXmlCell>
  <singleXmlCell id="564" xr6:uid="{00000000-000C-0000-FFFF-FFFF8F000000}" r="F111" connectionId="0">
    <xmlCellPr id="1" xr6:uid="{00000000-0010-0000-8F00-000001000000}" uniqueName="1">
      <xmlPr mapId="43" xpath="/ns1:Root/ns1:M6/ns1:__3__Total_patients_in_treatment" xmlDataType="double"/>
    </xmlCellPr>
  </singleXmlCell>
  <singleXmlCell id="565" xr6:uid="{00000000-000C-0000-FFFF-FFFF90000000}" r="H111" connectionId="0">
    <xmlCellPr id="1" xr6:uid="{00000000-0010-0000-9000-000001000000}" uniqueName="1">
      <xmlPr mapId="43" xpath="/ns1:Root/ns1:M6/ns1:__5__Current_stock_in_central_warehouse__that_does_not_expire_within_the_next_3_months_" xmlDataType="double"/>
    </xmlCellPr>
  </singleXmlCell>
  <singleXmlCell id="566" xr6:uid="{00000000-000C-0000-FFFF-FFFF91000000}" r="J111" connectionId="0">
    <xmlCellPr id="1" xr6:uid="{00000000-0010-0000-9100-000001000000}" uniqueName="1">
      <xmlPr mapId="43" xpath="/ns1:Root/ns1:M6/ns1:__7__Level_of_safety_stock__expressed_in_months_and_defined_by_country__" xmlDataType="double"/>
    </xmlCellPr>
  </singleXmlCell>
  <singleXmlCell id="567" xr6:uid="{00000000-000C-0000-FFFF-FFFF92000000}" r="H118" connectionId="0">
    <xmlCellPr id="1" xr6:uid="{00000000-0010-0000-9200-000001000000}" uniqueName="1">
      <xmlPr mapId="43" xpath="/ns1:Root/ns1:Prog/ns1:Target_P1_1" xmlDataType="double"/>
    </xmlCellPr>
  </singleXmlCell>
  <singleXmlCell id="571" xr6:uid="{00000000-000C-0000-FFFF-FFFF93000000}" r="L118" connectionId="0">
    <xmlCellPr id="1" xr6:uid="{00000000-0010-0000-9300-000001000000}" uniqueName="1">
      <xmlPr mapId="43" xpath="/ns1:Root/ns1:Prog/ns1:Target_P5_1" xmlDataType="double"/>
    </xmlCellPr>
  </singleXmlCell>
  <singleXmlCell id="572" xr6:uid="{00000000-000C-0000-FFFF-FFFF94000000}" r="M118" connectionId="0">
    <xmlCellPr id="1" xr6:uid="{00000000-0010-0000-9400-000001000000}" uniqueName="1">
      <xmlPr mapId="43" xpath="/ns1:Root/ns1:Prog/ns1:Target_P6_1" xmlDataType="double"/>
    </xmlCellPr>
  </singleXmlCell>
  <singleXmlCell id="573" xr6:uid="{00000000-000C-0000-FFFF-FFFF95000000}" r="N118" connectionId="0">
    <xmlCellPr id="1" xr6:uid="{00000000-0010-0000-9500-000001000000}" uniqueName="1">
      <xmlPr mapId="43" xpath="/ns1:Root/ns1:Prog/ns1:Target_P7_1" xmlDataType="double"/>
    </xmlCellPr>
  </singleXmlCell>
  <singleXmlCell id="574" xr6:uid="{00000000-000C-0000-FFFF-FFFF96000000}" r="O118" connectionId="0">
    <xmlCellPr id="1" xr6:uid="{00000000-0010-0000-9600-000001000000}" uniqueName="1">
      <xmlPr mapId="43" xpath="/ns1:Root/ns1:Prog/ns1:Target_P8_1" xmlDataType="double"/>
    </xmlCellPr>
  </singleXmlCell>
  <singleXmlCell id="575" xr6:uid="{00000000-000C-0000-FFFF-FFFF97000000}" r="P118" connectionId="0">
    <xmlCellPr id="1" xr6:uid="{00000000-0010-0000-9700-000001000000}" uniqueName="1">
      <xmlPr mapId="43" xpath="/ns1:Root/ns1:Prog/ns1:Target_P9_1" xmlDataType="double"/>
    </xmlCellPr>
  </singleXmlCell>
  <singleXmlCell id="576" xr6:uid="{00000000-000C-0000-FFFF-FFFF98000000}" r="Q118" connectionId="0">
    <xmlCellPr id="1" xr6:uid="{00000000-0010-0000-9800-000001000000}" uniqueName="1">
      <xmlPr mapId="43" xpath="/ns1:Root/ns1:Prog/ns1:Target_P10_1" xmlDataType="double"/>
    </xmlCellPr>
  </singleXmlCell>
  <singleXmlCell id="577" xr6:uid="{00000000-000C-0000-FFFF-FFFF99000000}" r="R118" connectionId="0">
    <xmlCellPr id="1" xr6:uid="{00000000-0010-0000-9900-000001000000}" uniqueName="1">
      <xmlPr mapId="43" xpath="/ns1:Root/ns1:Prog/ns1:Target_P11_1" xmlDataType="double"/>
    </xmlCellPr>
  </singleXmlCell>
  <singleXmlCell id="578" xr6:uid="{00000000-000C-0000-FFFF-FFFF9A000000}" r="S118" connectionId="0">
    <xmlCellPr id="1" xr6:uid="{00000000-0010-0000-9A00-000001000000}" uniqueName="1">
      <xmlPr mapId="43" xpath="/ns1:Root/ns1:Prog/ns1:Target_P12_1" xmlDataType="double"/>
    </xmlCellPr>
  </singleXmlCell>
  <singleXmlCell id="579" xr6:uid="{00000000-000C-0000-FFFF-FFFF9B000000}" r="H119" connectionId="0">
    <xmlCellPr id="1" xr6:uid="{00000000-0010-0000-9B00-000001000000}" uniqueName="1">
      <xmlPr mapId="43" xpath="/ns1:Root/ns1:Prog/ns1:Achieved__P1_1" xmlDataType="double"/>
    </xmlCellPr>
  </singleXmlCell>
  <singleXmlCell id="580" xr6:uid="{00000000-000C-0000-FFFF-FFFF9C000000}" r="I119" connectionId="0">
    <xmlCellPr id="1" xr6:uid="{00000000-0010-0000-9C00-000001000000}" uniqueName="1">
      <xmlPr mapId="43" xpath="/ns1:Root/ns1:Prog/ns1:Achieved__P2_1" xmlDataType="double"/>
    </xmlCellPr>
  </singleXmlCell>
  <singleXmlCell id="581" xr6:uid="{00000000-000C-0000-FFFF-FFFF9D000000}" r="J119" connectionId="0">
    <xmlCellPr id="1" xr6:uid="{00000000-0010-0000-9D00-000001000000}" uniqueName="1">
      <xmlPr mapId="43" xpath="/ns1:Root/ns1:Prog/ns1:Achieved__P3_1" xmlDataType="double"/>
    </xmlCellPr>
  </singleXmlCell>
  <singleXmlCell id="582" xr6:uid="{00000000-000C-0000-FFFF-FFFF9E000000}" r="K119" connectionId="0">
    <xmlCellPr id="1" xr6:uid="{00000000-0010-0000-9E00-000001000000}" uniqueName="1">
      <xmlPr mapId="43" xpath="/ns1:Root/ns1:Prog/ns1:Achieved__P4_1" xmlDataType="double"/>
    </xmlCellPr>
  </singleXmlCell>
  <singleXmlCell id="583" xr6:uid="{00000000-000C-0000-FFFF-FFFF9F000000}" r="L119" connectionId="0">
    <xmlCellPr id="1" xr6:uid="{00000000-0010-0000-9F00-000001000000}" uniqueName="1">
      <xmlPr mapId="43" xpath="/ns1:Root/ns1:Prog/ns1:Achieved__P5_1" xmlDataType="string"/>
    </xmlCellPr>
  </singleXmlCell>
  <singleXmlCell id="584" xr6:uid="{00000000-000C-0000-FFFF-FFFFA0000000}" r="M119" connectionId="0">
    <xmlCellPr id="1" xr6:uid="{00000000-0010-0000-A000-000001000000}" uniqueName="1">
      <xmlPr mapId="43" xpath="/ns1:Root/ns1:Prog/ns1:Achieved__P6_1" xmlDataType="string"/>
    </xmlCellPr>
  </singleXmlCell>
  <singleXmlCell id="585" xr6:uid="{00000000-000C-0000-FFFF-FFFFA1000000}" r="N119" connectionId="0">
    <xmlCellPr id="1" xr6:uid="{00000000-0010-0000-A100-000001000000}" uniqueName="1">
      <xmlPr mapId="43" xpath="/ns1:Root/ns1:Prog/ns1:Achieved__P7_1" xmlDataType="string"/>
    </xmlCellPr>
  </singleXmlCell>
  <singleXmlCell id="586" xr6:uid="{00000000-000C-0000-FFFF-FFFFA2000000}" r="O119" connectionId="0">
    <xmlCellPr id="1" xr6:uid="{00000000-0010-0000-A200-000001000000}" uniqueName="1">
      <xmlPr mapId="43" xpath="/ns1:Root/ns1:Prog/ns1:Achieved__P8_1" xmlDataType="string"/>
    </xmlCellPr>
  </singleXmlCell>
  <singleXmlCell id="587" xr6:uid="{00000000-000C-0000-FFFF-FFFFA3000000}" r="P119" connectionId="0">
    <xmlCellPr id="1" xr6:uid="{00000000-0010-0000-A300-000001000000}" uniqueName="1">
      <xmlPr mapId="43" xpath="/ns1:Root/ns1:Prog/ns1:Achieved__P9_1" xmlDataType="string"/>
    </xmlCellPr>
  </singleXmlCell>
  <singleXmlCell id="588" xr6:uid="{00000000-000C-0000-FFFF-FFFFA4000000}" r="Q119" connectionId="0">
    <xmlCellPr id="1" xr6:uid="{00000000-0010-0000-A400-000001000000}" uniqueName="1">
      <xmlPr mapId="43" xpath="/ns1:Root/ns1:Prog/ns1:Achieved__P10_1" xmlDataType="string"/>
    </xmlCellPr>
  </singleXmlCell>
  <singleXmlCell id="589" xr6:uid="{00000000-000C-0000-FFFF-FFFFA5000000}" r="R119" connectionId="0">
    <xmlCellPr id="1" xr6:uid="{00000000-0010-0000-A500-000001000000}" uniqueName="1">
      <xmlPr mapId="43" xpath="/ns1:Root/ns1:Prog/ns1:Achieved__P11_1" xmlDataType="string"/>
    </xmlCellPr>
  </singleXmlCell>
  <singleXmlCell id="590" xr6:uid="{00000000-000C-0000-FFFF-FFFFA6000000}" r="S119" connectionId="0">
    <xmlCellPr id="1" xr6:uid="{00000000-0010-0000-A600-000001000000}" uniqueName="1">
      <xmlPr mapId="43" xpath="/ns1:Root/ns1:Prog/ns1:Achieved__P12_1" xmlDataType="string"/>
    </xmlCellPr>
  </singleXmlCell>
  <singleXmlCell id="591" xr6:uid="{00000000-000C-0000-FFFF-FFFFA7000000}" r="H120" connectionId="0">
    <xmlCellPr id="1" xr6:uid="{00000000-0010-0000-A700-000001000000}" uniqueName="1">
      <xmlPr mapId="43" xpath="/ns1:Root/ns1:Prog/ns1:Target_P1_2" xmlDataType="double"/>
    </xmlCellPr>
  </singleXmlCell>
  <singleXmlCell id="592" xr6:uid="{00000000-000C-0000-FFFF-FFFFA8000000}" r="I120" connectionId="0">
    <xmlCellPr id="1" xr6:uid="{00000000-0010-0000-A800-000001000000}" uniqueName="1">
      <xmlPr mapId="43" xpath="/ns1:Root/ns1:Prog/ns1:Target_P2_2" xmlDataType="double"/>
    </xmlCellPr>
  </singleXmlCell>
  <singleXmlCell id="593" xr6:uid="{00000000-000C-0000-FFFF-FFFFA9000000}" r="J120" connectionId="0">
    <xmlCellPr id="1" xr6:uid="{00000000-0010-0000-A900-000001000000}" uniqueName="1">
      <xmlPr mapId="43" xpath="/ns1:Root/ns1:Prog/ns1:Target_P3_2" xmlDataType="double"/>
    </xmlCellPr>
  </singleXmlCell>
  <singleXmlCell id="594" xr6:uid="{00000000-000C-0000-FFFF-FFFFAA000000}" r="L120" connectionId="0">
    <xmlCellPr id="1" xr6:uid="{00000000-0010-0000-AA00-000001000000}" uniqueName="1">
      <xmlPr mapId="43" xpath="/ns1:Root/ns1:Prog/ns1:Target_P5_2" xmlDataType="double"/>
    </xmlCellPr>
  </singleXmlCell>
  <singleXmlCell id="595" xr6:uid="{00000000-000C-0000-FFFF-FFFFAB000000}" r="M120" connectionId="0">
    <xmlCellPr id="1" xr6:uid="{00000000-0010-0000-AB00-000001000000}" uniqueName="1">
      <xmlPr mapId="43" xpath="/ns1:Root/ns1:Prog/ns1:Target_P6_2" xmlDataType="double"/>
    </xmlCellPr>
  </singleXmlCell>
  <singleXmlCell id="596" xr6:uid="{00000000-000C-0000-FFFF-FFFFAC000000}" r="N120" connectionId="0">
    <xmlCellPr id="1" xr6:uid="{00000000-0010-0000-AC00-000001000000}" uniqueName="1">
      <xmlPr mapId="43" xpath="/ns1:Root/ns1:Prog/ns1:Target_P7_2" xmlDataType="double"/>
    </xmlCellPr>
  </singleXmlCell>
  <singleXmlCell id="597" xr6:uid="{00000000-000C-0000-FFFF-FFFFAD000000}" r="O120" connectionId="0">
    <xmlCellPr id="1" xr6:uid="{00000000-0010-0000-AD00-000001000000}" uniqueName="1">
      <xmlPr mapId="43" xpath="/ns1:Root/ns1:Prog/ns1:Target_P8_2" xmlDataType="double"/>
    </xmlCellPr>
  </singleXmlCell>
  <singleXmlCell id="598" xr6:uid="{00000000-000C-0000-FFFF-FFFFAE000000}" r="P120" connectionId="0">
    <xmlCellPr id="1" xr6:uid="{00000000-0010-0000-AE00-000001000000}" uniqueName="1">
      <xmlPr mapId="43" xpath="/ns1:Root/ns1:Prog/ns1:Target_P9_2" xmlDataType="double"/>
    </xmlCellPr>
  </singleXmlCell>
  <singleXmlCell id="599" xr6:uid="{00000000-000C-0000-FFFF-FFFFAF000000}" r="Q120" connectionId="0">
    <xmlCellPr id="1" xr6:uid="{00000000-0010-0000-AF00-000001000000}" uniqueName="1">
      <xmlPr mapId="43" xpath="/ns1:Root/ns1:Prog/ns1:Target_P10_2" xmlDataType="double"/>
    </xmlCellPr>
  </singleXmlCell>
  <singleXmlCell id="600" xr6:uid="{00000000-000C-0000-FFFF-FFFFB0000000}" r="R120" connectionId="0">
    <xmlCellPr id="1" xr6:uid="{00000000-0010-0000-B000-000001000000}" uniqueName="1">
      <xmlPr mapId="43" xpath="/ns1:Root/ns1:Prog/ns1:Target_P11_2" xmlDataType="double"/>
    </xmlCellPr>
  </singleXmlCell>
  <singleXmlCell id="601" xr6:uid="{00000000-000C-0000-FFFF-FFFFB1000000}" r="S120" connectionId="0">
    <xmlCellPr id="1" xr6:uid="{00000000-0010-0000-B100-000001000000}" uniqueName="1">
      <xmlPr mapId="43" xpath="/ns1:Root/ns1:Prog/ns1:Target_P12_2" xmlDataType="double"/>
    </xmlCellPr>
  </singleXmlCell>
  <singleXmlCell id="602" xr6:uid="{00000000-000C-0000-FFFF-FFFFB2000000}" r="H121" connectionId="0">
    <xmlCellPr id="1" xr6:uid="{00000000-0010-0000-B200-000001000000}" uniqueName="1">
      <xmlPr mapId="43" xpath="/ns1:Root/ns1:Prog/ns1:Achieved__P1_2" xmlDataType="double"/>
    </xmlCellPr>
  </singleXmlCell>
  <singleXmlCell id="603" xr6:uid="{00000000-000C-0000-FFFF-FFFFB3000000}" r="I121" connectionId="0">
    <xmlCellPr id="1" xr6:uid="{00000000-0010-0000-B300-000001000000}" uniqueName="1">
      <xmlPr mapId="43" xpath="/ns1:Root/ns1:Prog/ns1:Achieved__P2_2" xmlDataType="double"/>
    </xmlCellPr>
  </singleXmlCell>
  <singleXmlCell id="604" xr6:uid="{00000000-000C-0000-FFFF-FFFFB4000000}" r="J121" connectionId="0">
    <xmlCellPr id="1" xr6:uid="{00000000-0010-0000-B400-000001000000}" uniqueName="1">
      <xmlPr mapId="43" xpath="/ns1:Root/ns1:Prog/ns1:Achieved__P3_2" xmlDataType="double"/>
    </xmlCellPr>
  </singleXmlCell>
  <singleXmlCell id="605" xr6:uid="{00000000-000C-0000-FFFF-FFFFB5000000}" r="K121" connectionId="0">
    <xmlCellPr id="1" xr6:uid="{00000000-0010-0000-B500-000001000000}" uniqueName="1">
      <xmlPr mapId="43" xpath="/ns1:Root/ns1:Prog/ns1:Achieved__P4_2" xmlDataType="double"/>
    </xmlCellPr>
  </singleXmlCell>
  <singleXmlCell id="606" xr6:uid="{00000000-000C-0000-FFFF-FFFFB6000000}" r="L121" connectionId="0">
    <xmlCellPr id="1" xr6:uid="{00000000-0010-0000-B600-000001000000}" uniqueName="1">
      <xmlPr mapId="43" xpath="/ns1:Root/ns1:Prog/ns1:Achieved__P5_2" xmlDataType="string"/>
    </xmlCellPr>
  </singleXmlCell>
  <singleXmlCell id="607" xr6:uid="{00000000-000C-0000-FFFF-FFFFB7000000}" r="M121" connectionId="0">
    <xmlCellPr id="1" xr6:uid="{00000000-0010-0000-B700-000001000000}" uniqueName="1">
      <xmlPr mapId="43" xpath="/ns1:Root/ns1:Prog/ns1:Achieved__P6_2" xmlDataType="string"/>
    </xmlCellPr>
  </singleXmlCell>
  <singleXmlCell id="608" xr6:uid="{00000000-000C-0000-FFFF-FFFFB8000000}" r="N121" connectionId="0">
    <xmlCellPr id="1" xr6:uid="{00000000-0010-0000-B800-000001000000}" uniqueName="1">
      <xmlPr mapId="43" xpath="/ns1:Root/ns1:Prog/ns1:Achieved__P7_2" xmlDataType="string"/>
    </xmlCellPr>
  </singleXmlCell>
  <singleXmlCell id="609" xr6:uid="{00000000-000C-0000-FFFF-FFFFB9000000}" r="O121" connectionId="0">
    <xmlCellPr id="1" xr6:uid="{00000000-0010-0000-B900-000001000000}" uniqueName="1">
      <xmlPr mapId="43" xpath="/ns1:Root/ns1:Prog/ns1:Achieved__P8_2" xmlDataType="string"/>
    </xmlCellPr>
  </singleXmlCell>
  <singleXmlCell id="610" xr6:uid="{00000000-000C-0000-FFFF-FFFFBA000000}" r="P121" connectionId="0">
    <xmlCellPr id="1" xr6:uid="{00000000-0010-0000-BA00-000001000000}" uniqueName="1">
      <xmlPr mapId="43" xpath="/ns1:Root/ns1:Prog/ns1:Achieved__P9_2" xmlDataType="string"/>
    </xmlCellPr>
  </singleXmlCell>
  <singleXmlCell id="611" xr6:uid="{00000000-000C-0000-FFFF-FFFFBB000000}" r="Q121" connectionId="0">
    <xmlCellPr id="1" xr6:uid="{00000000-0010-0000-BB00-000001000000}" uniqueName="1">
      <xmlPr mapId="43" xpath="/ns1:Root/ns1:Prog/ns1:Achieved__P10_2" xmlDataType="string"/>
    </xmlCellPr>
  </singleXmlCell>
  <singleXmlCell id="612" xr6:uid="{00000000-000C-0000-FFFF-FFFFBC000000}" r="R121" connectionId="0">
    <xmlCellPr id="1" xr6:uid="{00000000-0010-0000-BC00-000001000000}" uniqueName="1">
      <xmlPr mapId="43" xpath="/ns1:Root/ns1:Prog/ns1:Achieved__P11_2" xmlDataType="string"/>
    </xmlCellPr>
  </singleXmlCell>
  <singleXmlCell id="613" xr6:uid="{00000000-000C-0000-FFFF-FFFFBD000000}" r="S121" connectionId="0">
    <xmlCellPr id="1" xr6:uid="{00000000-0010-0000-BD00-000001000000}" uniqueName="1">
      <xmlPr mapId="43" xpath="/ns1:Root/ns1:Prog/ns1:Achieved__P12_2" xmlDataType="string"/>
    </xmlCellPr>
  </singleXmlCell>
  <singleXmlCell id="614" xr6:uid="{00000000-000C-0000-FFFF-FFFFBE000000}" r="H122" connectionId="0">
    <xmlCellPr id="1" xr6:uid="{00000000-0010-0000-BE00-000001000000}" uniqueName="1">
      <xmlPr mapId="43" xpath="/ns1:Root/ns1:Prog/ns1:Target_P1_3" xmlDataType="double"/>
    </xmlCellPr>
  </singleXmlCell>
  <singleXmlCell id="615" xr6:uid="{00000000-000C-0000-FFFF-FFFFBF000000}" r="I122" connectionId="0">
    <xmlCellPr id="1" xr6:uid="{00000000-0010-0000-BF00-000001000000}" uniqueName="1">
      <xmlPr mapId="43" xpath="/ns1:Root/ns1:Prog/ns1:Target_P2_3" xmlDataType="double"/>
    </xmlCellPr>
  </singleXmlCell>
  <singleXmlCell id="616" xr6:uid="{00000000-000C-0000-FFFF-FFFFC0000000}" r="J122" connectionId="0">
    <xmlCellPr id="1" xr6:uid="{00000000-0010-0000-C000-000001000000}" uniqueName="1">
      <xmlPr mapId="43" xpath="/ns1:Root/ns1:Prog/ns1:Target_P3_3" xmlDataType="double"/>
    </xmlCellPr>
  </singleXmlCell>
  <singleXmlCell id="617" xr6:uid="{00000000-000C-0000-FFFF-FFFFC1000000}" r="K122" connectionId="0">
    <xmlCellPr id="1" xr6:uid="{00000000-0010-0000-C100-000001000000}" uniqueName="1">
      <xmlPr mapId="43" xpath="/ns1:Root/ns1:Prog/ns1:Target_P4_3" xmlDataType="double"/>
    </xmlCellPr>
  </singleXmlCell>
  <singleXmlCell id="618" xr6:uid="{00000000-000C-0000-FFFF-FFFFC2000000}" r="L122" connectionId="0">
    <xmlCellPr id="1" xr6:uid="{00000000-0010-0000-C200-000001000000}" uniqueName="1">
      <xmlPr mapId="43" xpath="/ns1:Root/ns1:Prog/ns1:Target_P5_3" xmlDataType="double"/>
    </xmlCellPr>
  </singleXmlCell>
  <singleXmlCell id="619" xr6:uid="{00000000-000C-0000-FFFF-FFFFC3000000}" r="M122" connectionId="0">
    <xmlCellPr id="1" xr6:uid="{00000000-0010-0000-C300-000001000000}" uniqueName="1">
      <xmlPr mapId="43" xpath="/ns1:Root/ns1:Prog/ns1:Target_P6_3" xmlDataType="double"/>
    </xmlCellPr>
  </singleXmlCell>
  <singleXmlCell id="620" xr6:uid="{00000000-000C-0000-FFFF-FFFFC4000000}" r="N122" connectionId="0">
    <xmlCellPr id="1" xr6:uid="{00000000-0010-0000-C400-000001000000}" uniqueName="1">
      <xmlPr mapId="43" xpath="/ns1:Root/ns1:Prog/ns1:Target_P7_3" xmlDataType="double"/>
    </xmlCellPr>
  </singleXmlCell>
  <singleXmlCell id="621" xr6:uid="{00000000-000C-0000-FFFF-FFFFC5000000}" r="O122" connectionId="0">
    <xmlCellPr id="1" xr6:uid="{00000000-0010-0000-C500-000001000000}" uniqueName="1">
      <xmlPr mapId="43" xpath="/ns1:Root/ns1:Prog/ns1:Target_P8_3" xmlDataType="double"/>
    </xmlCellPr>
  </singleXmlCell>
  <singleXmlCell id="622" xr6:uid="{00000000-000C-0000-FFFF-FFFFC6000000}" r="P122" connectionId="0">
    <xmlCellPr id="1" xr6:uid="{00000000-0010-0000-C600-000001000000}" uniqueName="1">
      <xmlPr mapId="43" xpath="/ns1:Root/ns1:Prog/ns1:Target_P9_3" xmlDataType="double"/>
    </xmlCellPr>
  </singleXmlCell>
  <singleXmlCell id="623" xr6:uid="{00000000-000C-0000-FFFF-FFFFC7000000}" r="Q122" connectionId="0">
    <xmlCellPr id="1" xr6:uid="{00000000-0010-0000-C700-000001000000}" uniqueName="1">
      <xmlPr mapId="43" xpath="/ns1:Root/ns1:Prog/ns1:Target_P10_3" xmlDataType="string"/>
    </xmlCellPr>
  </singleXmlCell>
  <singleXmlCell id="624" xr6:uid="{00000000-000C-0000-FFFF-FFFFC8000000}" r="R122" connectionId="0">
    <xmlCellPr id="1" xr6:uid="{00000000-0010-0000-C800-000001000000}" uniqueName="1">
      <xmlPr mapId="43" xpath="/ns1:Root/ns1:Prog/ns1:Target_P11_3" xmlDataType="string"/>
    </xmlCellPr>
  </singleXmlCell>
  <singleXmlCell id="625" xr6:uid="{00000000-000C-0000-FFFF-FFFFC9000000}" r="S122" connectionId="0">
    <xmlCellPr id="1" xr6:uid="{00000000-0010-0000-C900-000001000000}" uniqueName="1">
      <xmlPr mapId="43" xpath="/ns1:Root/ns1:Prog/ns1:Target_P12_3" xmlDataType="double"/>
    </xmlCellPr>
  </singleXmlCell>
  <singleXmlCell id="626" xr6:uid="{00000000-000C-0000-FFFF-FFFFCA000000}" r="H123" connectionId="0">
    <xmlCellPr id="1" xr6:uid="{00000000-0010-0000-CA00-000001000000}" uniqueName="1">
      <xmlPr mapId="43" xpath="/ns1:Root/ns1:Prog/ns1:Achieved__P1_3" xmlDataType="string"/>
    </xmlCellPr>
  </singleXmlCell>
  <singleXmlCell id="627" xr6:uid="{00000000-000C-0000-FFFF-FFFFCB000000}" r="I123" connectionId="0">
    <xmlCellPr id="1" xr6:uid="{00000000-0010-0000-CB00-000001000000}" uniqueName="1">
      <xmlPr mapId="43" xpath="/ns1:Root/ns1:Prog/ns1:Achieved__P2_3" xmlDataType="double"/>
    </xmlCellPr>
  </singleXmlCell>
  <singleXmlCell id="628" xr6:uid="{00000000-000C-0000-FFFF-FFFFCC000000}" r="J123" connectionId="0">
    <xmlCellPr id="1" xr6:uid="{00000000-0010-0000-CC00-000001000000}" uniqueName="1">
      <xmlPr mapId="43" xpath="/ns1:Root/ns1:Prog/ns1:Achieved__P3_3" xmlDataType="string"/>
    </xmlCellPr>
  </singleXmlCell>
  <singleXmlCell id="629" xr6:uid="{00000000-000C-0000-FFFF-FFFFCD000000}" r="K123" connectionId="0">
    <xmlCellPr id="1" xr6:uid="{00000000-0010-0000-CD00-000001000000}" uniqueName="1">
      <xmlPr mapId="43" xpath="/ns1:Root/ns1:Prog/ns1:Achieved__P4_3" xmlDataType="double"/>
    </xmlCellPr>
  </singleXmlCell>
  <singleXmlCell id="630" xr6:uid="{00000000-000C-0000-FFFF-FFFFCE000000}" r="L123" connectionId="0">
    <xmlCellPr id="1" xr6:uid="{00000000-0010-0000-CE00-000001000000}" uniqueName="1">
      <xmlPr mapId="43" xpath="/ns1:Root/ns1:Prog/ns1:Achieved__P5_3" xmlDataType="string"/>
    </xmlCellPr>
  </singleXmlCell>
  <singleXmlCell id="631" xr6:uid="{00000000-000C-0000-FFFF-FFFFCF000000}" r="M123" connectionId="0">
    <xmlCellPr id="1" xr6:uid="{00000000-0010-0000-CF00-000001000000}" uniqueName="1">
      <xmlPr mapId="43" xpath="/ns1:Root/ns1:Prog/ns1:Achieved__P6_3" xmlDataType="string"/>
    </xmlCellPr>
  </singleXmlCell>
  <singleXmlCell id="632" xr6:uid="{00000000-000C-0000-FFFF-FFFFD0000000}" r="N123" connectionId="0">
    <xmlCellPr id="1" xr6:uid="{00000000-0010-0000-D000-000001000000}" uniqueName="1">
      <xmlPr mapId="43" xpath="/ns1:Root/ns1:Prog/ns1:Achieved__P7_3" xmlDataType="string"/>
    </xmlCellPr>
  </singleXmlCell>
  <singleXmlCell id="633" xr6:uid="{00000000-000C-0000-FFFF-FFFFD1000000}" r="O123" connectionId="0">
    <xmlCellPr id="1" xr6:uid="{00000000-0010-0000-D100-000001000000}" uniqueName="1">
      <xmlPr mapId="43" xpath="/ns1:Root/ns1:Prog/ns1:Achieved__P8_3" xmlDataType="string"/>
    </xmlCellPr>
  </singleXmlCell>
  <singleXmlCell id="634" xr6:uid="{00000000-000C-0000-FFFF-FFFFD2000000}" r="P123" connectionId="0">
    <xmlCellPr id="1" xr6:uid="{00000000-0010-0000-D200-000001000000}" uniqueName="1">
      <xmlPr mapId="43" xpath="/ns1:Root/ns1:Prog/ns1:Achieved__P9_3" xmlDataType="string"/>
    </xmlCellPr>
  </singleXmlCell>
  <singleXmlCell id="635" xr6:uid="{00000000-000C-0000-FFFF-FFFFD3000000}" r="Q123" connectionId="0">
    <xmlCellPr id="1" xr6:uid="{00000000-0010-0000-D300-000001000000}" uniqueName="1">
      <xmlPr mapId="43" xpath="/ns1:Root/ns1:Prog/ns1:Achieved__P10_3" xmlDataType="string"/>
    </xmlCellPr>
  </singleXmlCell>
  <singleXmlCell id="636" xr6:uid="{00000000-000C-0000-FFFF-FFFFD4000000}" r="R123" connectionId="0">
    <xmlCellPr id="1" xr6:uid="{00000000-0010-0000-D400-000001000000}" uniqueName="1">
      <xmlPr mapId="43" xpath="/ns1:Root/ns1:Prog/ns1:Achieved__P11_3" xmlDataType="string"/>
    </xmlCellPr>
  </singleXmlCell>
  <singleXmlCell id="637" xr6:uid="{00000000-000C-0000-FFFF-FFFFD5000000}" r="S123" connectionId="0">
    <xmlCellPr id="1" xr6:uid="{00000000-0010-0000-D500-000001000000}" uniqueName="1">
      <xmlPr mapId="43" xpath="/ns1:Root/ns1:Prog/ns1:Achieved__P12_3" xmlDataType="string"/>
    </xmlCellPr>
  </singleXmlCell>
  <singleXmlCell id="638" xr6:uid="{00000000-000C-0000-FFFF-FFFFD6000000}" r="H124" connectionId="0">
    <xmlCellPr id="1" xr6:uid="{00000000-0010-0000-D600-000001000000}" uniqueName="1">
      <xmlPr mapId="43" xpath="/ns1:Root/ns1:Prog/ns1:Target_P1_4" xmlDataType="string"/>
    </xmlCellPr>
  </singleXmlCell>
  <singleXmlCell id="639" xr6:uid="{00000000-000C-0000-FFFF-FFFFD7000000}" r="I124" connectionId="0">
    <xmlCellPr id="1" xr6:uid="{00000000-0010-0000-D700-000001000000}" uniqueName="1">
      <xmlPr mapId="43" xpath="/ns1:Root/ns1:Prog/ns1:Target_P2_4" xmlDataType="string"/>
    </xmlCellPr>
  </singleXmlCell>
  <singleXmlCell id="640" xr6:uid="{00000000-000C-0000-FFFF-FFFFD8000000}" r="J124" connectionId="0">
    <xmlCellPr id="1" xr6:uid="{00000000-0010-0000-D800-000001000000}" uniqueName="1">
      <xmlPr mapId="43" xpath="/ns1:Root/ns1:Prog/ns1:Target_P3_4" xmlDataType="string"/>
    </xmlCellPr>
  </singleXmlCell>
  <singleXmlCell id="641" xr6:uid="{00000000-000C-0000-FFFF-FFFFD9000000}" r="K124" connectionId="0">
    <xmlCellPr id="1" xr6:uid="{00000000-0010-0000-D900-000001000000}" uniqueName="1">
      <xmlPr mapId="43" xpath="/ns1:Root/ns1:Prog/ns1:Target_P4_4" xmlDataType="double"/>
    </xmlCellPr>
  </singleXmlCell>
  <singleXmlCell id="642" xr6:uid="{00000000-000C-0000-FFFF-FFFFDA000000}" r="L124" connectionId="0">
    <xmlCellPr id="1" xr6:uid="{00000000-0010-0000-DA00-000001000000}" uniqueName="1">
      <xmlPr mapId="43" xpath="/ns1:Root/ns1:Prog/ns1:Target_P5_4" xmlDataType="string"/>
    </xmlCellPr>
  </singleXmlCell>
  <singleXmlCell id="643" xr6:uid="{00000000-000C-0000-FFFF-FFFFDB000000}" r="M124" connectionId="0">
    <xmlCellPr id="1" xr6:uid="{00000000-0010-0000-DB00-000001000000}" uniqueName="1">
      <xmlPr mapId="43" xpath="/ns1:Root/ns1:Prog/ns1:Target_P6_4" xmlDataType="string"/>
    </xmlCellPr>
  </singleXmlCell>
  <singleXmlCell id="644" xr6:uid="{00000000-000C-0000-FFFF-FFFFDC000000}" r="N124" connectionId="0">
    <xmlCellPr id="1" xr6:uid="{00000000-0010-0000-DC00-000001000000}" uniqueName="1">
      <xmlPr mapId="43" xpath="/ns1:Root/ns1:Prog/ns1:Target_P7_4" xmlDataType="string"/>
    </xmlCellPr>
  </singleXmlCell>
  <singleXmlCell id="645" xr6:uid="{00000000-000C-0000-FFFF-FFFFDD000000}" r="O124" connectionId="0">
    <xmlCellPr id="1" xr6:uid="{00000000-0010-0000-DD00-000001000000}" uniqueName="1">
      <xmlPr mapId="43" xpath="/ns1:Root/ns1:Prog/ns1:Target_P8_4" xmlDataType="double"/>
    </xmlCellPr>
  </singleXmlCell>
  <singleXmlCell id="646" xr6:uid="{00000000-000C-0000-FFFF-FFFFDE000000}" r="P124" connectionId="0">
    <xmlCellPr id="1" xr6:uid="{00000000-0010-0000-DE00-000001000000}" uniqueName="1">
      <xmlPr mapId="43" xpath="/ns1:Root/ns1:Prog/ns1:Target_P9_4" xmlDataType="string"/>
    </xmlCellPr>
  </singleXmlCell>
  <singleXmlCell id="647" xr6:uid="{00000000-000C-0000-FFFF-FFFFDF000000}" r="Q124" connectionId="0">
    <xmlCellPr id="1" xr6:uid="{00000000-0010-0000-DF00-000001000000}" uniqueName="1">
      <xmlPr mapId="43" xpath="/ns1:Root/ns1:Prog/ns1:Target_P10_4" xmlDataType="string"/>
    </xmlCellPr>
  </singleXmlCell>
  <singleXmlCell id="648" xr6:uid="{00000000-000C-0000-FFFF-FFFFE0000000}" r="R124" connectionId="0">
    <xmlCellPr id="1" xr6:uid="{00000000-0010-0000-E000-000001000000}" uniqueName="1">
      <xmlPr mapId="43" xpath="/ns1:Root/ns1:Prog/ns1:Target_P11_4" xmlDataType="string"/>
    </xmlCellPr>
  </singleXmlCell>
  <singleXmlCell id="649" xr6:uid="{00000000-000C-0000-FFFF-FFFFE1000000}" r="S124" connectionId="0">
    <xmlCellPr id="1" xr6:uid="{00000000-0010-0000-E100-000001000000}" uniqueName="1">
      <xmlPr mapId="43" xpath="/ns1:Root/ns1:Prog/ns1:Target_P12_4" xmlDataType="double"/>
    </xmlCellPr>
  </singleXmlCell>
  <singleXmlCell id="650" xr6:uid="{00000000-000C-0000-FFFF-FFFFE2000000}" r="H125" connectionId="0">
    <xmlCellPr id="1" xr6:uid="{00000000-0010-0000-E200-000001000000}" uniqueName="1">
      <xmlPr mapId="43" xpath="/ns1:Root/ns1:Prog/ns1:Achieved__P1_4" xmlDataType="string"/>
    </xmlCellPr>
  </singleXmlCell>
  <singleXmlCell id="651" xr6:uid="{00000000-000C-0000-FFFF-FFFFE3000000}" r="I125" connectionId="0">
    <xmlCellPr id="1" xr6:uid="{00000000-0010-0000-E300-000001000000}" uniqueName="1">
      <xmlPr mapId="43" xpath="/ns1:Root/ns1:Prog/ns1:Achieved__P2_4" xmlDataType="string"/>
    </xmlCellPr>
  </singleXmlCell>
  <singleXmlCell id="652" xr6:uid="{00000000-000C-0000-FFFF-FFFFE4000000}" r="J125" connectionId="0">
    <xmlCellPr id="1" xr6:uid="{00000000-0010-0000-E400-000001000000}" uniqueName="1">
      <xmlPr mapId="43" xpath="/ns1:Root/ns1:Prog/ns1:Achieved__P3_4" xmlDataType="string"/>
    </xmlCellPr>
  </singleXmlCell>
  <singleXmlCell id="653" xr6:uid="{00000000-000C-0000-FFFF-FFFFE5000000}" r="K125" connectionId="0">
    <xmlCellPr id="1" xr6:uid="{00000000-0010-0000-E500-000001000000}" uniqueName="1">
      <xmlPr mapId="43" xpath="/ns1:Root/ns1:Prog/ns1:Achieved__P4_4" xmlDataType="double"/>
    </xmlCellPr>
  </singleXmlCell>
  <singleXmlCell id="654" xr6:uid="{00000000-000C-0000-FFFF-FFFFE6000000}" r="L125" connectionId="0">
    <xmlCellPr id="1" xr6:uid="{00000000-0010-0000-E600-000001000000}" uniqueName="1">
      <xmlPr mapId="43" xpath="/ns1:Root/ns1:Prog/ns1:Achieved__P5_4" xmlDataType="string"/>
    </xmlCellPr>
  </singleXmlCell>
  <singleXmlCell id="655" xr6:uid="{00000000-000C-0000-FFFF-FFFFE7000000}" r="M125" connectionId="0">
    <xmlCellPr id="1" xr6:uid="{00000000-0010-0000-E700-000001000000}" uniqueName="1">
      <xmlPr mapId="43" xpath="/ns1:Root/ns1:Prog/ns1:Achieved__P6_4" xmlDataType="string"/>
    </xmlCellPr>
  </singleXmlCell>
  <singleXmlCell id="656" xr6:uid="{00000000-000C-0000-FFFF-FFFFE8000000}" r="N125" connectionId="0">
    <xmlCellPr id="1" xr6:uid="{00000000-0010-0000-E800-000001000000}" uniqueName="1">
      <xmlPr mapId="43" xpath="/ns1:Root/ns1:Prog/ns1:Achieved__P7_4" xmlDataType="string"/>
    </xmlCellPr>
  </singleXmlCell>
  <singleXmlCell id="657" xr6:uid="{00000000-000C-0000-FFFF-FFFFE9000000}" r="O125" connectionId="0">
    <xmlCellPr id="1" xr6:uid="{00000000-0010-0000-E900-000001000000}" uniqueName="1">
      <xmlPr mapId="43" xpath="/ns1:Root/ns1:Prog/ns1:Achieved__P8_4" xmlDataType="string"/>
    </xmlCellPr>
  </singleXmlCell>
  <singleXmlCell id="658" xr6:uid="{00000000-000C-0000-FFFF-FFFFEA000000}" r="P125" connectionId="0">
    <xmlCellPr id="1" xr6:uid="{00000000-0010-0000-EA00-000001000000}" uniqueName="1">
      <xmlPr mapId="43" xpath="/ns1:Root/ns1:Prog/ns1:Achieved__P9_4" xmlDataType="string"/>
    </xmlCellPr>
  </singleXmlCell>
  <singleXmlCell id="659" xr6:uid="{00000000-000C-0000-FFFF-FFFFEB000000}" r="Q125" connectionId="0">
    <xmlCellPr id="1" xr6:uid="{00000000-0010-0000-EB00-000001000000}" uniqueName="1">
      <xmlPr mapId="43" xpath="/ns1:Root/ns1:Prog/ns1:Achieved__P10_4" xmlDataType="string"/>
    </xmlCellPr>
  </singleXmlCell>
  <singleXmlCell id="660" xr6:uid="{00000000-000C-0000-FFFF-FFFFEC000000}" r="R125" connectionId="0">
    <xmlCellPr id="1" xr6:uid="{00000000-0010-0000-EC00-000001000000}" uniqueName="1">
      <xmlPr mapId="43" xpath="/ns1:Root/ns1:Prog/ns1:Achieved__P11_4" xmlDataType="string"/>
    </xmlCellPr>
  </singleXmlCell>
  <singleXmlCell id="661" xr6:uid="{00000000-000C-0000-FFFF-FFFFED000000}" r="S125" connectionId="0">
    <xmlCellPr id="1" xr6:uid="{00000000-0010-0000-ED00-000001000000}" uniqueName="1">
      <xmlPr mapId="43" xpath="/ns1:Root/ns1:Prog/ns1:Achieved__P12_4" xmlDataType="string"/>
    </xmlCellPr>
  </singleXmlCell>
  <singleXmlCell id="662" xr6:uid="{00000000-000C-0000-FFFF-FFFFEE000000}" r="H126" connectionId="0">
    <xmlCellPr id="1" xr6:uid="{00000000-0010-0000-EE00-000001000000}" uniqueName="1">
      <xmlPr mapId="43" xpath="/ns1:Root/ns1:Prog/ns1:Target_P1_5" xmlDataType="double"/>
    </xmlCellPr>
  </singleXmlCell>
  <singleXmlCell id="663" xr6:uid="{00000000-000C-0000-FFFF-FFFFEF000000}" r="I126" connectionId="0">
    <xmlCellPr id="1" xr6:uid="{00000000-0010-0000-EF00-000001000000}" uniqueName="1">
      <xmlPr mapId="43" xpath="/ns1:Root/ns1:Prog/ns1:Target_P2_5" xmlDataType="double"/>
    </xmlCellPr>
  </singleXmlCell>
  <singleXmlCell id="664" xr6:uid="{00000000-000C-0000-FFFF-FFFFF0000000}" r="J126" connectionId="0">
    <xmlCellPr id="1" xr6:uid="{00000000-0010-0000-F000-000001000000}" uniqueName="1">
      <xmlPr mapId="43" xpath="/ns1:Root/ns1:Prog/ns1:Target_P3_5" xmlDataType="double"/>
    </xmlCellPr>
  </singleXmlCell>
  <singleXmlCell id="665" xr6:uid="{00000000-000C-0000-FFFF-FFFFF1000000}" r="K126" connectionId="0">
    <xmlCellPr id="1" xr6:uid="{00000000-0010-0000-F100-000001000000}" uniqueName="1">
      <xmlPr mapId="43" xpath="/ns1:Root/ns1:Prog/ns1:Target_P4_5" xmlDataType="double"/>
    </xmlCellPr>
  </singleXmlCell>
  <singleXmlCell id="666" xr6:uid="{00000000-000C-0000-FFFF-FFFFF2000000}" r="L126" connectionId="0">
    <xmlCellPr id="1" xr6:uid="{00000000-0010-0000-F200-000001000000}" uniqueName="1">
      <xmlPr mapId="43" xpath="/ns1:Root/ns1:Prog/ns1:Target_P5_5" xmlDataType="double"/>
    </xmlCellPr>
  </singleXmlCell>
  <singleXmlCell id="667" xr6:uid="{00000000-000C-0000-FFFF-FFFFF3000000}" r="M126" connectionId="0">
    <xmlCellPr id="1" xr6:uid="{00000000-0010-0000-F300-000001000000}" uniqueName="1">
      <xmlPr mapId="43" xpath="/ns1:Root/ns1:Prog/ns1:Target_P6_5" xmlDataType="double"/>
    </xmlCellPr>
  </singleXmlCell>
  <singleXmlCell id="668" xr6:uid="{00000000-000C-0000-FFFF-FFFFF4000000}" r="N126" connectionId="0">
    <xmlCellPr id="1" xr6:uid="{00000000-0010-0000-F400-000001000000}" uniqueName="1">
      <xmlPr mapId="43" xpath="/ns1:Root/ns1:Prog/ns1:Target_P7_5" xmlDataType="double"/>
    </xmlCellPr>
  </singleXmlCell>
  <singleXmlCell id="669" xr6:uid="{00000000-000C-0000-FFFF-FFFFF5000000}" r="O126" connectionId="0">
    <xmlCellPr id="1" xr6:uid="{00000000-0010-0000-F500-000001000000}" uniqueName="1">
      <xmlPr mapId="43" xpath="/ns1:Root/ns1:Prog/ns1:Target_P8_5" xmlDataType="double"/>
    </xmlCellPr>
  </singleXmlCell>
  <singleXmlCell id="670" xr6:uid="{00000000-000C-0000-FFFF-FFFFF6000000}" r="P126" connectionId="0">
    <xmlCellPr id="1" xr6:uid="{00000000-0010-0000-F600-000001000000}" uniqueName="1">
      <xmlPr mapId="43" xpath="/ns1:Root/ns1:Prog/ns1:Target_P9_5" xmlDataType="double"/>
    </xmlCellPr>
  </singleXmlCell>
  <singleXmlCell id="671" xr6:uid="{00000000-000C-0000-FFFF-FFFFF7000000}" r="Q126" connectionId="0">
    <xmlCellPr id="1" xr6:uid="{00000000-0010-0000-F700-000001000000}" uniqueName="1">
      <xmlPr mapId="43" xpath="/ns1:Root/ns1:Prog/ns1:Target_P10_5" xmlDataType="double"/>
    </xmlCellPr>
  </singleXmlCell>
  <singleXmlCell id="672" xr6:uid="{00000000-000C-0000-FFFF-FFFFF8000000}" r="R126" connectionId="0">
    <xmlCellPr id="1" xr6:uid="{00000000-0010-0000-F800-000001000000}" uniqueName="1">
      <xmlPr mapId="43" xpath="/ns1:Root/ns1:Prog/ns1:Target_P11_5" xmlDataType="double"/>
    </xmlCellPr>
  </singleXmlCell>
  <singleXmlCell id="673" xr6:uid="{00000000-000C-0000-FFFF-FFFFF9000000}" r="S126" connectionId="0">
    <xmlCellPr id="1" xr6:uid="{00000000-0010-0000-F900-000001000000}" uniqueName="1">
      <xmlPr mapId="43" xpath="/ns1:Root/ns1:Prog/ns1:Target_P12_5" xmlDataType="double"/>
    </xmlCellPr>
  </singleXmlCell>
  <singleXmlCell id="674" xr6:uid="{00000000-000C-0000-FFFF-FFFFFA000000}" r="H127" connectionId="0">
    <xmlCellPr id="1" xr6:uid="{00000000-0010-0000-FA00-000001000000}" uniqueName="1">
      <xmlPr mapId="43" xpath="/ns1:Root/ns1:Prog/ns1:Achieved__P1_5" xmlDataType="double"/>
    </xmlCellPr>
  </singleXmlCell>
  <singleXmlCell id="675" xr6:uid="{00000000-000C-0000-FFFF-FFFFFB000000}" r="I127" connectionId="0">
    <xmlCellPr id="1" xr6:uid="{00000000-0010-0000-FB00-000001000000}" uniqueName="1">
      <xmlPr mapId="43" xpath="/ns1:Root/ns1:Prog/ns1:Achieved__P2_5" xmlDataType="double"/>
    </xmlCellPr>
  </singleXmlCell>
  <singleXmlCell id="676" xr6:uid="{00000000-000C-0000-FFFF-FFFFFC000000}" r="J127" connectionId="0">
    <xmlCellPr id="1" xr6:uid="{00000000-0010-0000-FC00-000001000000}" uniqueName="1">
      <xmlPr mapId="43" xpath="/ns1:Root/ns1:Prog/ns1:Achieved__P3_5" xmlDataType="double"/>
    </xmlCellPr>
  </singleXmlCell>
  <singleXmlCell id="677" xr6:uid="{00000000-000C-0000-FFFF-FFFFFD000000}" r="K127" connectionId="0">
    <xmlCellPr id="1" xr6:uid="{00000000-0010-0000-FD00-000001000000}" uniqueName="1">
      <xmlPr mapId="43" xpath="/ns1:Root/ns1:Prog/ns1:Achieved__P4_5" xmlDataType="double"/>
    </xmlCellPr>
  </singleXmlCell>
  <singleXmlCell id="678" xr6:uid="{00000000-000C-0000-FFFF-FFFFFE000000}" r="L127" connectionId="0">
    <xmlCellPr id="1" xr6:uid="{00000000-0010-0000-FE00-000001000000}" uniqueName="1">
      <xmlPr mapId="43" xpath="/ns1:Root/ns1:Prog/ns1:Achieved__P5_5" xmlDataType="string"/>
    </xmlCellPr>
  </singleXmlCell>
  <singleXmlCell id="679" xr6:uid="{00000000-000C-0000-FFFF-FFFFFF000000}" r="M127" connectionId="0">
    <xmlCellPr id="1" xr6:uid="{00000000-0010-0000-FF00-000001000000}" uniqueName="1">
      <xmlPr mapId="43" xpath="/ns1:Root/ns1:Prog/ns1:Achieved__P6_5" xmlDataType="string"/>
    </xmlCellPr>
  </singleXmlCell>
  <singleXmlCell id="680" xr6:uid="{00000000-000C-0000-FFFF-FFFF00010000}" r="N127" connectionId="0">
    <xmlCellPr id="1" xr6:uid="{00000000-0010-0000-0001-000001000000}" uniqueName="1">
      <xmlPr mapId="43" xpath="/ns1:Root/ns1:Prog/ns1:Achieved__P7_5" xmlDataType="string"/>
    </xmlCellPr>
  </singleXmlCell>
  <singleXmlCell id="681" xr6:uid="{00000000-000C-0000-FFFF-FFFF01010000}" r="O127" connectionId="0">
    <xmlCellPr id="1" xr6:uid="{00000000-0010-0000-0101-000001000000}" uniqueName="1">
      <xmlPr mapId="43" xpath="/ns1:Root/ns1:Prog/ns1:Achieved__P8_5" xmlDataType="string"/>
    </xmlCellPr>
  </singleXmlCell>
  <singleXmlCell id="682" xr6:uid="{00000000-000C-0000-FFFF-FFFF02010000}" r="P127" connectionId="0">
    <xmlCellPr id="1" xr6:uid="{00000000-0010-0000-0201-000001000000}" uniqueName="1">
      <xmlPr mapId="43" xpath="/ns1:Root/ns1:Prog/ns1:Achieved__P9_5" xmlDataType="string"/>
    </xmlCellPr>
  </singleXmlCell>
  <singleXmlCell id="683" xr6:uid="{00000000-000C-0000-FFFF-FFFF03010000}" r="Q127" connectionId="0">
    <xmlCellPr id="1" xr6:uid="{00000000-0010-0000-0301-000001000000}" uniqueName="1">
      <xmlPr mapId="43" xpath="/ns1:Root/ns1:Prog/ns1:Achieved__P10_5" xmlDataType="string"/>
    </xmlCellPr>
  </singleXmlCell>
  <singleXmlCell id="684" xr6:uid="{00000000-000C-0000-FFFF-FFFF04010000}" r="R127" connectionId="0">
    <xmlCellPr id="1" xr6:uid="{00000000-0010-0000-0401-000001000000}" uniqueName="1">
      <xmlPr mapId="43" xpath="/ns1:Root/ns1:Prog/ns1:Achieved__P11_5" xmlDataType="string"/>
    </xmlCellPr>
  </singleXmlCell>
  <singleXmlCell id="685" xr6:uid="{00000000-000C-0000-FFFF-FFFF05010000}" r="S127" connectionId="0">
    <xmlCellPr id="1" xr6:uid="{00000000-0010-0000-0501-000001000000}" uniqueName="1">
      <xmlPr mapId="43" xpath="/ns1:Root/ns1:Prog/ns1:Achieved__P12_5" xmlDataType="string"/>
    </xmlCellPr>
  </singleXmlCell>
  <singleXmlCell id="686" xr6:uid="{00000000-000C-0000-FFFF-FFFF06010000}" r="H128" connectionId="0">
    <xmlCellPr id="1" xr6:uid="{00000000-0010-0000-0601-000001000000}" uniqueName="1">
      <xmlPr mapId="43" xpath="/ns1:Root/ns1:Prog/ns1:Target_P1_6" xmlDataType="double"/>
    </xmlCellPr>
  </singleXmlCell>
  <singleXmlCell id="687" xr6:uid="{00000000-000C-0000-FFFF-FFFF07010000}" r="I128" connectionId="0">
    <xmlCellPr id="1" xr6:uid="{00000000-0010-0000-0701-000001000000}" uniqueName="1">
      <xmlPr mapId="43" xpath="/ns1:Root/ns1:Prog/ns1:Target_P2_6" xmlDataType="double"/>
    </xmlCellPr>
  </singleXmlCell>
  <singleXmlCell id="688" xr6:uid="{00000000-000C-0000-FFFF-FFFF08010000}" r="J128" connectionId="0">
    <xmlCellPr id="1" xr6:uid="{00000000-0010-0000-0801-000001000000}" uniqueName="1">
      <xmlPr mapId="43" xpath="/ns1:Root/ns1:Prog/ns1:Target_P3_6" xmlDataType="double"/>
    </xmlCellPr>
  </singleXmlCell>
  <singleXmlCell id="689" xr6:uid="{00000000-000C-0000-FFFF-FFFF09010000}" r="K128" connectionId="0">
    <xmlCellPr id="1" xr6:uid="{00000000-0010-0000-0901-000001000000}" uniqueName="1">
      <xmlPr mapId="43" xpath="/ns1:Root/ns1:Prog/ns1:Target_P4_6" xmlDataType="double"/>
    </xmlCellPr>
  </singleXmlCell>
  <singleXmlCell id="690" xr6:uid="{00000000-000C-0000-FFFF-FFFF0A010000}" r="L128" connectionId="0">
    <xmlCellPr id="1" xr6:uid="{00000000-0010-0000-0A01-000001000000}" uniqueName="1">
      <xmlPr mapId="43" xpath="/ns1:Root/ns1:Prog/ns1:Target_P5_6" xmlDataType="double"/>
    </xmlCellPr>
  </singleXmlCell>
  <singleXmlCell id="691" xr6:uid="{00000000-000C-0000-FFFF-FFFF0B010000}" r="M128" connectionId="0">
    <xmlCellPr id="1" xr6:uid="{00000000-0010-0000-0B01-000001000000}" uniqueName="1">
      <xmlPr mapId="43" xpath="/ns1:Root/ns1:Prog/ns1:Target_P6_6" xmlDataType="double"/>
    </xmlCellPr>
  </singleXmlCell>
  <singleXmlCell id="692" xr6:uid="{00000000-000C-0000-FFFF-FFFF0C010000}" r="N128" connectionId="0">
    <xmlCellPr id="1" xr6:uid="{00000000-0010-0000-0C01-000001000000}" uniqueName="1">
      <xmlPr mapId="43" xpath="/ns1:Root/ns1:Prog/ns1:Target_P7_6" xmlDataType="double"/>
    </xmlCellPr>
  </singleXmlCell>
  <singleXmlCell id="693" xr6:uid="{00000000-000C-0000-FFFF-FFFF0D010000}" r="O128" connectionId="0">
    <xmlCellPr id="1" xr6:uid="{00000000-0010-0000-0D01-000001000000}" uniqueName="1">
      <xmlPr mapId="43" xpath="/ns1:Root/ns1:Prog/ns1:Target_P8_6" xmlDataType="double"/>
    </xmlCellPr>
  </singleXmlCell>
  <singleXmlCell id="694" xr6:uid="{00000000-000C-0000-FFFF-FFFF0E010000}" r="P128" connectionId="0">
    <xmlCellPr id="1" xr6:uid="{00000000-0010-0000-0E01-000001000000}" uniqueName="1">
      <xmlPr mapId="43" xpath="/ns1:Root/ns1:Prog/ns1:Target_P9_6" xmlDataType="double"/>
    </xmlCellPr>
  </singleXmlCell>
  <singleXmlCell id="695" xr6:uid="{00000000-000C-0000-FFFF-FFFF0F010000}" r="Q128" connectionId="0">
    <xmlCellPr id="1" xr6:uid="{00000000-0010-0000-0F01-000001000000}" uniqueName="1">
      <xmlPr mapId="43" xpath="/ns1:Root/ns1:Prog/ns1:Target_P10_6" xmlDataType="double"/>
    </xmlCellPr>
  </singleXmlCell>
  <singleXmlCell id="696" xr6:uid="{00000000-000C-0000-FFFF-FFFF10010000}" r="R128" connectionId="0">
    <xmlCellPr id="1" xr6:uid="{00000000-0010-0000-1001-000001000000}" uniqueName="1">
      <xmlPr mapId="43" xpath="/ns1:Root/ns1:Prog/ns1:Target_P11_6" xmlDataType="double"/>
    </xmlCellPr>
  </singleXmlCell>
  <singleXmlCell id="697" xr6:uid="{00000000-000C-0000-FFFF-FFFF11010000}" r="S128" connectionId="0">
    <xmlCellPr id="1" xr6:uid="{00000000-0010-0000-1101-000001000000}" uniqueName="1">
      <xmlPr mapId="43" xpath="/ns1:Root/ns1:Prog/ns1:Target_P12_6" xmlDataType="double"/>
    </xmlCellPr>
  </singleXmlCell>
  <singleXmlCell id="698" xr6:uid="{00000000-000C-0000-FFFF-FFFF12010000}" r="H129" connectionId="0">
    <xmlCellPr id="1" xr6:uid="{00000000-0010-0000-1201-000001000000}" uniqueName="1">
      <xmlPr mapId="43" xpath="/ns1:Root/ns1:Prog/ns1:Achieved__P1_6" xmlDataType="double"/>
    </xmlCellPr>
  </singleXmlCell>
  <singleXmlCell id="699" xr6:uid="{00000000-000C-0000-FFFF-FFFF13010000}" r="I129" connectionId="0">
    <xmlCellPr id="1" xr6:uid="{00000000-0010-0000-1301-000001000000}" uniqueName="1">
      <xmlPr mapId="43" xpath="/ns1:Root/ns1:Prog/ns1:Achieved__P2_6" xmlDataType="double"/>
    </xmlCellPr>
  </singleXmlCell>
  <singleXmlCell id="700" xr6:uid="{00000000-000C-0000-FFFF-FFFF14010000}" r="J129" connectionId="0">
    <xmlCellPr id="1" xr6:uid="{00000000-0010-0000-1401-000001000000}" uniqueName="1">
      <xmlPr mapId="43" xpath="/ns1:Root/ns1:Prog/ns1:Achieved__P3_6" xmlDataType="double"/>
    </xmlCellPr>
  </singleXmlCell>
  <singleXmlCell id="701" xr6:uid="{00000000-000C-0000-FFFF-FFFF15010000}" r="K129" connectionId="0">
    <xmlCellPr id="1" xr6:uid="{00000000-0010-0000-1501-000001000000}" uniqueName="1">
      <xmlPr mapId="43" xpath="/ns1:Root/ns1:Prog/ns1:Achieved__P4_6" xmlDataType="double"/>
    </xmlCellPr>
  </singleXmlCell>
  <singleXmlCell id="702" xr6:uid="{00000000-000C-0000-FFFF-FFFF16010000}" r="L129" connectionId="0">
    <xmlCellPr id="1" xr6:uid="{00000000-0010-0000-1601-000001000000}" uniqueName="1">
      <xmlPr mapId="43" xpath="/ns1:Root/ns1:Prog/ns1:Achieved__P5_6" xmlDataType="string"/>
    </xmlCellPr>
  </singleXmlCell>
  <singleXmlCell id="703" xr6:uid="{00000000-000C-0000-FFFF-FFFF17010000}" r="M129" connectionId="0">
    <xmlCellPr id="1" xr6:uid="{00000000-0010-0000-1701-000001000000}" uniqueName="1">
      <xmlPr mapId="43" xpath="/ns1:Root/ns1:Prog/ns1:Achieved__P6_6" xmlDataType="string"/>
    </xmlCellPr>
  </singleXmlCell>
  <singleXmlCell id="704" xr6:uid="{00000000-000C-0000-FFFF-FFFF18010000}" r="N129" connectionId="0">
    <xmlCellPr id="1" xr6:uid="{00000000-0010-0000-1801-000001000000}" uniqueName="1">
      <xmlPr mapId="43" xpath="/ns1:Root/ns1:Prog/ns1:Achieved__P7_6" xmlDataType="string"/>
    </xmlCellPr>
  </singleXmlCell>
  <singleXmlCell id="705" xr6:uid="{00000000-000C-0000-FFFF-FFFF19010000}" r="O129" connectionId="0">
    <xmlCellPr id="1" xr6:uid="{00000000-0010-0000-1901-000001000000}" uniqueName="1">
      <xmlPr mapId="43" xpath="/ns1:Root/ns1:Prog/ns1:Achieved__P8_6" xmlDataType="string"/>
    </xmlCellPr>
  </singleXmlCell>
  <singleXmlCell id="706" xr6:uid="{00000000-000C-0000-FFFF-FFFF1A010000}" r="P129" connectionId="0">
    <xmlCellPr id="1" xr6:uid="{00000000-0010-0000-1A01-000001000000}" uniqueName="1">
      <xmlPr mapId="43" xpath="/ns1:Root/ns1:Prog/ns1:Achieved__P9_6" xmlDataType="string"/>
    </xmlCellPr>
  </singleXmlCell>
  <singleXmlCell id="707" xr6:uid="{00000000-000C-0000-FFFF-FFFF1B010000}" r="Q129" connectionId="0">
    <xmlCellPr id="1" xr6:uid="{00000000-0010-0000-1B01-000001000000}" uniqueName="1">
      <xmlPr mapId="43" xpath="/ns1:Root/ns1:Prog/ns1:Achieved__P10_6" xmlDataType="string"/>
    </xmlCellPr>
  </singleXmlCell>
  <singleXmlCell id="708" xr6:uid="{00000000-000C-0000-FFFF-FFFF1C010000}" r="R129" connectionId="0">
    <xmlCellPr id="1" xr6:uid="{00000000-0010-0000-1C01-000001000000}" uniqueName="1">
      <xmlPr mapId="43" xpath="/ns1:Root/ns1:Prog/ns1:Achieved__P11_6" xmlDataType="string"/>
    </xmlCellPr>
  </singleXmlCell>
  <singleXmlCell id="709" xr6:uid="{00000000-000C-0000-FFFF-FFFF1D010000}" r="S129" connectionId="0">
    <xmlCellPr id="1" xr6:uid="{00000000-0010-0000-1D01-000001000000}" uniqueName="1">
      <xmlPr mapId="43" xpath="/ns1:Root/ns1:Prog/ns1:Achieved__P12_6" xmlDataType="string"/>
    </xmlCellPr>
  </singleXmlCell>
  <singleXmlCell id="710" xr6:uid="{00000000-000C-0000-FFFF-FFFF1E010000}" r="H130" connectionId="0">
    <xmlCellPr id="1" xr6:uid="{00000000-0010-0000-1E01-000001000000}" uniqueName="1">
      <xmlPr mapId="43" xpath="/ns1:Root/ns1:Prog/ns1:Target_P1_7" xmlDataType="double"/>
    </xmlCellPr>
  </singleXmlCell>
  <singleXmlCell id="711" xr6:uid="{00000000-000C-0000-FFFF-FFFF1F010000}" r="I130" connectionId="0">
    <xmlCellPr id="1" xr6:uid="{00000000-0010-0000-1F01-000001000000}" uniqueName="1">
      <xmlPr mapId="43" xpath="/ns1:Root/ns1:Prog/ns1:Target_P2_7" xmlDataType="double"/>
    </xmlCellPr>
  </singleXmlCell>
  <singleXmlCell id="712" xr6:uid="{00000000-000C-0000-FFFF-FFFF20010000}" r="J130" connectionId="0">
    <xmlCellPr id="1" xr6:uid="{00000000-0010-0000-2001-000001000000}" uniqueName="1">
      <xmlPr mapId="43" xpath="/ns1:Root/ns1:Prog/ns1:Target_P3_7" xmlDataType="double"/>
    </xmlCellPr>
  </singleXmlCell>
  <singleXmlCell id="713" xr6:uid="{00000000-000C-0000-FFFF-FFFF21010000}" r="K130" connectionId="0">
    <xmlCellPr id="1" xr6:uid="{00000000-0010-0000-2101-000001000000}" uniqueName="1">
      <xmlPr mapId="43" xpath="/ns1:Root/ns1:Prog/ns1:Target_P4_7" xmlDataType="double"/>
    </xmlCellPr>
  </singleXmlCell>
  <singleXmlCell id="714" xr6:uid="{00000000-000C-0000-FFFF-FFFF22010000}" r="L130" connectionId="0">
    <xmlCellPr id="1" xr6:uid="{00000000-0010-0000-2201-000001000000}" uniqueName="1">
      <xmlPr mapId="43" xpath="/ns1:Root/ns1:Prog/ns1:Target_P5_7" xmlDataType="double"/>
    </xmlCellPr>
  </singleXmlCell>
  <singleXmlCell id="715" xr6:uid="{00000000-000C-0000-FFFF-FFFF23010000}" r="M130" connectionId="0">
    <xmlCellPr id="1" xr6:uid="{00000000-0010-0000-2301-000001000000}" uniqueName="1">
      <xmlPr mapId="43" xpath="/ns1:Root/ns1:Prog/ns1:Target_P6_7" xmlDataType="double"/>
    </xmlCellPr>
  </singleXmlCell>
  <singleXmlCell id="716" xr6:uid="{00000000-000C-0000-FFFF-FFFF24010000}" r="N130" connectionId="0">
    <xmlCellPr id="1" xr6:uid="{00000000-0010-0000-2401-000001000000}" uniqueName="1">
      <xmlPr mapId="43" xpath="/ns1:Root/ns1:Prog/ns1:Target_P7_7" xmlDataType="double"/>
    </xmlCellPr>
  </singleXmlCell>
  <singleXmlCell id="717" xr6:uid="{00000000-000C-0000-FFFF-FFFF25010000}" r="O130" connectionId="0">
    <xmlCellPr id="1" xr6:uid="{00000000-0010-0000-2501-000001000000}" uniqueName="1">
      <xmlPr mapId="43" xpath="/ns1:Root/ns1:Prog/ns1:Target_P8_7" xmlDataType="double"/>
    </xmlCellPr>
  </singleXmlCell>
  <singleXmlCell id="718" xr6:uid="{00000000-000C-0000-FFFF-FFFF26010000}" r="P130" connectionId="0">
    <xmlCellPr id="1" xr6:uid="{00000000-0010-0000-2601-000001000000}" uniqueName="1">
      <xmlPr mapId="43" xpath="/ns1:Root/ns1:Prog/ns1:Target_P9_7" xmlDataType="double"/>
    </xmlCellPr>
  </singleXmlCell>
  <singleXmlCell id="719" xr6:uid="{00000000-000C-0000-FFFF-FFFF27010000}" r="Q130" connectionId="0">
    <xmlCellPr id="1" xr6:uid="{00000000-0010-0000-2701-000001000000}" uniqueName="1">
      <xmlPr mapId="43" xpath="/ns1:Root/ns1:Prog/ns1:Target_P10_7" xmlDataType="double"/>
    </xmlCellPr>
  </singleXmlCell>
  <singleXmlCell id="720" xr6:uid="{00000000-000C-0000-FFFF-FFFF28010000}" r="R130" connectionId="0">
    <xmlCellPr id="1" xr6:uid="{00000000-0010-0000-2801-000001000000}" uniqueName="1">
      <xmlPr mapId="43" xpath="/ns1:Root/ns1:Prog/ns1:Target_P11_7" xmlDataType="double"/>
    </xmlCellPr>
  </singleXmlCell>
  <singleXmlCell id="721" xr6:uid="{00000000-000C-0000-FFFF-FFFF29010000}" r="S130" connectionId="0">
    <xmlCellPr id="1" xr6:uid="{00000000-0010-0000-2901-000001000000}" uniqueName="1">
      <xmlPr mapId="43" xpath="/ns1:Root/ns1:Prog/ns1:Target_P12_7" xmlDataType="double"/>
    </xmlCellPr>
  </singleXmlCell>
  <singleXmlCell id="722" xr6:uid="{00000000-000C-0000-FFFF-FFFF2A010000}" r="H131" connectionId="0">
    <xmlCellPr id="1" xr6:uid="{00000000-0010-0000-2A01-000001000000}" uniqueName="1">
      <xmlPr mapId="43" xpath="/ns1:Root/ns1:Prog/ns1:Achieved__P1_7" xmlDataType="double"/>
    </xmlCellPr>
  </singleXmlCell>
  <singleXmlCell id="723" xr6:uid="{00000000-000C-0000-FFFF-FFFF2B010000}" r="I131" connectionId="0">
    <xmlCellPr id="1" xr6:uid="{00000000-0010-0000-2B01-000001000000}" uniqueName="1">
      <xmlPr mapId="43" xpath="/ns1:Root/ns1:Prog/ns1:Achieved__P2_7" xmlDataType="double"/>
    </xmlCellPr>
  </singleXmlCell>
  <singleXmlCell id="724" xr6:uid="{00000000-000C-0000-FFFF-FFFF2C010000}" r="J131" connectionId="0">
    <xmlCellPr id="1" xr6:uid="{00000000-0010-0000-2C01-000001000000}" uniqueName="1">
      <xmlPr mapId="43" xpath="/ns1:Root/ns1:Prog/ns1:Achieved__P3_7" xmlDataType="double"/>
    </xmlCellPr>
  </singleXmlCell>
  <singleXmlCell id="725" xr6:uid="{00000000-000C-0000-FFFF-FFFF2D010000}" r="K131" connectionId="0">
    <xmlCellPr id="1" xr6:uid="{00000000-0010-0000-2D01-000001000000}" uniqueName="1">
      <xmlPr mapId="43" xpath="/ns1:Root/ns1:Prog/ns1:Achieved__P4_7" xmlDataType="double"/>
    </xmlCellPr>
  </singleXmlCell>
  <singleXmlCell id="726" xr6:uid="{00000000-000C-0000-FFFF-FFFF2E010000}" r="L131" connectionId="0">
    <xmlCellPr id="1" xr6:uid="{00000000-0010-0000-2E01-000001000000}" uniqueName="1">
      <xmlPr mapId="43" xpath="/ns1:Root/ns1:Prog/ns1:Achieved__P5_7" xmlDataType="string"/>
    </xmlCellPr>
  </singleXmlCell>
  <singleXmlCell id="727" xr6:uid="{00000000-000C-0000-FFFF-FFFF2F010000}" r="M131" connectionId="0">
    <xmlCellPr id="1" xr6:uid="{00000000-0010-0000-2F01-000001000000}" uniqueName="1">
      <xmlPr mapId="43" xpath="/ns1:Root/ns1:Prog/ns1:Achieved__P6_7" xmlDataType="string"/>
    </xmlCellPr>
  </singleXmlCell>
  <singleXmlCell id="728" xr6:uid="{00000000-000C-0000-FFFF-FFFF30010000}" r="N131" connectionId="0">
    <xmlCellPr id="1" xr6:uid="{00000000-0010-0000-3001-000001000000}" uniqueName="1">
      <xmlPr mapId="43" xpath="/ns1:Root/ns1:Prog/ns1:Achieved__P7_7" xmlDataType="string"/>
    </xmlCellPr>
  </singleXmlCell>
  <singleXmlCell id="729" xr6:uid="{00000000-000C-0000-FFFF-FFFF31010000}" r="O131" connectionId="0">
    <xmlCellPr id="1" xr6:uid="{00000000-0010-0000-3101-000001000000}" uniqueName="1">
      <xmlPr mapId="43" xpath="/ns1:Root/ns1:Prog/ns1:Achieved__P8_7" xmlDataType="string"/>
    </xmlCellPr>
  </singleXmlCell>
  <singleXmlCell id="730" xr6:uid="{00000000-000C-0000-FFFF-FFFF32010000}" r="P131" connectionId="0">
    <xmlCellPr id="1" xr6:uid="{00000000-0010-0000-3201-000001000000}" uniqueName="1">
      <xmlPr mapId="43" xpath="/ns1:Root/ns1:Prog/ns1:Achieved__P9_7" xmlDataType="string"/>
    </xmlCellPr>
  </singleXmlCell>
  <singleXmlCell id="731" xr6:uid="{00000000-000C-0000-FFFF-FFFF33010000}" r="Q131" connectionId="0">
    <xmlCellPr id="1" xr6:uid="{00000000-0010-0000-3301-000001000000}" uniqueName="1">
      <xmlPr mapId="43" xpath="/ns1:Root/ns1:Prog/ns1:Achieved__P10_7" xmlDataType="string"/>
    </xmlCellPr>
  </singleXmlCell>
  <singleXmlCell id="732" xr6:uid="{00000000-000C-0000-FFFF-FFFF34010000}" r="R131" connectionId="0">
    <xmlCellPr id="1" xr6:uid="{00000000-0010-0000-3401-000001000000}" uniqueName="1">
      <xmlPr mapId="43" xpath="/ns1:Root/ns1:Prog/ns1:Achieved__P11_7" xmlDataType="string"/>
    </xmlCellPr>
  </singleXmlCell>
  <singleXmlCell id="733" xr6:uid="{00000000-000C-0000-FFFF-FFFF35010000}" r="S131" connectionId="0">
    <xmlCellPr id="1" xr6:uid="{00000000-0010-0000-3501-000001000000}" uniqueName="1">
      <xmlPr mapId="43" xpath="/ns1:Root/ns1:Prog/ns1:Achieved__P12_7" xmlDataType="string"/>
    </xmlCellPr>
  </singleXmlCell>
  <singleXmlCell id="734" xr6:uid="{00000000-000C-0000-FFFF-FFFF36010000}" r="H132" connectionId="0">
    <xmlCellPr id="1" xr6:uid="{00000000-0010-0000-3601-000001000000}" uniqueName="1">
      <xmlPr mapId="43" xpath="/ns1:Root/ns1:Prog/ns1:Target_P1_8" xmlDataType="string"/>
    </xmlCellPr>
  </singleXmlCell>
  <singleXmlCell id="735" xr6:uid="{00000000-000C-0000-FFFF-FFFF37010000}" r="I132" connectionId="0">
    <xmlCellPr id="1" xr6:uid="{00000000-0010-0000-3701-000001000000}" uniqueName="1">
      <xmlPr mapId="43" xpath="/ns1:Root/ns1:Prog/ns1:Target_P2_8" xmlDataType="double"/>
    </xmlCellPr>
  </singleXmlCell>
  <singleXmlCell id="736" xr6:uid="{00000000-000C-0000-FFFF-FFFF38010000}" r="J132" connectionId="0">
    <xmlCellPr id="1" xr6:uid="{00000000-0010-0000-3801-000001000000}" uniqueName="1">
      <xmlPr mapId="43" xpath="/ns1:Root/ns1:Prog/ns1:Target_P3_8" xmlDataType="string"/>
    </xmlCellPr>
  </singleXmlCell>
  <singleXmlCell id="737" xr6:uid="{00000000-000C-0000-FFFF-FFFF39010000}" r="K132" connectionId="0">
    <xmlCellPr id="1" xr6:uid="{00000000-0010-0000-3901-000001000000}" uniqueName="1">
      <xmlPr mapId="43" xpath="/ns1:Root/ns1:Prog/ns1:Target_P4_8" xmlDataType="double"/>
    </xmlCellPr>
  </singleXmlCell>
  <singleXmlCell id="738" xr6:uid="{00000000-000C-0000-FFFF-FFFF3A010000}" r="L132" connectionId="0">
    <xmlCellPr id="1" xr6:uid="{00000000-0010-0000-3A01-000001000000}" uniqueName="1">
      <xmlPr mapId="43" xpath="/ns1:Root/ns1:Prog/ns1:Target_P5_8" xmlDataType="string"/>
    </xmlCellPr>
  </singleXmlCell>
  <singleXmlCell id="739" xr6:uid="{00000000-000C-0000-FFFF-FFFF3B010000}" r="M132" connectionId="0">
    <xmlCellPr id="1" xr6:uid="{00000000-0010-0000-3B01-000001000000}" uniqueName="1">
      <xmlPr mapId="43" xpath="/ns1:Root/ns1:Prog/ns1:Target_P6_8" xmlDataType="double"/>
    </xmlCellPr>
  </singleXmlCell>
  <singleXmlCell id="740" xr6:uid="{00000000-000C-0000-FFFF-FFFF3C010000}" r="N132" connectionId="0">
    <xmlCellPr id="1" xr6:uid="{00000000-0010-0000-3C01-000001000000}" uniqueName="1">
      <xmlPr mapId="43" xpath="/ns1:Root/ns1:Prog/ns1:Target_P7_8" xmlDataType="string"/>
    </xmlCellPr>
  </singleXmlCell>
  <singleXmlCell id="741" xr6:uid="{00000000-000C-0000-FFFF-FFFF3D010000}" r="O132" connectionId="0">
    <xmlCellPr id="1" xr6:uid="{00000000-0010-0000-3D01-000001000000}" uniqueName="1">
      <xmlPr mapId="43" xpath="/ns1:Root/ns1:Prog/ns1:Target_P8_8" xmlDataType="double"/>
    </xmlCellPr>
  </singleXmlCell>
  <singleXmlCell id="742" xr6:uid="{00000000-000C-0000-FFFF-FFFF3E010000}" r="P132" connectionId="0">
    <xmlCellPr id="1" xr6:uid="{00000000-0010-0000-3E01-000001000000}" uniqueName="1">
      <xmlPr mapId="43" xpath="/ns1:Root/ns1:Prog/ns1:Target_P9_8" xmlDataType="double"/>
    </xmlCellPr>
  </singleXmlCell>
  <singleXmlCell id="743" xr6:uid="{00000000-000C-0000-FFFF-FFFF3F010000}" r="Q132" connectionId="0">
    <xmlCellPr id="1" xr6:uid="{00000000-0010-0000-3F01-000001000000}" uniqueName="1">
      <xmlPr mapId="43" xpath="/ns1:Root/ns1:Prog/ns1:Target_P10_8" xmlDataType="double"/>
    </xmlCellPr>
  </singleXmlCell>
  <singleXmlCell id="744" xr6:uid="{00000000-000C-0000-FFFF-FFFF40010000}" r="R132" connectionId="0">
    <xmlCellPr id="1" xr6:uid="{00000000-0010-0000-4001-000001000000}" uniqueName="1">
      <xmlPr mapId="43" xpath="/ns1:Root/ns1:Prog/ns1:Target_P11_8" xmlDataType="double"/>
    </xmlCellPr>
  </singleXmlCell>
  <singleXmlCell id="745" xr6:uid="{00000000-000C-0000-FFFF-FFFF41010000}" r="S132" connectionId="0">
    <xmlCellPr id="1" xr6:uid="{00000000-0010-0000-4101-000001000000}" uniqueName="1">
      <xmlPr mapId="43" xpath="/ns1:Root/ns1:Prog/ns1:Target_P12_8" xmlDataType="double"/>
    </xmlCellPr>
  </singleXmlCell>
  <singleXmlCell id="746" xr6:uid="{00000000-000C-0000-FFFF-FFFF42010000}" r="H133" connectionId="0">
    <xmlCellPr id="1" xr6:uid="{00000000-0010-0000-4201-000001000000}" uniqueName="1">
      <xmlPr mapId="43" xpath="/ns1:Root/ns1:Prog/ns1:Achieved__P1_8" xmlDataType="string"/>
    </xmlCellPr>
  </singleXmlCell>
  <singleXmlCell id="747" xr6:uid="{00000000-000C-0000-FFFF-FFFF43010000}" r="I133" connectionId="0">
    <xmlCellPr id="1" xr6:uid="{00000000-0010-0000-4301-000001000000}" uniqueName="1">
      <xmlPr mapId="43" xpath="/ns1:Root/ns1:Prog/ns1:Achieved__P2_8" xmlDataType="string"/>
    </xmlCellPr>
  </singleXmlCell>
  <singleXmlCell id="748" xr6:uid="{00000000-000C-0000-FFFF-FFFF44010000}" r="J133" connectionId="0">
    <xmlCellPr id="1" xr6:uid="{00000000-0010-0000-4401-000001000000}" uniqueName="1">
      <xmlPr mapId="43" xpath="/ns1:Root/ns1:Prog/ns1:Achieved__P3_8" xmlDataType="string"/>
    </xmlCellPr>
  </singleXmlCell>
  <singleXmlCell id="749" xr6:uid="{00000000-000C-0000-FFFF-FFFF45010000}" r="K133" connectionId="0">
    <xmlCellPr id="1" xr6:uid="{00000000-0010-0000-4501-000001000000}" uniqueName="1">
      <xmlPr mapId="43" xpath="/ns1:Root/ns1:Prog/ns1:Achieved__P4_8" xmlDataType="string"/>
    </xmlCellPr>
  </singleXmlCell>
  <singleXmlCell id="750" xr6:uid="{00000000-000C-0000-FFFF-FFFF46010000}" r="L133" connectionId="0">
    <xmlCellPr id="1" xr6:uid="{00000000-0010-0000-4601-000001000000}" uniqueName="1">
      <xmlPr mapId="43" xpath="/ns1:Root/ns1:Prog/ns1:Achieved__P5_8" xmlDataType="string"/>
    </xmlCellPr>
  </singleXmlCell>
  <singleXmlCell id="751" xr6:uid="{00000000-000C-0000-FFFF-FFFF47010000}" r="M133" connectionId="0">
    <xmlCellPr id="1" xr6:uid="{00000000-0010-0000-4701-000001000000}" uniqueName="1">
      <xmlPr mapId="43" xpath="/ns1:Root/ns1:Prog/ns1:Achieved__P6_8" xmlDataType="string"/>
    </xmlCellPr>
  </singleXmlCell>
  <singleXmlCell id="752" xr6:uid="{00000000-000C-0000-FFFF-FFFF48010000}" r="N133" connectionId="0">
    <xmlCellPr id="1" xr6:uid="{00000000-0010-0000-4801-000001000000}" uniqueName="1">
      <xmlPr mapId="43" xpath="/ns1:Root/ns1:Prog/ns1:Achieved__P7_8" xmlDataType="string"/>
    </xmlCellPr>
  </singleXmlCell>
  <singleXmlCell id="753" xr6:uid="{00000000-000C-0000-FFFF-FFFF49010000}" r="O133" connectionId="0">
    <xmlCellPr id="1" xr6:uid="{00000000-0010-0000-4901-000001000000}" uniqueName="1">
      <xmlPr mapId="43" xpath="/ns1:Root/ns1:Prog/ns1:Achieved__P8_8" xmlDataType="string"/>
    </xmlCellPr>
  </singleXmlCell>
  <singleXmlCell id="754" xr6:uid="{00000000-000C-0000-FFFF-FFFF4A010000}" r="P133" connectionId="0">
    <xmlCellPr id="1" xr6:uid="{00000000-0010-0000-4A01-000001000000}" uniqueName="1">
      <xmlPr mapId="43" xpath="/ns1:Root/ns1:Prog/ns1:Achieved__P9_8" xmlDataType="string"/>
    </xmlCellPr>
  </singleXmlCell>
  <singleXmlCell id="755" xr6:uid="{00000000-000C-0000-FFFF-FFFF4B010000}" r="Q133" connectionId="0">
    <xmlCellPr id="1" xr6:uid="{00000000-0010-0000-4B01-000001000000}" uniqueName="1">
      <xmlPr mapId="43" xpath="/ns1:Root/ns1:Prog/ns1:Achieved__P10_8" xmlDataType="string"/>
    </xmlCellPr>
  </singleXmlCell>
  <singleXmlCell id="756" xr6:uid="{00000000-000C-0000-FFFF-FFFF4C010000}" r="R133" connectionId="0">
    <xmlCellPr id="1" xr6:uid="{00000000-0010-0000-4C01-000001000000}" uniqueName="1">
      <xmlPr mapId="43" xpath="/ns1:Root/ns1:Prog/ns1:Achieved__P11_8" xmlDataType="string"/>
    </xmlCellPr>
  </singleXmlCell>
  <singleXmlCell id="757" xr6:uid="{00000000-000C-0000-FFFF-FFFF4D010000}" r="S133" connectionId="0">
    <xmlCellPr id="1" xr6:uid="{00000000-0010-0000-4D01-000001000000}" uniqueName="1">
      <xmlPr mapId="43" xpath="/ns1:Root/ns1:Prog/ns1:Achieved__P12_8" xmlDataType="string"/>
    </xmlCellPr>
  </singleXmlCell>
  <singleXmlCell id="758" xr6:uid="{00000000-000C-0000-FFFF-FFFF4E010000}" r="H134" connectionId="0">
    <xmlCellPr id="1" xr6:uid="{00000000-0010-0000-4E01-000001000000}" uniqueName="1">
      <xmlPr mapId="43" xpath="/ns1:Root/ns1:Prog/ns1:Target_P1_9" xmlDataType="double"/>
    </xmlCellPr>
  </singleXmlCell>
  <singleXmlCell id="759" xr6:uid="{00000000-000C-0000-FFFF-FFFF4F010000}" r="I134" connectionId="0">
    <xmlCellPr id="1" xr6:uid="{00000000-0010-0000-4F01-000001000000}" uniqueName="1">
      <xmlPr mapId="43" xpath="/ns1:Root/ns1:Prog/ns1:Target_P2_9" xmlDataType="double"/>
    </xmlCellPr>
  </singleXmlCell>
  <singleXmlCell id="760" xr6:uid="{00000000-000C-0000-FFFF-FFFF50010000}" r="J134" connectionId="0">
    <xmlCellPr id="1" xr6:uid="{00000000-0010-0000-5001-000001000000}" uniqueName="1">
      <xmlPr mapId="43" xpath="/ns1:Root/ns1:Prog/ns1:Target_P3_9" xmlDataType="double"/>
    </xmlCellPr>
  </singleXmlCell>
  <singleXmlCell id="761" xr6:uid="{00000000-000C-0000-FFFF-FFFF51010000}" r="K134" connectionId="0">
    <xmlCellPr id="1" xr6:uid="{00000000-0010-0000-5101-000001000000}" uniqueName="1">
      <xmlPr mapId="43" xpath="/ns1:Root/ns1:Prog/ns1:Target_P4_9" xmlDataType="double"/>
    </xmlCellPr>
  </singleXmlCell>
  <singleXmlCell id="762" xr6:uid="{00000000-000C-0000-FFFF-FFFF52010000}" r="L134" connectionId="0">
    <xmlCellPr id="1" xr6:uid="{00000000-0010-0000-5201-000001000000}" uniqueName="1">
      <xmlPr mapId="43" xpath="/ns1:Root/ns1:Prog/ns1:Target_P5_9" xmlDataType="double"/>
    </xmlCellPr>
  </singleXmlCell>
  <singleXmlCell id="763" xr6:uid="{00000000-000C-0000-FFFF-FFFF53010000}" r="M134" connectionId="0">
    <xmlCellPr id="1" xr6:uid="{00000000-0010-0000-5301-000001000000}" uniqueName="1">
      <xmlPr mapId="43" xpath="/ns1:Root/ns1:Prog/ns1:Target_P6_9" xmlDataType="double"/>
    </xmlCellPr>
  </singleXmlCell>
  <singleXmlCell id="764" xr6:uid="{00000000-000C-0000-FFFF-FFFF54010000}" r="N134" connectionId="0">
    <xmlCellPr id="1" xr6:uid="{00000000-0010-0000-5401-000001000000}" uniqueName="1">
      <xmlPr mapId="43" xpath="/ns1:Root/ns1:Prog/ns1:Target_P7_9" xmlDataType="double"/>
    </xmlCellPr>
  </singleXmlCell>
  <singleXmlCell id="765" xr6:uid="{00000000-000C-0000-FFFF-FFFF55010000}" r="O134" connectionId="0">
    <xmlCellPr id="1" xr6:uid="{00000000-0010-0000-5501-000001000000}" uniqueName="1">
      <xmlPr mapId="43" xpath="/ns1:Root/ns1:Prog/ns1:Target_P8_9" xmlDataType="double"/>
    </xmlCellPr>
  </singleXmlCell>
  <singleXmlCell id="766" xr6:uid="{00000000-000C-0000-FFFF-FFFF56010000}" r="P134" connectionId="0">
    <xmlCellPr id="1" xr6:uid="{00000000-0010-0000-5601-000001000000}" uniqueName="1">
      <xmlPr mapId="43" xpath="/ns1:Root/ns1:Prog/ns1:Target_P9_9" xmlDataType="double"/>
    </xmlCellPr>
  </singleXmlCell>
  <singleXmlCell id="767" xr6:uid="{00000000-000C-0000-FFFF-FFFF57010000}" r="Q134" connectionId="0">
    <xmlCellPr id="1" xr6:uid="{00000000-0010-0000-5701-000001000000}" uniqueName="1">
      <xmlPr mapId="43" xpath="/ns1:Root/ns1:Prog/ns1:Target_P10_9" xmlDataType="double"/>
    </xmlCellPr>
  </singleXmlCell>
  <singleXmlCell id="768" xr6:uid="{00000000-000C-0000-FFFF-FFFF58010000}" r="R134" connectionId="0">
    <xmlCellPr id="1" xr6:uid="{00000000-0010-0000-5801-000001000000}" uniqueName="1">
      <xmlPr mapId="43" xpath="/ns1:Root/ns1:Prog/ns1:Target_P11_9" xmlDataType="double"/>
    </xmlCellPr>
  </singleXmlCell>
  <singleXmlCell id="769" xr6:uid="{00000000-000C-0000-FFFF-FFFF59010000}" r="S134" connectionId="0">
    <xmlCellPr id="1" xr6:uid="{00000000-0010-0000-5901-000001000000}" uniqueName="1">
      <xmlPr mapId="43" xpath="/ns1:Root/ns1:Prog/ns1:Target_P12_9" xmlDataType="double"/>
    </xmlCellPr>
  </singleXmlCell>
  <singleXmlCell id="770" xr6:uid="{00000000-000C-0000-FFFF-FFFF5A010000}" r="H135" connectionId="0">
    <xmlCellPr id="1" xr6:uid="{00000000-0010-0000-5A01-000001000000}" uniqueName="1">
      <xmlPr mapId="43" xpath="/ns1:Root/ns1:Prog/ns1:Achieved__P1_9" xmlDataType="string"/>
    </xmlCellPr>
  </singleXmlCell>
  <singleXmlCell id="771" xr6:uid="{00000000-000C-0000-FFFF-FFFF5B010000}" r="I135" connectionId="0">
    <xmlCellPr id="1" xr6:uid="{00000000-0010-0000-5B01-000001000000}" uniqueName="1">
      <xmlPr mapId="43" xpath="/ns1:Root/ns1:Prog/ns1:Achieved__P2_9" xmlDataType="double"/>
    </xmlCellPr>
  </singleXmlCell>
  <singleXmlCell id="772" xr6:uid="{00000000-000C-0000-FFFF-FFFF5C010000}" r="J135" connectionId="0">
    <xmlCellPr id="1" xr6:uid="{00000000-0010-0000-5C01-000001000000}" uniqueName="1">
      <xmlPr mapId="43" xpath="/ns1:Root/ns1:Prog/ns1:Achieved__P3_9" xmlDataType="string"/>
    </xmlCellPr>
  </singleXmlCell>
  <singleXmlCell id="773" xr6:uid="{00000000-000C-0000-FFFF-FFFF5D010000}" r="K135" connectionId="0">
    <xmlCellPr id="1" xr6:uid="{00000000-0010-0000-5D01-000001000000}" uniqueName="1">
      <xmlPr mapId="43" xpath="/ns1:Root/ns1:Prog/ns1:Achieved__P4_9" xmlDataType="double"/>
    </xmlCellPr>
  </singleXmlCell>
  <singleXmlCell id="774" xr6:uid="{00000000-000C-0000-FFFF-FFFF5E010000}" r="L135" connectionId="0">
    <xmlCellPr id="1" xr6:uid="{00000000-0010-0000-5E01-000001000000}" uniqueName="1">
      <xmlPr mapId="43" xpath="/ns1:Root/ns1:Prog/ns1:Achieved__P5_9" xmlDataType="string"/>
    </xmlCellPr>
  </singleXmlCell>
  <singleXmlCell id="775" xr6:uid="{00000000-000C-0000-FFFF-FFFF5F010000}" r="M135" connectionId="0">
    <xmlCellPr id="1" xr6:uid="{00000000-0010-0000-5F01-000001000000}" uniqueName="1">
      <xmlPr mapId="43" xpath="/ns1:Root/ns1:Prog/ns1:Achieved__P6_9" xmlDataType="string"/>
    </xmlCellPr>
  </singleXmlCell>
  <singleXmlCell id="776" xr6:uid="{00000000-000C-0000-FFFF-FFFF60010000}" r="N135" connectionId="0">
    <xmlCellPr id="1" xr6:uid="{00000000-0010-0000-6001-000001000000}" uniqueName="1">
      <xmlPr mapId="43" xpath="/ns1:Root/ns1:Prog/ns1:Achieved__P7_9" xmlDataType="string"/>
    </xmlCellPr>
  </singleXmlCell>
  <singleXmlCell id="777" xr6:uid="{00000000-000C-0000-FFFF-FFFF61010000}" r="O135" connectionId="0">
    <xmlCellPr id="1" xr6:uid="{00000000-0010-0000-6101-000001000000}" uniqueName="1">
      <xmlPr mapId="43" xpath="/ns1:Root/ns1:Prog/ns1:Achieved__P8_9" xmlDataType="string"/>
    </xmlCellPr>
  </singleXmlCell>
  <singleXmlCell id="778" xr6:uid="{00000000-000C-0000-FFFF-FFFF62010000}" r="P135" connectionId="0">
    <xmlCellPr id="1" xr6:uid="{00000000-0010-0000-6201-000001000000}" uniqueName="1">
      <xmlPr mapId="43" xpath="/ns1:Root/ns1:Prog/ns1:Achieved__P9_9" xmlDataType="string"/>
    </xmlCellPr>
  </singleXmlCell>
  <singleXmlCell id="779" xr6:uid="{00000000-000C-0000-FFFF-FFFF63010000}" r="Q135" connectionId="0">
    <xmlCellPr id="1" xr6:uid="{00000000-0010-0000-6301-000001000000}" uniqueName="1">
      <xmlPr mapId="43" xpath="/ns1:Root/ns1:Prog/ns1:Achieved__P10_9" xmlDataType="string"/>
    </xmlCellPr>
  </singleXmlCell>
  <singleXmlCell id="780" xr6:uid="{00000000-000C-0000-FFFF-FFFF64010000}" r="R135" connectionId="0">
    <xmlCellPr id="1" xr6:uid="{00000000-0010-0000-6401-000001000000}" uniqueName="1">
      <xmlPr mapId="43" xpath="/ns1:Root/ns1:Prog/ns1:Achieved__P11_9" xmlDataType="string"/>
    </xmlCellPr>
  </singleXmlCell>
  <singleXmlCell id="781" xr6:uid="{00000000-000C-0000-FFFF-FFFF65010000}" r="S135" connectionId="0">
    <xmlCellPr id="1" xr6:uid="{00000000-0010-0000-6501-000001000000}" uniqueName="1">
      <xmlPr mapId="43" xpath="/ns1:Root/ns1:Prog/ns1:Achieved__P12_9" xmlDataType="string"/>
    </xmlCellPr>
  </singleXmlCell>
  <singleXmlCell id="782" xr6:uid="{00000000-000C-0000-FFFF-FFFF66010000}" r="H136" connectionId="0">
    <xmlCellPr id="1" xr6:uid="{00000000-0010-0000-6601-000001000000}" uniqueName="1">
      <xmlPr mapId="43" xpath="/ns1:Root/ns1:Prog/ns1:Target_P1" xmlDataType="string"/>
    </xmlCellPr>
  </singleXmlCell>
  <singleXmlCell id="783" xr6:uid="{00000000-000C-0000-FFFF-FFFF67010000}" r="I136" connectionId="0">
    <xmlCellPr id="1" xr6:uid="{00000000-0010-0000-6701-000001000000}" uniqueName="1">
      <xmlPr mapId="43" xpath="/ns1:Root/ns1:Prog/ns1:Target_P2" xmlDataType="string"/>
    </xmlCellPr>
  </singleXmlCell>
  <singleXmlCell id="784" xr6:uid="{00000000-000C-0000-FFFF-FFFF68010000}" r="J136" connectionId="0">
    <xmlCellPr id="1" xr6:uid="{00000000-0010-0000-6801-000001000000}" uniqueName="1">
      <xmlPr mapId="43" xpath="/ns1:Root/ns1:Prog/ns1:Target_P3" xmlDataType="string"/>
    </xmlCellPr>
  </singleXmlCell>
  <singleXmlCell id="785" xr6:uid="{00000000-000C-0000-FFFF-FFFF69010000}" r="K136" connectionId="0">
    <xmlCellPr id="1" xr6:uid="{00000000-0010-0000-6901-000001000000}" uniqueName="1">
      <xmlPr mapId="43" xpath="/ns1:Root/ns1:Prog/ns1:Target_P4" xmlDataType="double"/>
    </xmlCellPr>
  </singleXmlCell>
  <singleXmlCell id="786" xr6:uid="{00000000-000C-0000-FFFF-FFFF6A010000}" r="L136" connectionId="0">
    <xmlCellPr id="1" xr6:uid="{00000000-0010-0000-6A01-000001000000}" uniqueName="1">
      <xmlPr mapId="43" xpath="/ns1:Root/ns1:Prog/ns1:Target_P5" xmlDataType="string"/>
    </xmlCellPr>
  </singleXmlCell>
  <singleXmlCell id="787" xr6:uid="{00000000-000C-0000-FFFF-FFFF6B010000}" r="M136" connectionId="0">
    <xmlCellPr id="1" xr6:uid="{00000000-0010-0000-6B01-000001000000}" uniqueName="1">
      <xmlPr mapId="43" xpath="/ns1:Root/ns1:Prog/ns1:Target_P6" xmlDataType="string"/>
    </xmlCellPr>
  </singleXmlCell>
  <singleXmlCell id="788" xr6:uid="{00000000-000C-0000-FFFF-FFFF6C010000}" r="N136" connectionId="0">
    <xmlCellPr id="1" xr6:uid="{00000000-0010-0000-6C01-000001000000}" uniqueName="1">
      <xmlPr mapId="43" xpath="/ns1:Root/ns1:Prog/ns1:Target_P7" xmlDataType="string"/>
    </xmlCellPr>
  </singleXmlCell>
  <singleXmlCell id="789" xr6:uid="{00000000-000C-0000-FFFF-FFFF6D010000}" r="O136" connectionId="0">
    <xmlCellPr id="1" xr6:uid="{00000000-0010-0000-6D01-000001000000}" uniqueName="1">
      <xmlPr mapId="43" xpath="/ns1:Root/ns1:Prog/ns1:Target_P8" xmlDataType="string"/>
    </xmlCellPr>
  </singleXmlCell>
  <singleXmlCell id="790" xr6:uid="{00000000-000C-0000-FFFF-FFFF6E010000}" r="P136" connectionId="0">
    <xmlCellPr id="1" xr6:uid="{00000000-0010-0000-6E01-000001000000}" uniqueName="1">
      <xmlPr mapId="43" xpath="/ns1:Root/ns1:Prog/ns1:Target_P9" xmlDataType="string"/>
    </xmlCellPr>
  </singleXmlCell>
  <singleXmlCell id="791" xr6:uid="{00000000-000C-0000-FFFF-FFFF6F010000}" r="Q136" connectionId="0">
    <xmlCellPr id="1" xr6:uid="{00000000-0010-0000-6F01-000001000000}" uniqueName="1">
      <xmlPr mapId="43" xpath="/ns1:Root/ns1:Prog/ns1:Target_P10" xmlDataType="string"/>
    </xmlCellPr>
  </singleXmlCell>
  <singleXmlCell id="792" xr6:uid="{00000000-000C-0000-FFFF-FFFF70010000}" r="R136" connectionId="0">
    <xmlCellPr id="1" xr6:uid="{00000000-0010-0000-7001-000001000000}" uniqueName="1">
      <xmlPr mapId="43" xpath="/ns1:Root/ns1:Prog/ns1:Target_P11" xmlDataType="string"/>
    </xmlCellPr>
  </singleXmlCell>
  <singleXmlCell id="793" xr6:uid="{00000000-000C-0000-FFFF-FFFF71010000}" r="S136" connectionId="0">
    <xmlCellPr id="1" xr6:uid="{00000000-0010-0000-7101-000001000000}" uniqueName="1">
      <xmlPr mapId="43" xpath="/ns1:Root/ns1:Prog/ns1:Target_P12" xmlDataType="string"/>
    </xmlCellPr>
  </singleXmlCell>
  <singleXmlCell id="794" xr6:uid="{00000000-000C-0000-FFFF-FFFF72010000}" r="H137" connectionId="0">
    <xmlCellPr id="1" xr6:uid="{00000000-0010-0000-7201-000001000000}" uniqueName="1">
      <xmlPr mapId="43" xpath="/ns1:Root/ns1:Prog/ns1:Achieved__P1" xmlDataType="string"/>
    </xmlCellPr>
  </singleXmlCell>
  <singleXmlCell id="795" xr6:uid="{00000000-000C-0000-FFFF-FFFF73010000}" r="I137" connectionId="0">
    <xmlCellPr id="1" xr6:uid="{00000000-0010-0000-7301-000001000000}" uniqueName="1">
      <xmlPr mapId="43" xpath="/ns1:Root/ns1:Prog/ns1:Achieved__P2" xmlDataType="string"/>
    </xmlCellPr>
  </singleXmlCell>
  <singleXmlCell id="796" xr6:uid="{00000000-000C-0000-FFFF-FFFF74010000}" r="J137" connectionId="0">
    <xmlCellPr id="1" xr6:uid="{00000000-0010-0000-7401-000001000000}" uniqueName="1">
      <xmlPr mapId="43" xpath="/ns1:Root/ns1:Prog/ns1:Achieved__P3" xmlDataType="string"/>
    </xmlCellPr>
  </singleXmlCell>
  <singleXmlCell id="797" xr6:uid="{00000000-000C-0000-FFFF-FFFF75010000}" r="K137" connectionId="0">
    <xmlCellPr id="1" xr6:uid="{00000000-0010-0000-7501-000001000000}" uniqueName="1">
      <xmlPr mapId="43" xpath="/ns1:Root/ns1:Prog/ns1:Achieved__P4" xmlDataType="string"/>
    </xmlCellPr>
  </singleXmlCell>
  <singleXmlCell id="798" xr6:uid="{00000000-000C-0000-FFFF-FFFF76010000}" r="L137" connectionId="0">
    <xmlCellPr id="1" xr6:uid="{00000000-0010-0000-7601-000001000000}" uniqueName="1">
      <xmlPr mapId="43" xpath="/ns1:Root/ns1:Prog/ns1:Achieved__P5" xmlDataType="string"/>
    </xmlCellPr>
  </singleXmlCell>
  <singleXmlCell id="799" xr6:uid="{00000000-000C-0000-FFFF-FFFF77010000}" r="M137" connectionId="0">
    <xmlCellPr id="1" xr6:uid="{00000000-0010-0000-7701-000001000000}" uniqueName="1">
      <xmlPr mapId="43" xpath="/ns1:Root/ns1:Prog/ns1:Achieved__P6" xmlDataType="string"/>
    </xmlCellPr>
  </singleXmlCell>
  <singleXmlCell id="800" xr6:uid="{00000000-000C-0000-FFFF-FFFF78010000}" r="N137" connectionId="0">
    <xmlCellPr id="1" xr6:uid="{00000000-0010-0000-7801-000001000000}" uniqueName="1">
      <xmlPr mapId="43" xpath="/ns1:Root/ns1:Prog/ns1:Achieved__P7" xmlDataType="string"/>
    </xmlCellPr>
  </singleXmlCell>
  <singleXmlCell id="801" xr6:uid="{00000000-000C-0000-FFFF-FFFF79010000}" r="O137" connectionId="0">
    <xmlCellPr id="1" xr6:uid="{00000000-0010-0000-7901-000001000000}" uniqueName="1">
      <xmlPr mapId="43" xpath="/ns1:Root/ns1:Prog/ns1:Achieved__P8" xmlDataType="string"/>
    </xmlCellPr>
  </singleXmlCell>
  <singleXmlCell id="802" xr6:uid="{00000000-000C-0000-FFFF-FFFF7A010000}" r="P137" connectionId="0">
    <xmlCellPr id="1" xr6:uid="{00000000-0010-0000-7A01-000001000000}" uniqueName="1">
      <xmlPr mapId="43" xpath="/ns1:Root/ns1:Prog/ns1:Achieved__P9" xmlDataType="string"/>
    </xmlCellPr>
  </singleXmlCell>
  <singleXmlCell id="803" xr6:uid="{00000000-000C-0000-FFFF-FFFF7B010000}" r="Q137" connectionId="0">
    <xmlCellPr id="1" xr6:uid="{00000000-0010-0000-7B01-000001000000}" uniqueName="1">
      <xmlPr mapId="43" xpath="/ns1:Root/ns1:Prog/ns1:Achieved__P10" xmlDataType="string"/>
    </xmlCellPr>
  </singleXmlCell>
  <singleXmlCell id="804" xr6:uid="{00000000-000C-0000-FFFF-FFFF7C010000}" r="R137" connectionId="0">
    <xmlCellPr id="1" xr6:uid="{00000000-0010-0000-7C01-000001000000}" uniqueName="1">
      <xmlPr mapId="43" xpath="/ns1:Root/ns1:Prog/ns1:Achieved__P11" xmlDataType="string"/>
    </xmlCellPr>
  </singleXmlCell>
  <singleXmlCell id="805" xr6:uid="{00000000-000C-0000-FFFF-FFFF7D010000}" r="S137" connectionId="0">
    <xmlCellPr id="1" xr6:uid="{00000000-0010-0000-7D01-000001000000}" uniqueName="1">
      <xmlPr mapId="43" xpath="/ns1:Root/ns1:Prog/ns1:Achieved__P12" xmlDataType="string"/>
    </xmlCellPr>
  </singleXmlCell>
  <singleXmlCell id="806" xr6:uid="{00000000-000C-0000-FFFF-FFFF7E010000}" r="K120" connectionId="0">
    <xmlCellPr id="1" xr6:uid="{00000000-0010-0000-7E01-000001000000}" uniqueName="1">
      <xmlPr mapId="43" xpath="/ns1:Root/ns1:Prog/ns1:Target_P4_2" xmlDataType="double"/>
    </xmlCellPr>
  </singleXmlCell>
  <singleXmlCell id="807" xr6:uid="{00000000-000C-0000-FFFF-FFFF7F010000}" r="B118" connectionId="0">
    <xmlCellPr id="1" xr6:uid="{00000000-0010-0000-7F01-000001000000}" uniqueName="1">
      <xmlPr mapId="43" xpath="/ns1:Root/ns1:P1" xmlDataType="string"/>
    </xmlCellPr>
  </singleXmlCell>
  <singleXmlCell id="808" xr6:uid="{00000000-000C-0000-FFFF-FFFF80010000}" r="E118" connectionId="0">
    <xmlCellPr id="1" xr6:uid="{00000000-0010-0000-8001-000001000000}" uniqueName="1">
      <xmlPr mapId="43" xpath="/ns1:Root/ns1:P1_Code" xmlDataType="double"/>
    </xmlCellPr>
  </singleXmlCell>
  <singleXmlCell id="809" xr6:uid="{00000000-000C-0000-FFFF-FFFF81010000}" r="F118" connectionId="0">
    <xmlCellPr id="1" xr6:uid="{00000000-0010-0000-8101-000001000000}" uniqueName="1">
      <xmlPr mapId="43" xpath="/ns1:Root/ns1:P1_Tied" xmlDataType="string"/>
    </xmlCellPr>
  </singleXmlCell>
  <singleXmlCell id="810" xr6:uid="{00000000-000C-0000-FFFF-FFFF82010000}" r="B120" connectionId="0">
    <xmlCellPr id="1" xr6:uid="{00000000-0010-0000-8201-000001000000}" uniqueName="1">
      <xmlPr mapId="43" xpath="/ns1:Root/ns1:P2" xmlDataType="string"/>
    </xmlCellPr>
  </singleXmlCell>
  <singleXmlCell id="811" xr6:uid="{00000000-000C-0000-FFFF-FFFF83010000}" r="E120" connectionId="0">
    <xmlCellPr id="1" xr6:uid="{00000000-0010-0000-8301-000001000000}" uniqueName="1">
      <xmlPr mapId="43" xpath="/ns1:Root/ns1:P2_Code" xmlDataType="double"/>
    </xmlCellPr>
  </singleXmlCell>
  <singleXmlCell id="812" xr6:uid="{00000000-000C-0000-FFFF-FFFF84010000}" r="F120" connectionId="0">
    <xmlCellPr id="1" xr6:uid="{00000000-0010-0000-8401-000001000000}" uniqueName="1">
      <xmlPr mapId="43" xpath="/ns1:Root/ns1:P2_Tied" xmlDataType="string"/>
    </xmlCellPr>
  </singleXmlCell>
  <singleXmlCell id="813" xr6:uid="{00000000-000C-0000-FFFF-FFFF85010000}" r="B122" connectionId="0">
    <xmlCellPr id="1" xr6:uid="{00000000-0010-0000-8501-000001000000}" uniqueName="1">
      <xmlPr mapId="43" xpath="/ns1:Root/ns1:P3" xmlDataType="string"/>
    </xmlCellPr>
  </singleXmlCell>
  <singleXmlCell id="814" xr6:uid="{00000000-000C-0000-FFFF-FFFF86010000}" r="E122" connectionId="0">
    <xmlCellPr id="1" xr6:uid="{00000000-0010-0000-8601-000001000000}" uniqueName="1">
      <xmlPr mapId="43" xpath="/ns1:Root/ns1:P3_Code" xmlDataType="double"/>
    </xmlCellPr>
  </singleXmlCell>
  <singleXmlCell id="815" xr6:uid="{00000000-000C-0000-FFFF-FFFF87010000}" r="F122" connectionId="0">
    <xmlCellPr id="1" xr6:uid="{00000000-0010-0000-8701-000001000000}" uniqueName="1">
      <xmlPr mapId="43" xpath="/ns1:Root/ns1:P3_Tied" xmlDataType="string"/>
    </xmlCellPr>
  </singleXmlCell>
  <singleXmlCell id="816" xr6:uid="{00000000-000C-0000-FFFF-FFFF88010000}" r="B124" connectionId="0">
    <xmlCellPr id="1" xr6:uid="{00000000-0010-0000-8801-000001000000}" uniqueName="1">
      <xmlPr mapId="43" xpath="/ns1:Root/ns1:P4" xmlDataType="string"/>
    </xmlCellPr>
  </singleXmlCell>
  <singleXmlCell id="817" xr6:uid="{00000000-000C-0000-FFFF-FFFF89010000}" r="E124" connectionId="0">
    <xmlCellPr id="1" xr6:uid="{00000000-0010-0000-8901-000001000000}" uniqueName="1">
      <xmlPr mapId="43" xpath="/ns1:Root/ns1:P4_Code" xmlDataType="double"/>
    </xmlCellPr>
  </singleXmlCell>
  <singleXmlCell id="818" xr6:uid="{00000000-000C-0000-FFFF-FFFF8A010000}" r="F124" connectionId="0">
    <xmlCellPr id="1" xr6:uid="{00000000-0010-0000-8A01-000001000000}" uniqueName="1">
      <xmlPr mapId="43" xpath="/ns1:Root/ns1:P4_Tied" xmlDataType="string"/>
    </xmlCellPr>
  </singleXmlCell>
  <singleXmlCell id="819" xr6:uid="{00000000-000C-0000-FFFF-FFFF8B010000}" r="B126" connectionId="0">
    <xmlCellPr id="1" xr6:uid="{00000000-0010-0000-8B01-000001000000}" uniqueName="1">
      <xmlPr mapId="43" xpath="/ns1:Root/ns1:P5" xmlDataType="string"/>
    </xmlCellPr>
  </singleXmlCell>
  <singleXmlCell id="820" xr6:uid="{00000000-000C-0000-FFFF-FFFF8C010000}" r="E126" connectionId="0">
    <xmlCellPr id="1" xr6:uid="{00000000-0010-0000-8C01-000001000000}" uniqueName="1">
      <xmlPr mapId="43" xpath="/ns1:Root/ns1:P5_Code" xmlDataType="double"/>
    </xmlCellPr>
  </singleXmlCell>
  <singleXmlCell id="821" xr6:uid="{00000000-000C-0000-FFFF-FFFF8D010000}" r="F126" connectionId="0">
    <xmlCellPr id="1" xr6:uid="{00000000-0010-0000-8D01-000001000000}" uniqueName="1">
      <xmlPr mapId="43" xpath="/ns1:Root/ns1:P5_Tied" xmlDataType="string"/>
    </xmlCellPr>
  </singleXmlCell>
  <singleXmlCell id="822" xr6:uid="{00000000-000C-0000-FFFF-FFFF8E010000}" r="B128" connectionId="0">
    <xmlCellPr id="1" xr6:uid="{00000000-0010-0000-8E01-000001000000}" uniqueName="1">
      <xmlPr mapId="43" xpath="/ns1:Root/ns1:P6" xmlDataType="string"/>
    </xmlCellPr>
  </singleXmlCell>
  <singleXmlCell id="823" xr6:uid="{00000000-000C-0000-FFFF-FFFF8F010000}" r="E128" connectionId="0">
    <xmlCellPr id="1" xr6:uid="{00000000-0010-0000-8F01-000001000000}" uniqueName="1">
      <xmlPr mapId="43" xpath="/ns1:Root/ns1:P6_Code" xmlDataType="double"/>
    </xmlCellPr>
  </singleXmlCell>
  <singleXmlCell id="824" xr6:uid="{00000000-000C-0000-FFFF-FFFF90010000}" r="F128" connectionId="0">
    <xmlCellPr id="1" xr6:uid="{00000000-0010-0000-9001-000001000000}" uniqueName="1">
      <xmlPr mapId="43" xpath="/ns1:Root/ns1:P6_Tied" xmlDataType="string"/>
    </xmlCellPr>
  </singleXmlCell>
  <singleXmlCell id="825" xr6:uid="{00000000-000C-0000-FFFF-FFFF91010000}" r="B130" connectionId="0">
    <xmlCellPr id="1" xr6:uid="{00000000-0010-0000-9101-000001000000}" uniqueName="1">
      <xmlPr mapId="43" xpath="/ns1:Root/ns1:P7" xmlDataType="string"/>
    </xmlCellPr>
  </singleXmlCell>
  <singleXmlCell id="826" xr6:uid="{00000000-000C-0000-FFFF-FFFF92010000}" r="E130" connectionId="0">
    <xmlCellPr id="1" xr6:uid="{00000000-0010-0000-9201-000001000000}" uniqueName="1">
      <xmlPr mapId="43" xpath="/ns1:Root/ns1:P7_Code" xmlDataType="double"/>
    </xmlCellPr>
  </singleXmlCell>
  <singleXmlCell id="827" xr6:uid="{00000000-000C-0000-FFFF-FFFF93010000}" r="F130" connectionId="0">
    <xmlCellPr id="1" xr6:uid="{00000000-0010-0000-9301-000001000000}" uniqueName="1">
      <xmlPr mapId="43" xpath="/ns1:Root/ns1:P7_Tied" xmlDataType="string"/>
    </xmlCellPr>
  </singleXmlCell>
  <singleXmlCell id="828" xr6:uid="{00000000-000C-0000-FFFF-FFFF94010000}" r="B132" connectionId="0">
    <xmlCellPr id="1" xr6:uid="{00000000-0010-0000-9401-000001000000}" uniqueName="1">
      <xmlPr mapId="43" xpath="/ns1:Root/ns1:P8" xmlDataType="string"/>
    </xmlCellPr>
  </singleXmlCell>
  <singleXmlCell id="829" xr6:uid="{00000000-000C-0000-FFFF-FFFF95010000}" r="E132" connectionId="0">
    <xmlCellPr id="1" xr6:uid="{00000000-0010-0000-9501-000001000000}" uniqueName="1">
      <xmlPr mapId="43" xpath="/ns1:Root/ns1:P8_Code" xmlDataType="double"/>
    </xmlCellPr>
  </singleXmlCell>
  <singleXmlCell id="830" xr6:uid="{00000000-000C-0000-FFFF-FFFF96010000}" r="F132" connectionId="0">
    <xmlCellPr id="1" xr6:uid="{00000000-0010-0000-9601-000001000000}" uniqueName="1">
      <xmlPr mapId="43" xpath="/ns1:Root/ns1:P8_Tied" xmlDataType="string"/>
    </xmlCellPr>
  </singleXmlCell>
  <singleXmlCell id="831" xr6:uid="{00000000-000C-0000-FFFF-FFFF97010000}" r="B134" connectionId="0">
    <xmlCellPr id="1" xr6:uid="{00000000-0010-0000-9701-000001000000}" uniqueName="1">
      <xmlPr mapId="43" xpath="/ns1:Root/ns1:P9" xmlDataType="string"/>
    </xmlCellPr>
  </singleXmlCell>
  <singleXmlCell id="832" xr6:uid="{00000000-000C-0000-FFFF-FFFF98010000}" r="E134" connectionId="0">
    <xmlCellPr id="1" xr6:uid="{00000000-0010-0000-9801-000001000000}" uniqueName="1">
      <xmlPr mapId="43" xpath="/ns1:Root/ns1:P9_Code" xmlDataType="double"/>
    </xmlCellPr>
  </singleXmlCell>
  <singleXmlCell id="833" xr6:uid="{00000000-000C-0000-FFFF-FFFF99010000}" r="F134" connectionId="0">
    <xmlCellPr id="1" xr6:uid="{00000000-0010-0000-9901-000001000000}" uniqueName="1">
      <xmlPr mapId="43" xpath="/ns1:Root/ns1:P9_Tied" xmlDataType="double"/>
    </xmlCellPr>
  </singleXmlCell>
  <singleXmlCell id="834" xr6:uid="{00000000-000C-0000-FFFF-FFFF9A010000}" r="B136" connectionId="0">
    <xmlCellPr id="1" xr6:uid="{00000000-0010-0000-9A01-000001000000}" uniqueName="1">
      <xmlPr mapId="43" xpath="/ns1:Root/ns1:P10" xmlDataType="string"/>
    </xmlCellPr>
  </singleXmlCell>
  <singleXmlCell id="835" xr6:uid="{00000000-000C-0000-FFFF-FFFF9B010000}" r="E136" connectionId="0">
    <xmlCellPr id="1" xr6:uid="{00000000-0010-0000-9B01-000001000000}" uniqueName="1">
      <xmlPr mapId="43" xpath="/ns1:Root/ns1:P10_Code" xmlDataType="double"/>
    </xmlCellPr>
  </singleXmlCell>
  <singleXmlCell id="836" xr6:uid="{00000000-000C-0000-FFFF-FFFF9C010000}" r="F136" connectionId="0">
    <xmlCellPr id="1" xr6:uid="{00000000-0010-0000-9C01-000001000000}" uniqueName="1">
      <xmlPr mapId="43" xpath="/ns1:Root/ns1:P10_Tied" xmlDataType="string"/>
    </xmlCellPr>
  </singleXmlCell>
  <singleXmlCell id="837" xr6:uid="{00000000-000C-0000-FFFF-FFFF9D010000}" r="D26" connectionId="0">
    <xmlCellPr id="1" xr6:uid="{00000000-0010-0000-9D01-000001000000}" uniqueName="1">
      <xmlPr mapId="43" xpath="/ns1:Root/ns1:Currency" xmlDataType="string"/>
    </xmlCellPr>
  </singleXmlCell>
  <singleXmlCell id="568" xr6:uid="{00000000-000C-0000-FFFF-FFFF9E010000}" r="I118" connectionId="0">
    <xmlCellPr id="1" xr6:uid="{00000000-0010-0000-9E01-000001000000}" uniqueName="1">
      <xmlPr mapId="43" xpath="/ns1:Root/ns1:Prog/ns1:Target_P2_1" xmlDataType="double"/>
    </xmlCellPr>
  </singleXmlCell>
  <singleXmlCell id="569" xr6:uid="{00000000-000C-0000-FFFF-FFFF9F010000}" r="J118" connectionId="0">
    <xmlCellPr id="1" xr6:uid="{00000000-0010-0000-9F01-000001000000}" uniqueName="1">
      <xmlPr mapId="43" xpath="/ns1:Root/ns1:Prog/ns1:Target_P3_1" xmlDataType="double"/>
    </xmlCellPr>
  </singleXmlCell>
  <singleXmlCell id="570" xr6:uid="{00000000-000C-0000-FFFF-FFFFA0010000}" r="K118" connectionId="0">
    <xmlCellPr id="1" xr6:uid="{00000000-0010-0000-A001-000001000000}"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1" t="str">
        <f>+'Grant Detail'!B3:J3</f>
        <v>Dashboard:  Georgia - TB</v>
      </c>
      <c r="C2" s="491"/>
      <c r="D2" s="491"/>
      <c r="E2" s="491"/>
      <c r="F2" s="491"/>
      <c r="G2" s="491"/>
      <c r="H2" s="491"/>
      <c r="I2" s="491"/>
      <c r="J2" s="491"/>
      <c r="K2" s="491"/>
      <c r="L2" s="491"/>
      <c r="M2" s="1"/>
      <c r="N2" s="1"/>
      <c r="O2" s="1"/>
    </row>
    <row r="4" spans="2:15" ht="21">
      <c r="B4" s="492" t="str">
        <f>+IF('Data Entry'!G6="Please Select", "",'Data Entry'!G6) &amp;"  "&amp;+IF('Data Entry'!G8="Please Select", "", 'Data Entry'!G8&amp;",  ")&amp;+IF('Data Entry'!I8="Please Select","",'Data Entry'!I8)</f>
        <v>TB  NFM,  Phase 1</v>
      </c>
      <c r="C4" s="492"/>
      <c r="D4" s="492"/>
      <c r="E4" s="493"/>
      <c r="F4" s="233"/>
      <c r="G4" s="233"/>
      <c r="H4" s="358" t="str">
        <f>+'Data Entry'!B6&amp;" "&amp;+'Data Entry'!C6</f>
        <v>Grant No.: GEO-T-NCDC</v>
      </c>
      <c r="I4" s="358"/>
      <c r="J4" s="232"/>
      <c r="K4" s="233"/>
      <c r="L4" s="233"/>
    </row>
    <row r="22" spans="2:12" ht="26.25">
      <c r="B22" s="494" t="s">
        <v>408</v>
      </c>
      <c r="C22" s="495"/>
      <c r="D22" s="495"/>
      <c r="E22" s="495"/>
      <c r="F22" s="495"/>
      <c r="G22" s="495"/>
      <c r="H22" s="495"/>
      <c r="I22" s="495"/>
      <c r="J22" s="495"/>
      <c r="K22" s="495"/>
      <c r="L22" s="49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3" t="str">
        <f>'Grant Detail'!B3:J3</f>
        <v>Dashboard:  Georgia - TB</v>
      </c>
      <c r="C3" s="903"/>
      <c r="D3" s="903"/>
      <c r="E3" s="903"/>
      <c r="F3" s="903"/>
      <c r="G3" s="903"/>
      <c r="H3" s="903"/>
      <c r="I3" s="1"/>
    </row>
    <row r="6" spans="2:15" ht="18.75">
      <c r="B6" s="891" t="s">
        <v>320</v>
      </c>
      <c r="C6" s="891"/>
      <c r="D6" s="891"/>
      <c r="E6" s="891"/>
      <c r="F6" s="891"/>
      <c r="G6" s="891"/>
      <c r="H6" s="891"/>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5" t="s">
        <v>374</v>
      </c>
      <c r="J9" s="86" t="s">
        <v>374</v>
      </c>
      <c r="M9" s="19"/>
      <c r="N9" s="19"/>
      <c r="O9" s="19"/>
    </row>
    <row r="10" spans="2:15">
      <c r="B10" s="57" t="s">
        <v>28</v>
      </c>
      <c r="C10" s="57" t="s">
        <v>19</v>
      </c>
      <c r="D10" s="57" t="s">
        <v>17</v>
      </c>
      <c r="E10" s="57" t="s">
        <v>18</v>
      </c>
      <c r="F10" s="57" t="s">
        <v>106</v>
      </c>
      <c r="G10" s="434" t="s">
        <v>44</v>
      </c>
      <c r="H10" s="60" t="s">
        <v>49</v>
      </c>
      <c r="I10" s="27" t="s">
        <v>300</v>
      </c>
      <c r="J10" s="86" t="s">
        <v>131</v>
      </c>
      <c r="M10" s="19"/>
      <c r="N10" s="19"/>
      <c r="O10" s="19"/>
    </row>
    <row r="11" spans="2:15">
      <c r="B11" s="57" t="s">
        <v>34</v>
      </c>
      <c r="C11" s="57" t="s">
        <v>14</v>
      </c>
      <c r="D11" s="57" t="s">
        <v>20</v>
      </c>
      <c r="E11" s="57" t="s">
        <v>16</v>
      </c>
      <c r="F11" s="57" t="s">
        <v>107</v>
      </c>
      <c r="G11" s="434" t="s">
        <v>45</v>
      </c>
      <c r="H11" s="60" t="s">
        <v>50</v>
      </c>
      <c r="I11" s="27" t="s">
        <v>301</v>
      </c>
      <c r="J11" s="86" t="s">
        <v>132</v>
      </c>
      <c r="M11" s="19"/>
      <c r="N11" s="19"/>
      <c r="O11" s="19"/>
    </row>
    <row r="12" spans="2:15">
      <c r="B12" s="57" t="s">
        <v>35</v>
      </c>
      <c r="D12" s="57" t="s">
        <v>23</v>
      </c>
      <c r="E12" s="57" t="s">
        <v>24</v>
      </c>
      <c r="F12" s="57" t="s">
        <v>108</v>
      </c>
      <c r="G12" s="434" t="s">
        <v>46</v>
      </c>
      <c r="H12" s="60" t="s">
        <v>51</v>
      </c>
      <c r="I12" s="27" t="s">
        <v>302</v>
      </c>
      <c r="J12" s="86" t="s">
        <v>133</v>
      </c>
      <c r="M12" s="199"/>
      <c r="N12" s="19"/>
      <c r="O12" s="19"/>
    </row>
    <row r="13" spans="2:15">
      <c r="B13" s="57" t="s">
        <v>84</v>
      </c>
      <c r="D13" s="57" t="s">
        <v>25</v>
      </c>
      <c r="E13" s="58"/>
      <c r="F13" s="57" t="s">
        <v>109</v>
      </c>
      <c r="G13" s="434" t="s">
        <v>47</v>
      </c>
      <c r="H13" s="60" t="s">
        <v>52</v>
      </c>
      <c r="I13" s="27" t="s">
        <v>303</v>
      </c>
      <c r="J13" s="86" t="s">
        <v>134</v>
      </c>
      <c r="M13" s="199"/>
      <c r="N13" s="19"/>
      <c r="O13" s="19"/>
    </row>
    <row r="14" spans="2:15">
      <c r="B14" s="57" t="s">
        <v>85</v>
      </c>
      <c r="D14" s="57" t="s">
        <v>38</v>
      </c>
      <c r="F14" s="57" t="s">
        <v>121</v>
      </c>
      <c r="G14" s="43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3"/>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80" zoomScaleNormal="80" zoomScalePageLayoutView="80" workbookViewId="0">
      <pane ySplit="2" topLeftCell="A6"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87" t="str">
        <f>+"Dashboard: "&amp;" "&amp;+IF('Data Entry'!C4="Please Select","",'Data Entry'!C4&amp;" - ")&amp;+IF('Data Entry'!G6="Please Select","",'Data Entry'!G6)</f>
        <v>Dashboard:  Georgia - TB</v>
      </c>
      <c r="C2" s="587"/>
      <c r="D2" s="587"/>
      <c r="E2" s="587"/>
      <c r="F2" s="587"/>
      <c r="G2" s="587"/>
      <c r="H2" s="587"/>
      <c r="I2" s="587"/>
      <c r="J2" s="587"/>
      <c r="K2" s="587"/>
      <c r="L2" s="587"/>
      <c r="M2" s="587"/>
    </row>
    <row r="3" spans="1:15" ht="15.75" customHeight="1">
      <c r="A3" s="3"/>
      <c r="B3" s="224"/>
      <c r="C3" s="224"/>
      <c r="D3" s="224"/>
      <c r="E3" s="224"/>
      <c r="F3" s="224"/>
      <c r="G3" s="224"/>
      <c r="H3" s="224"/>
      <c r="I3" s="224"/>
      <c r="J3" s="224"/>
      <c r="K3" s="225"/>
      <c r="L3" s="225"/>
      <c r="M3" s="3"/>
    </row>
    <row r="5" spans="1:15" ht="23.25">
      <c r="B5" s="562" t="s">
        <v>284</v>
      </c>
      <c r="C5" s="562"/>
      <c r="D5" s="562"/>
      <c r="E5" s="562"/>
      <c r="F5" s="562"/>
      <c r="G5" s="562"/>
      <c r="H5" s="562"/>
      <c r="I5" s="562"/>
      <c r="J5" s="562"/>
      <c r="K5" s="562"/>
      <c r="L5" s="562"/>
      <c r="M5" s="562"/>
      <c r="N5" s="562"/>
      <c r="O5" s="562"/>
    </row>
    <row r="7" spans="1:15" ht="21">
      <c r="B7" s="588" t="s">
        <v>273</v>
      </c>
      <c r="C7" s="589"/>
      <c r="D7" s="590"/>
      <c r="E7" s="588" t="s">
        <v>274</v>
      </c>
      <c r="F7" s="589"/>
      <c r="G7" s="589"/>
      <c r="H7" s="589"/>
      <c r="I7" s="590"/>
      <c r="J7" s="588" t="s">
        <v>275</v>
      </c>
      <c r="K7" s="589"/>
      <c r="L7" s="590"/>
      <c r="M7" s="588" t="s">
        <v>348</v>
      </c>
      <c r="N7" s="589"/>
      <c r="O7" s="590"/>
    </row>
    <row r="8" spans="1:15" ht="92.25" customHeight="1">
      <c r="B8" s="516" t="str">
        <f>+'Data Entry'!B27</f>
        <v>F1: Budget and disbursements by Global Fund</v>
      </c>
      <c r="C8" s="599"/>
      <c r="D8" s="600"/>
      <c r="E8" s="591" t="s">
        <v>395</v>
      </c>
      <c r="F8" s="592"/>
      <c r="G8" s="592"/>
      <c r="H8" s="592"/>
      <c r="I8" s="593"/>
      <c r="J8" s="502" t="s">
        <v>349</v>
      </c>
      <c r="K8" s="503"/>
      <c r="L8" s="504"/>
      <c r="M8" s="502" t="s">
        <v>396</v>
      </c>
      <c r="N8" s="503"/>
      <c r="O8" s="504"/>
    </row>
    <row r="9" spans="1:15" ht="117.75" customHeight="1">
      <c r="B9" s="516" t="str">
        <f>+'Data Entry'!B36</f>
        <v>F2: Budget and actual expenditures by Grant Objective</v>
      </c>
      <c r="C9" s="599"/>
      <c r="D9" s="600"/>
      <c r="E9" s="519" t="s">
        <v>357</v>
      </c>
      <c r="F9" s="520"/>
      <c r="G9" s="520"/>
      <c r="H9" s="520"/>
      <c r="I9" s="521"/>
      <c r="J9" s="502" t="s">
        <v>351</v>
      </c>
      <c r="K9" s="503"/>
      <c r="L9" s="504"/>
      <c r="M9" s="502" t="s">
        <v>396</v>
      </c>
      <c r="N9" s="503"/>
      <c r="O9" s="504"/>
    </row>
    <row r="10" spans="1:15" ht="152.25" customHeight="1">
      <c r="B10" s="594" t="str">
        <f>+'Data Entry'!B49</f>
        <v>F3: Disbursements and expenditures</v>
      </c>
      <c r="C10" s="597"/>
      <c r="D10" s="598"/>
      <c r="E10" s="519" t="s">
        <v>397</v>
      </c>
      <c r="F10" s="520"/>
      <c r="G10" s="520"/>
      <c r="H10" s="520"/>
      <c r="I10" s="521"/>
      <c r="J10" s="502" t="s">
        <v>358</v>
      </c>
      <c r="K10" s="503"/>
      <c r="L10" s="504"/>
      <c r="M10" s="502" t="s">
        <v>350</v>
      </c>
      <c r="N10" s="503"/>
      <c r="O10" s="504"/>
    </row>
    <row r="11" spans="1:15" ht="279.75" customHeight="1">
      <c r="B11" s="594" t="str">
        <f>+'Data Entry'!B58</f>
        <v>F4: Latest PR reporting and disbursement cycle</v>
      </c>
      <c r="C11" s="595"/>
      <c r="D11" s="596"/>
      <c r="E11" s="519" t="s">
        <v>409</v>
      </c>
      <c r="F11" s="520"/>
      <c r="G11" s="520"/>
      <c r="H11" s="520"/>
      <c r="I11" s="521"/>
      <c r="J11" s="502" t="s">
        <v>359</v>
      </c>
      <c r="K11" s="503"/>
      <c r="L11" s="504"/>
      <c r="M11" s="502" t="s">
        <v>278</v>
      </c>
      <c r="N11" s="503"/>
      <c r="O11" s="504"/>
    </row>
    <row r="12" spans="1:15" s="19" customFormat="1">
      <c r="B12" s="558"/>
      <c r="C12" s="558"/>
      <c r="D12" s="558"/>
      <c r="E12" s="586"/>
      <c r="F12" s="586"/>
      <c r="G12" s="586"/>
      <c r="H12" s="586"/>
      <c r="I12" s="586"/>
      <c r="J12" s="586"/>
      <c r="K12" s="586"/>
      <c r="L12" s="586"/>
      <c r="M12" s="586"/>
      <c r="N12" s="586"/>
      <c r="O12" s="586"/>
    </row>
    <row r="13" spans="1:15" s="19" customFormat="1">
      <c r="B13" s="584"/>
      <c r="C13" s="584"/>
      <c r="D13" s="584"/>
      <c r="E13" s="585"/>
      <c r="F13" s="585"/>
      <c r="G13" s="585"/>
      <c r="H13" s="585"/>
      <c r="I13" s="585"/>
      <c r="J13" s="585"/>
      <c r="K13" s="585"/>
      <c r="L13" s="585"/>
      <c r="M13" s="585"/>
      <c r="N13" s="585"/>
      <c r="O13" s="585"/>
    </row>
    <row r="14" spans="1:15" s="19" customFormat="1">
      <c r="B14" s="584"/>
      <c r="C14" s="584"/>
      <c r="D14" s="584"/>
      <c r="E14" s="585"/>
      <c r="F14" s="585"/>
      <c r="G14" s="585"/>
      <c r="H14" s="585"/>
      <c r="I14" s="585"/>
      <c r="J14" s="585"/>
      <c r="K14" s="585"/>
      <c r="L14" s="585"/>
      <c r="M14" s="585"/>
      <c r="N14" s="585"/>
      <c r="O14" s="585"/>
    </row>
    <row r="15" spans="1:15" s="19" customFormat="1">
      <c r="B15" s="584"/>
      <c r="C15" s="584"/>
      <c r="D15" s="584"/>
      <c r="E15" s="585"/>
      <c r="F15" s="585"/>
      <c r="G15" s="585"/>
      <c r="H15" s="585"/>
      <c r="I15" s="585"/>
      <c r="J15" s="585"/>
      <c r="K15" s="585"/>
      <c r="L15" s="585"/>
      <c r="M15" s="585"/>
      <c r="N15" s="585"/>
      <c r="O15" s="585"/>
    </row>
    <row r="16" spans="1:15" ht="23.25">
      <c r="B16" s="562" t="s">
        <v>285</v>
      </c>
      <c r="C16" s="562"/>
      <c r="D16" s="562"/>
      <c r="E16" s="562"/>
      <c r="F16" s="562"/>
      <c r="G16" s="562"/>
      <c r="H16" s="562"/>
      <c r="I16" s="562"/>
      <c r="J16" s="562"/>
      <c r="K16" s="562"/>
      <c r="L16" s="562"/>
      <c r="M16" s="562"/>
      <c r="N16" s="562"/>
      <c r="O16" s="562"/>
    </row>
    <row r="18" spans="1:15" ht="21">
      <c r="B18" s="581" t="s">
        <v>273</v>
      </c>
      <c r="C18" s="582"/>
      <c r="D18" s="583"/>
      <c r="E18" s="581" t="s">
        <v>274</v>
      </c>
      <c r="F18" s="582"/>
      <c r="G18" s="582"/>
      <c r="H18" s="582"/>
      <c r="I18" s="583"/>
      <c r="J18" s="581" t="s">
        <v>275</v>
      </c>
      <c r="K18" s="582"/>
      <c r="L18" s="583"/>
      <c r="M18" s="581" t="s">
        <v>276</v>
      </c>
      <c r="N18" s="582"/>
      <c r="O18" s="583"/>
    </row>
    <row r="19" spans="1:15" ht="114" customHeight="1">
      <c r="B19" s="516" t="str">
        <f>+'Data Entry'!B69</f>
        <v>M1: Status of Conditions Precedent (CPs) and Time Bound Actions (TBAs)</v>
      </c>
      <c r="C19" s="517"/>
      <c r="D19" s="518"/>
      <c r="E19" s="519" t="s">
        <v>283</v>
      </c>
      <c r="F19" s="520"/>
      <c r="G19" s="520"/>
      <c r="H19" s="520"/>
      <c r="I19" s="521"/>
      <c r="J19" s="502" t="s">
        <v>352</v>
      </c>
      <c r="K19" s="503"/>
      <c r="L19" s="504"/>
      <c r="M19" s="502" t="s">
        <v>353</v>
      </c>
      <c r="N19" s="503"/>
      <c r="O19" s="504"/>
    </row>
    <row r="20" spans="1:15" ht="102.75" customHeight="1">
      <c r="B20" s="516" t="str">
        <f>+'Data Entry'!B76</f>
        <v>M2: Status of key PR management positions</v>
      </c>
      <c r="C20" s="517"/>
      <c r="D20" s="518"/>
      <c r="E20" s="519" t="s">
        <v>398</v>
      </c>
      <c r="F20" s="520"/>
      <c r="G20" s="520"/>
      <c r="H20" s="520"/>
      <c r="I20" s="521"/>
      <c r="J20" s="502" t="s">
        <v>280</v>
      </c>
      <c r="K20" s="503"/>
      <c r="L20" s="504"/>
      <c r="M20" s="502" t="s">
        <v>279</v>
      </c>
      <c r="N20" s="503"/>
      <c r="O20" s="504"/>
    </row>
    <row r="21" spans="1:15" ht="111.75" customHeight="1">
      <c r="B21" s="516" t="str">
        <f>+'Data Entry'!B81</f>
        <v xml:space="preserve">M3: Contractual arrangements (SRs) </v>
      </c>
      <c r="C21" s="517"/>
      <c r="D21" s="518"/>
      <c r="E21" s="522" t="s">
        <v>0</v>
      </c>
      <c r="F21" s="520"/>
      <c r="G21" s="520"/>
      <c r="H21" s="520"/>
      <c r="I21" s="521"/>
      <c r="J21" s="502" t="s">
        <v>354</v>
      </c>
      <c r="K21" s="503"/>
      <c r="L21" s="504"/>
      <c r="M21" s="502" t="s">
        <v>355</v>
      </c>
      <c r="N21" s="503"/>
      <c r="O21" s="504"/>
    </row>
    <row r="22" spans="1:15" ht="74.25" customHeight="1">
      <c r="B22" s="516" t="str">
        <f>+'Data Entry'!B86</f>
        <v>M4: Number of complete reports received on time</v>
      </c>
      <c r="C22" s="517"/>
      <c r="D22" s="518"/>
      <c r="E22" s="522" t="s">
        <v>410</v>
      </c>
      <c r="F22" s="529"/>
      <c r="G22" s="529"/>
      <c r="H22" s="529"/>
      <c r="I22" s="530"/>
      <c r="J22" s="502" t="s">
        <v>360</v>
      </c>
      <c r="K22" s="503"/>
      <c r="L22" s="504"/>
      <c r="M22" s="502" t="s">
        <v>281</v>
      </c>
      <c r="N22" s="503"/>
      <c r="O22" s="504"/>
    </row>
    <row r="23" spans="1:15" ht="207.75" customHeight="1">
      <c r="B23" s="523" t="str">
        <f>+'Data Entry'!B92</f>
        <v>M5: Budget and Procurement of health products, health equipment, medicines and pharmaceuticals</v>
      </c>
      <c r="C23" s="524"/>
      <c r="D23" s="525"/>
      <c r="E23" s="540" t="s">
        <v>361</v>
      </c>
      <c r="F23" s="541"/>
      <c r="G23" s="541"/>
      <c r="H23" s="541"/>
      <c r="I23" s="542"/>
      <c r="J23" s="534" t="s">
        <v>277</v>
      </c>
      <c r="K23" s="535"/>
      <c r="L23" s="536"/>
      <c r="M23" s="534" t="s">
        <v>282</v>
      </c>
      <c r="N23" s="535"/>
      <c r="O23" s="536"/>
    </row>
    <row r="24" spans="1:15" ht="114.75" customHeight="1">
      <c r="B24" s="526"/>
      <c r="C24" s="527"/>
      <c r="D24" s="528"/>
      <c r="E24" s="543" t="s">
        <v>356</v>
      </c>
      <c r="F24" s="544"/>
      <c r="G24" s="544"/>
      <c r="H24" s="544"/>
      <c r="I24" s="545"/>
      <c r="J24" s="537"/>
      <c r="K24" s="538"/>
      <c r="L24" s="539"/>
      <c r="M24" s="537"/>
      <c r="N24" s="538"/>
      <c r="O24" s="539"/>
    </row>
    <row r="25" spans="1:15" ht="409.5" customHeight="1">
      <c r="B25" s="516" t="str">
        <f>+'Data Entry'!B105</f>
        <v>M6: Difference between current and safety stock</v>
      </c>
      <c r="C25" s="517"/>
      <c r="D25" s="518"/>
      <c r="E25" s="546" t="s">
        <v>411</v>
      </c>
      <c r="F25" s="547"/>
      <c r="G25" s="547"/>
      <c r="H25" s="547"/>
      <c r="I25" s="548"/>
      <c r="J25" s="552" t="s">
        <v>362</v>
      </c>
      <c r="K25" s="553"/>
      <c r="L25" s="554"/>
      <c r="M25" s="549" t="s">
        <v>367</v>
      </c>
      <c r="N25" s="550"/>
      <c r="O25" s="551"/>
    </row>
    <row r="29" spans="1:15" ht="18.75">
      <c r="B29" s="259"/>
    </row>
    <row r="30" spans="1:15" ht="23.25">
      <c r="B30" s="562" t="s">
        <v>298</v>
      </c>
      <c r="C30" s="562"/>
      <c r="D30" s="562"/>
      <c r="E30" s="562"/>
      <c r="F30" s="562"/>
      <c r="G30" s="562"/>
      <c r="H30" s="562"/>
      <c r="I30" s="562"/>
      <c r="J30" s="562"/>
      <c r="K30" s="562"/>
      <c r="L30" s="562"/>
      <c r="M30" s="562"/>
      <c r="N30" s="562"/>
      <c r="O30" s="562"/>
    </row>
    <row r="32" spans="1:15" ht="28.5" customHeight="1">
      <c r="A32" s="250"/>
      <c r="B32" s="563" t="s">
        <v>346</v>
      </c>
      <c r="C32" s="564"/>
      <c r="D32" s="565"/>
      <c r="E32" s="566" t="s">
        <v>304</v>
      </c>
      <c r="F32" s="567"/>
      <c r="G32" s="567"/>
      <c r="H32" s="567"/>
      <c r="I32" s="568"/>
      <c r="J32" s="566" t="s">
        <v>275</v>
      </c>
      <c r="K32" s="567"/>
      <c r="L32" s="568"/>
      <c r="M32" s="566" t="s">
        <v>276</v>
      </c>
      <c r="N32" s="567"/>
      <c r="O32" s="568"/>
    </row>
    <row r="33" spans="1:15" ht="47.25" customHeight="1">
      <c r="A33" s="251"/>
      <c r="B33" s="505"/>
      <c r="C33" s="506"/>
      <c r="D33" s="507"/>
      <c r="E33" s="496"/>
      <c r="F33" s="497"/>
      <c r="G33" s="497"/>
      <c r="H33" s="497"/>
      <c r="I33" s="498"/>
      <c r="J33" s="508"/>
      <c r="K33" s="509"/>
      <c r="L33" s="510"/>
      <c r="M33" s="508"/>
      <c r="N33" s="509"/>
      <c r="O33" s="510"/>
    </row>
    <row r="34" spans="1:15" ht="59.25" customHeight="1">
      <c r="A34" s="251"/>
      <c r="B34" s="505"/>
      <c r="C34" s="506"/>
      <c r="D34" s="507"/>
      <c r="E34" s="496"/>
      <c r="F34" s="497"/>
      <c r="G34" s="497"/>
      <c r="H34" s="497"/>
      <c r="I34" s="498"/>
      <c r="J34" s="508"/>
      <c r="K34" s="509"/>
      <c r="L34" s="510"/>
      <c r="M34" s="508"/>
      <c r="N34" s="509"/>
      <c r="O34" s="510"/>
    </row>
    <row r="35" spans="1:15" ht="57.75" customHeight="1">
      <c r="A35" s="251"/>
      <c r="B35" s="505"/>
      <c r="C35" s="506"/>
      <c r="D35" s="507"/>
      <c r="E35" s="508"/>
      <c r="F35" s="509"/>
      <c r="G35" s="509"/>
      <c r="H35" s="509"/>
      <c r="I35" s="510"/>
      <c r="J35" s="508"/>
      <c r="K35" s="509"/>
      <c r="L35" s="510"/>
      <c r="M35" s="508"/>
      <c r="N35" s="509"/>
      <c r="O35" s="510"/>
    </row>
    <row r="36" spans="1:15" ht="9.75" customHeight="1">
      <c r="A36" s="251"/>
      <c r="B36" s="511"/>
      <c r="C36" s="512"/>
      <c r="D36" s="513"/>
      <c r="E36" s="252"/>
      <c r="F36" s="253"/>
      <c r="G36" s="253"/>
      <c r="H36" s="253"/>
      <c r="I36" s="254"/>
      <c r="J36" s="272"/>
      <c r="K36" s="273"/>
      <c r="L36" s="274"/>
      <c r="M36" s="272"/>
      <c r="N36" s="273"/>
      <c r="O36" s="274"/>
    </row>
    <row r="37" spans="1:15" ht="46.5" customHeight="1">
      <c r="A37" s="251"/>
      <c r="B37" s="505"/>
      <c r="C37" s="506"/>
      <c r="D37" s="507"/>
      <c r="E37" s="508"/>
      <c r="F37" s="514"/>
      <c r="G37" s="514"/>
      <c r="H37" s="514"/>
      <c r="I37" s="515"/>
      <c r="J37" s="267"/>
      <c r="K37" s="268"/>
      <c r="L37" s="269"/>
      <c r="M37" s="267"/>
      <c r="N37" s="268"/>
      <c r="O37" s="269"/>
    </row>
    <row r="38" spans="1:15" ht="69" customHeight="1">
      <c r="A38" s="251"/>
      <c r="B38" s="505"/>
      <c r="C38" s="506"/>
      <c r="D38" s="507"/>
      <c r="E38" s="496"/>
      <c r="F38" s="497"/>
      <c r="G38" s="497"/>
      <c r="H38" s="497"/>
      <c r="I38" s="498"/>
      <c r="J38" s="508"/>
      <c r="K38" s="509"/>
      <c r="L38" s="510"/>
      <c r="M38" s="508"/>
      <c r="N38" s="509"/>
      <c r="O38" s="510"/>
    </row>
    <row r="39" spans="1:15" ht="64.5" customHeight="1">
      <c r="A39" s="251"/>
      <c r="B39" s="505"/>
      <c r="C39" s="506"/>
      <c r="D39" s="507"/>
      <c r="E39" s="508"/>
      <c r="F39" s="509"/>
      <c r="G39" s="509"/>
      <c r="H39" s="509"/>
      <c r="I39" s="510"/>
      <c r="J39" s="267"/>
      <c r="K39" s="268"/>
      <c r="L39" s="269"/>
      <c r="M39" s="267"/>
      <c r="N39" s="268"/>
      <c r="O39" s="269"/>
    </row>
    <row r="40" spans="1:15" ht="45" customHeight="1">
      <c r="A40" s="251"/>
      <c r="B40" s="555"/>
      <c r="C40" s="556"/>
      <c r="D40" s="557"/>
      <c r="E40" s="578"/>
      <c r="F40" s="579"/>
      <c r="G40" s="579"/>
      <c r="H40" s="579"/>
      <c r="I40" s="580"/>
      <c r="J40" s="508"/>
      <c r="K40" s="509"/>
      <c r="L40" s="510"/>
      <c r="M40" s="508"/>
      <c r="N40" s="509"/>
      <c r="O40" s="510"/>
    </row>
    <row r="41" spans="1:15" ht="62.25" customHeight="1">
      <c r="A41" s="251"/>
      <c r="B41" s="499"/>
      <c r="C41" s="500"/>
      <c r="D41" s="501"/>
      <c r="E41" s="496"/>
      <c r="F41" s="497"/>
      <c r="G41" s="497"/>
      <c r="H41" s="497"/>
      <c r="I41" s="498"/>
      <c r="J41" s="508"/>
      <c r="K41" s="509"/>
      <c r="L41" s="510"/>
      <c r="M41" s="508"/>
      <c r="N41" s="509"/>
      <c r="O41" s="510"/>
    </row>
    <row r="42" spans="1:15" ht="84" customHeight="1">
      <c r="A42" s="251"/>
      <c r="B42" s="499"/>
      <c r="C42" s="500"/>
      <c r="D42" s="501"/>
      <c r="E42" s="508"/>
      <c r="F42" s="509"/>
      <c r="G42" s="509"/>
      <c r="H42" s="509"/>
      <c r="I42" s="510"/>
      <c r="J42" s="267"/>
      <c r="K42" s="268"/>
      <c r="L42" s="269"/>
      <c r="M42" s="267"/>
      <c r="N42" s="268"/>
      <c r="O42" s="269"/>
    </row>
    <row r="43" spans="1:15" ht="45" customHeight="1">
      <c r="A43" s="251"/>
      <c r="B43" s="499"/>
      <c r="C43" s="500"/>
      <c r="D43" s="501"/>
      <c r="E43" s="496"/>
      <c r="F43" s="497"/>
      <c r="G43" s="497"/>
      <c r="H43" s="497"/>
      <c r="I43" s="498"/>
      <c r="J43" s="508"/>
      <c r="K43" s="509"/>
      <c r="L43" s="510"/>
      <c r="M43" s="267"/>
      <c r="N43" s="268"/>
      <c r="O43" s="269"/>
    </row>
    <row r="44" spans="1:15" ht="64.5" customHeight="1">
      <c r="A44" s="251"/>
      <c r="B44" s="555"/>
      <c r="C44" s="556"/>
      <c r="D44" s="557"/>
      <c r="E44" s="496"/>
      <c r="F44" s="497"/>
      <c r="G44" s="497"/>
      <c r="H44" s="497"/>
      <c r="I44" s="498"/>
      <c r="J44" s="508"/>
      <c r="K44" s="509"/>
      <c r="L44" s="510"/>
      <c r="M44" s="267"/>
      <c r="N44" s="268"/>
      <c r="O44" s="269"/>
    </row>
    <row r="45" spans="1:15" ht="49.5" customHeight="1">
      <c r="B45" s="555"/>
      <c r="C45" s="556"/>
      <c r="D45" s="557"/>
      <c r="E45" s="496"/>
      <c r="F45" s="497"/>
      <c r="G45" s="497"/>
      <c r="H45" s="497"/>
      <c r="I45" s="498"/>
      <c r="J45" s="508"/>
      <c r="K45" s="509"/>
      <c r="L45" s="510"/>
      <c r="M45" s="267"/>
      <c r="N45" s="268"/>
      <c r="O45" s="269"/>
    </row>
    <row r="46" spans="1:15" ht="30" customHeight="1">
      <c r="B46" s="531"/>
      <c r="C46" s="532"/>
      <c r="D46" s="533"/>
      <c r="E46" s="255"/>
      <c r="F46" s="256"/>
      <c r="G46" s="256"/>
      <c r="H46" s="256"/>
      <c r="I46" s="257"/>
      <c r="J46" s="267"/>
      <c r="K46" s="268"/>
      <c r="L46" s="269"/>
      <c r="M46" s="267"/>
      <c r="N46" s="268"/>
      <c r="O46" s="269"/>
    </row>
    <row r="47" spans="1:15" ht="44.25" customHeight="1">
      <c r="B47" s="572" t="s">
        <v>299</v>
      </c>
      <c r="C47" s="573"/>
      <c r="D47" s="574"/>
      <c r="E47" s="575" t="s">
        <v>274</v>
      </c>
      <c r="F47" s="576"/>
      <c r="G47" s="576"/>
      <c r="H47" s="576"/>
      <c r="I47" s="577"/>
      <c r="J47" s="575" t="s">
        <v>275</v>
      </c>
      <c r="K47" s="576"/>
      <c r="L47" s="577"/>
      <c r="M47" s="575" t="s">
        <v>276</v>
      </c>
      <c r="N47" s="576"/>
      <c r="O47" s="577"/>
    </row>
    <row r="48" spans="1:15" ht="33.75" customHeight="1">
      <c r="B48" s="246"/>
      <c r="C48" s="247"/>
      <c r="D48" s="247"/>
      <c r="E48" s="240"/>
      <c r="F48" s="242"/>
      <c r="G48" s="242"/>
      <c r="H48" s="242"/>
      <c r="I48" s="242"/>
      <c r="J48" s="240"/>
      <c r="K48" s="240"/>
      <c r="L48" s="241"/>
      <c r="M48" s="239"/>
      <c r="N48" s="240"/>
      <c r="O48" s="241"/>
    </row>
    <row r="49" spans="2:15" ht="15.75" customHeight="1">
      <c r="B49" s="569" t="s">
        <v>296</v>
      </c>
      <c r="C49" s="570"/>
      <c r="D49" s="570"/>
      <c r="E49" s="570"/>
      <c r="F49" s="570"/>
      <c r="G49" s="570"/>
      <c r="H49" s="570"/>
      <c r="I49" s="570"/>
      <c r="J49" s="570"/>
      <c r="K49" s="570"/>
      <c r="L49" s="571"/>
      <c r="M49" s="559" t="s">
        <v>286</v>
      </c>
      <c r="N49" s="560"/>
      <c r="O49" s="561"/>
    </row>
    <row r="50" spans="2:15">
      <c r="D50" s="226"/>
    </row>
    <row r="52" spans="2:15">
      <c r="D52" s="226"/>
    </row>
    <row r="53" spans="2:15">
      <c r="D53" s="226"/>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2"/>
  <sheetViews>
    <sheetView showGridLines="0" tabSelected="1" topLeftCell="A9" workbookViewId="0">
      <selection activeCell="J16" sqref="J16"/>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29" t="s">
        <v>375</v>
      </c>
      <c r="C2" s="629"/>
      <c r="D2" s="629"/>
      <c r="E2" s="629"/>
      <c r="F2" s="629"/>
      <c r="G2" s="629"/>
      <c r="H2" s="629"/>
      <c r="I2" s="629"/>
      <c r="J2" s="629"/>
      <c r="K2" s="291"/>
      <c r="L2" s="291"/>
      <c r="M2" s="291"/>
    </row>
    <row r="3" spans="1:13" ht="4.5" customHeight="1">
      <c r="A3" s="3"/>
      <c r="B3" s="3"/>
      <c r="C3" s="3"/>
      <c r="D3" s="3"/>
      <c r="E3" s="3"/>
      <c r="F3" s="3"/>
      <c r="G3" s="3"/>
      <c r="H3" s="3"/>
      <c r="I3" s="3"/>
      <c r="J3" s="3"/>
      <c r="K3" s="3"/>
      <c r="L3" s="3"/>
      <c r="M3" s="3"/>
    </row>
    <row r="4" spans="1:13">
      <c r="A4" s="3"/>
      <c r="B4" s="289" t="s">
        <v>26</v>
      </c>
      <c r="C4" s="630" t="s">
        <v>177</v>
      </c>
      <c r="D4" s="631"/>
      <c r="E4" s="601" t="s">
        <v>12</v>
      </c>
      <c r="F4" s="601"/>
      <c r="G4" s="632" t="s">
        <v>432</v>
      </c>
      <c r="H4" s="633"/>
      <c r="I4" s="633"/>
      <c r="J4" s="634"/>
      <c r="K4" s="3"/>
      <c r="L4" s="3"/>
      <c r="M4" s="3"/>
    </row>
    <row r="5" spans="1:13" ht="3" customHeight="1">
      <c r="A5" s="3"/>
      <c r="B5" s="289"/>
      <c r="C5" s="3"/>
      <c r="D5" s="3"/>
      <c r="E5" s="292"/>
      <c r="F5" s="292"/>
      <c r="G5" s="3"/>
      <c r="H5" s="3"/>
      <c r="I5" s="3"/>
      <c r="J5" s="3"/>
      <c r="K5" s="3"/>
      <c r="L5" s="3"/>
      <c r="M5" s="3"/>
    </row>
    <row r="6" spans="1:13">
      <c r="A6" s="3"/>
      <c r="B6" s="289" t="s">
        <v>117</v>
      </c>
      <c r="C6" s="630" t="s">
        <v>421</v>
      </c>
      <c r="D6" s="631"/>
      <c r="E6" s="601" t="s">
        <v>27</v>
      </c>
      <c r="F6" s="601"/>
      <c r="G6" s="322" t="s">
        <v>35</v>
      </c>
      <c r="H6" s="289" t="s">
        <v>322</v>
      </c>
      <c r="I6" s="637">
        <v>12125491</v>
      </c>
      <c r="J6" s="638"/>
      <c r="K6" s="3"/>
      <c r="L6" s="3"/>
      <c r="M6" s="3"/>
    </row>
    <row r="7" spans="1:13" ht="3" customHeight="1">
      <c r="A7" s="3"/>
      <c r="B7" s="289"/>
      <c r="C7" s="3"/>
      <c r="D7" s="3"/>
      <c r="E7" s="292"/>
      <c r="F7" s="292"/>
      <c r="G7" s="3"/>
      <c r="H7" s="289"/>
      <c r="I7" s="3"/>
      <c r="J7" s="3"/>
      <c r="K7" s="3"/>
      <c r="L7" s="3"/>
      <c r="M7" s="3"/>
    </row>
    <row r="8" spans="1:13">
      <c r="A8" s="3"/>
      <c r="B8" s="289" t="s">
        <v>269</v>
      </c>
      <c r="C8" s="630" t="s">
        <v>420</v>
      </c>
      <c r="D8" s="631"/>
      <c r="E8" s="293"/>
      <c r="F8" s="288" t="s">
        <v>324</v>
      </c>
      <c r="G8" s="410" t="s">
        <v>425</v>
      </c>
      <c r="H8" s="288" t="s">
        <v>323</v>
      </c>
      <c r="I8" s="630" t="s">
        <v>18</v>
      </c>
      <c r="J8" s="631"/>
      <c r="K8" s="3"/>
      <c r="L8" s="3"/>
      <c r="M8" s="3"/>
    </row>
    <row r="9" spans="1:13" ht="3" customHeight="1">
      <c r="A9" s="3"/>
      <c r="B9" s="292"/>
      <c r="C9" s="3"/>
      <c r="D9" s="3"/>
      <c r="E9" s="292"/>
      <c r="F9" s="292"/>
      <c r="G9" s="3"/>
      <c r="H9" s="3"/>
      <c r="I9" s="3"/>
      <c r="J9" s="3"/>
      <c r="K9" s="3"/>
      <c r="L9" s="3"/>
      <c r="M9" s="3"/>
    </row>
    <row r="10" spans="1:13">
      <c r="A10" s="3"/>
      <c r="B10" s="289" t="s">
        <v>405</v>
      </c>
      <c r="C10" s="642">
        <v>42736</v>
      </c>
      <c r="D10" s="643"/>
      <c r="E10" s="635" t="s">
        <v>31</v>
      </c>
      <c r="F10" s="636"/>
      <c r="G10" s="630" t="s">
        <v>263</v>
      </c>
      <c r="H10" s="640"/>
      <c r="I10" s="640"/>
      <c r="J10" s="631"/>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54" t="s">
        <v>45</v>
      </c>
      <c r="D12" s="654"/>
      <c r="E12" s="635" t="s">
        <v>290</v>
      </c>
      <c r="F12" s="601"/>
      <c r="G12" s="639"/>
      <c r="H12" s="639"/>
      <c r="I12" s="639"/>
      <c r="J12" s="639"/>
      <c r="K12" s="3"/>
      <c r="L12" s="3"/>
      <c r="M12" s="3"/>
    </row>
    <row r="13" spans="1:13" ht="5.25" customHeight="1">
      <c r="A13" s="3"/>
      <c r="B13" s="3"/>
      <c r="C13" s="3"/>
      <c r="D13" s="3"/>
      <c r="E13" s="3"/>
      <c r="F13" s="3"/>
      <c r="G13" s="3"/>
      <c r="H13" s="3"/>
      <c r="I13" s="3"/>
      <c r="J13" s="3"/>
      <c r="K13" s="3"/>
      <c r="L13" s="3"/>
      <c r="M13" s="3"/>
    </row>
    <row r="14" spans="1:13" ht="15.75" customHeight="1">
      <c r="A14" s="3"/>
      <c r="B14" s="629" t="s">
        <v>2</v>
      </c>
      <c r="C14" s="629"/>
      <c r="D14" s="629"/>
      <c r="E14" s="629"/>
      <c r="F14" s="629"/>
      <c r="G14" s="629"/>
      <c r="H14" s="629"/>
      <c r="I14" s="629"/>
      <c r="J14" s="629"/>
      <c r="K14" s="3"/>
      <c r="L14" s="3"/>
      <c r="M14" s="3"/>
    </row>
    <row r="15" spans="1:13" ht="3" customHeight="1">
      <c r="A15" s="3"/>
      <c r="B15" s="3"/>
      <c r="C15" s="3"/>
      <c r="D15" s="3"/>
      <c r="E15" s="3"/>
      <c r="F15" s="3"/>
      <c r="G15" s="3"/>
      <c r="H15" s="3"/>
      <c r="I15" s="3"/>
      <c r="J15" s="3"/>
      <c r="K15" s="3"/>
      <c r="L15" s="3"/>
      <c r="M15" s="3"/>
    </row>
    <row r="16" spans="1:13">
      <c r="A16" s="3"/>
      <c r="B16" s="289" t="s">
        <v>21</v>
      </c>
      <c r="C16" s="410" t="s">
        <v>123</v>
      </c>
      <c r="D16" s="288" t="s">
        <v>325</v>
      </c>
      <c r="E16" s="294">
        <v>43282</v>
      </c>
      <c r="F16" s="290" t="s">
        <v>8</v>
      </c>
      <c r="G16" s="294">
        <v>43373</v>
      </c>
      <c r="H16" s="635" t="s">
        <v>326</v>
      </c>
      <c r="I16" s="636"/>
      <c r="J16" s="294">
        <v>43410</v>
      </c>
      <c r="K16" s="3"/>
      <c r="L16" s="3"/>
      <c r="M16" s="3"/>
    </row>
    <row r="17" spans="1:35" ht="3" customHeight="1">
      <c r="A17" s="3"/>
      <c r="B17" s="3"/>
      <c r="C17" s="3"/>
      <c r="D17" s="3"/>
      <c r="E17" s="3"/>
      <c r="F17" s="3"/>
      <c r="G17" s="3"/>
      <c r="H17" s="3"/>
      <c r="I17" s="3"/>
      <c r="J17" s="3"/>
      <c r="K17" s="3"/>
      <c r="L17" s="3"/>
      <c r="M17" s="3"/>
    </row>
    <row r="18" spans="1:35">
      <c r="A18" s="3"/>
      <c r="B18" s="641" t="s">
        <v>32</v>
      </c>
      <c r="C18" s="636"/>
      <c r="D18" s="655" t="s">
        <v>443</v>
      </c>
      <c r="E18" s="655"/>
      <c r="F18" s="655"/>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29" t="s">
        <v>363</v>
      </c>
      <c r="C21" s="629"/>
      <c r="D21" s="629"/>
      <c r="E21" s="629"/>
      <c r="F21" s="629"/>
      <c r="G21" s="629"/>
      <c r="H21" s="629"/>
      <c r="I21" s="629"/>
      <c r="J21" s="629"/>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75" thickBot="1">
      <c r="A24" s="3"/>
      <c r="B24" s="289" t="s">
        <v>400</v>
      </c>
      <c r="C24" s="397"/>
      <c r="D24" s="601" t="s">
        <v>401</v>
      </c>
      <c r="E24" s="601"/>
      <c r="F24" s="398"/>
      <c r="G24" s="601" t="s">
        <v>402</v>
      </c>
      <c r="H24" s="601"/>
      <c r="I24" s="602"/>
      <c r="J24" s="603"/>
      <c r="K24" s="3"/>
      <c r="L24" s="3"/>
      <c r="M24" s="3"/>
      <c r="N24" s="20"/>
    </row>
    <row r="25" spans="1:35" ht="19.5" thickBot="1">
      <c r="A25" s="3"/>
      <c r="B25" s="87" t="s">
        <v>400</v>
      </c>
      <c r="C25" s="88"/>
      <c r="D25" s="88"/>
      <c r="E25" s="88"/>
      <c r="F25" s="88"/>
      <c r="G25" s="88"/>
      <c r="H25" s="275"/>
      <c r="I25" s="89"/>
      <c r="J25" s="89"/>
      <c r="K25" s="275" t="s">
        <v>327</v>
      </c>
      <c r="L25" s="88"/>
      <c r="M25" s="88"/>
      <c r="N25" s="418"/>
      <c r="O25" s="40"/>
      <c r="AI25" s="44"/>
    </row>
    <row r="26" spans="1:35">
      <c r="A26" s="3"/>
      <c r="B26" s="661" t="s">
        <v>371</v>
      </c>
      <c r="C26" s="662"/>
      <c r="D26" s="43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05" t="s">
        <v>60</v>
      </c>
      <c r="C29" s="606"/>
      <c r="D29" s="606"/>
      <c r="E29" s="606"/>
      <c r="F29" s="606"/>
      <c r="G29" s="606"/>
      <c r="H29" s="606"/>
      <c r="I29" s="606"/>
      <c r="J29" s="606"/>
      <c r="K29" s="606"/>
      <c r="L29" s="606"/>
      <c r="M29" s="606"/>
      <c r="N29" s="607"/>
      <c r="P29" s="211"/>
      <c r="Q29" s="212"/>
      <c r="R29" s="213">
        <f>+C33</f>
        <v>444558.86488592584</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2614252.7382121803</v>
      </c>
      <c r="S30" s="211"/>
    </row>
    <row r="31" spans="1:35">
      <c r="A31" s="3"/>
      <c r="B31" s="285" t="str">
        <f>CONCATENATE("Budget (in ",'Data Entry'!$D$26,")")</f>
        <v>Budget (in $)</v>
      </c>
      <c r="C31" s="390">
        <v>444558.86488592584</v>
      </c>
      <c r="D31" s="389">
        <v>2169693.8733262545</v>
      </c>
      <c r="E31" s="389">
        <v>1537816.9650550163</v>
      </c>
      <c r="F31" s="389">
        <v>1536942.7249900626</v>
      </c>
      <c r="G31" s="389">
        <v>705914.63009024388</v>
      </c>
      <c r="H31" s="389">
        <v>1524545.7024829609</v>
      </c>
      <c r="I31" s="389">
        <v>1108922.3783291313</v>
      </c>
      <c r="J31" s="389">
        <v>473041.77150525991</v>
      </c>
      <c r="K31" s="389">
        <v>515541.4678072643</v>
      </c>
      <c r="L31" s="389">
        <v>1002225.2847618536</v>
      </c>
      <c r="M31" s="389">
        <v>764900.50255428348</v>
      </c>
      <c r="N31" s="389">
        <v>341386.51477899484</v>
      </c>
      <c r="O31" s="696">
        <f>+SUM(C35:N35)</f>
        <v>0.87064432591191321</v>
      </c>
      <c r="P31" s="211"/>
      <c r="Q31" s="212"/>
      <c r="R31" s="213">
        <f>+E33</f>
        <v>4152069.7032671967</v>
      </c>
      <c r="S31" s="211"/>
    </row>
    <row r="32" spans="1:35">
      <c r="A32" s="3"/>
      <c r="B32" s="93" t="str">
        <f>CONCATENATE("Disbursements by GF (in ", $D$26,")")</f>
        <v>Disbursements by GF (in $)</v>
      </c>
      <c r="C32" s="390">
        <f>444559+428004</f>
        <v>872563</v>
      </c>
      <c r="D32" s="390"/>
      <c r="E32" s="390">
        <f>854012+2416543</f>
        <v>3270555</v>
      </c>
      <c r="F32" s="390">
        <v>1536942</v>
      </c>
      <c r="G32" s="390">
        <v>655915</v>
      </c>
      <c r="H32" s="390">
        <v>1524546</v>
      </c>
      <c r="I32" s="390">
        <v>0</v>
      </c>
      <c r="J32" s="389"/>
      <c r="K32" s="389">
        <v>0</v>
      </c>
      <c r="L32" s="389"/>
      <c r="M32" s="389"/>
      <c r="N32" s="389"/>
      <c r="O32" s="697"/>
      <c r="P32" s="211"/>
      <c r="Q32" s="212"/>
      <c r="R32" s="213">
        <f>+F33</f>
        <v>5689012.4282572595</v>
      </c>
      <c r="S32" s="211"/>
    </row>
    <row r="33" spans="1:35">
      <c r="A33" s="3"/>
      <c r="B33" s="94" t="s">
        <v>387</v>
      </c>
      <c r="C33" s="391">
        <f>+C31</f>
        <v>444558.86488592584</v>
      </c>
      <c r="D33" s="391">
        <f>IF(AND(D31=0,D32=0),0,+C33+D31)</f>
        <v>2614252.7382121803</v>
      </c>
      <c r="E33" s="391">
        <f t="shared" ref="E33:N33" si="0">IF(AND(E31=0,E32=0),0,+D33+E31)</f>
        <v>4152069.7032671967</v>
      </c>
      <c r="F33" s="391">
        <f t="shared" si="0"/>
        <v>5689012.4282572595</v>
      </c>
      <c r="G33" s="391">
        <f>IF(AND(G31=0,G32=0),0,+F33+G31)</f>
        <v>6394927.0583475037</v>
      </c>
      <c r="H33" s="391">
        <f t="shared" si="0"/>
        <v>7919472.7608304648</v>
      </c>
      <c r="I33" s="391">
        <f t="shared" si="0"/>
        <v>9028395.1391595956</v>
      </c>
      <c r="J33" s="391">
        <f>IF(AND(J31=0,J32=0),0,+I33+J31)</f>
        <v>9501436.9106648564</v>
      </c>
      <c r="K33" s="391">
        <f t="shared" si="0"/>
        <v>10016978.378472121</v>
      </c>
      <c r="L33" s="391">
        <f t="shared" si="0"/>
        <v>11019203.663233975</v>
      </c>
      <c r="M33" s="391">
        <f t="shared" si="0"/>
        <v>11784104.165788259</v>
      </c>
      <c r="N33" s="391">
        <f t="shared" si="0"/>
        <v>12125490.680567253</v>
      </c>
      <c r="O33" s="697"/>
      <c r="P33" s="373"/>
      <c r="Q33" s="212"/>
      <c r="R33" s="213">
        <f>+G33</f>
        <v>6394927.0583475037</v>
      </c>
      <c r="S33" s="211"/>
    </row>
    <row r="34" spans="1:35" ht="15.75" thickBot="1">
      <c r="A34" s="3"/>
      <c r="B34" s="95" t="s">
        <v>388</v>
      </c>
      <c r="C34" s="392">
        <f>+C32</f>
        <v>872563</v>
      </c>
      <c r="D34" s="392">
        <f>IF(AND(D31=0,D32=0),0,+C34+D32)</f>
        <v>872563</v>
      </c>
      <c r="E34" s="392">
        <f t="shared" ref="E34:N34" si="1">IF(AND(E31=0,E32=0),0,+D34+E32)</f>
        <v>4143118</v>
      </c>
      <c r="F34" s="392">
        <f t="shared" si="1"/>
        <v>5680060</v>
      </c>
      <c r="G34" s="392">
        <f>IF(AND(G31=0,G32=0),0,+F34+G32)</f>
        <v>6335975</v>
      </c>
      <c r="H34" s="392">
        <f t="shared" si="1"/>
        <v>7860521</v>
      </c>
      <c r="I34" s="392">
        <f t="shared" si="1"/>
        <v>7860521</v>
      </c>
      <c r="J34" s="392">
        <f t="shared" si="1"/>
        <v>7860521</v>
      </c>
      <c r="K34" s="392">
        <f t="shared" si="1"/>
        <v>7860521</v>
      </c>
      <c r="L34" s="392">
        <f t="shared" si="1"/>
        <v>7860521</v>
      </c>
      <c r="M34" s="392">
        <f t="shared" si="1"/>
        <v>7860521</v>
      </c>
      <c r="N34" s="392">
        <f t="shared" si="1"/>
        <v>7860521</v>
      </c>
      <c r="O34" s="698"/>
      <c r="P34" s="373"/>
      <c r="Q34" s="212"/>
      <c r="R34" s="213">
        <f>+H33</f>
        <v>7919472.7608304648</v>
      </c>
      <c r="S34" s="211"/>
    </row>
    <row r="35" spans="1:35">
      <c r="A35" s="3"/>
      <c r="B35" s="3"/>
      <c r="C35" s="350">
        <f>+IF(AND(C30=$C$16,C33&lt;&gt;0),C34/C33,0)</f>
        <v>0</v>
      </c>
      <c r="D35" s="350">
        <f t="shared" ref="D35:N35" si="2">+IF(AND(D30=$C$16,D33&lt;&gt;0),D34/D33,0)</f>
        <v>0</v>
      </c>
      <c r="E35" s="350">
        <f t="shared" si="2"/>
        <v>0</v>
      </c>
      <c r="F35" s="350">
        <f t="shared" si="2"/>
        <v>0</v>
      </c>
      <c r="G35" s="350">
        <f t="shared" si="2"/>
        <v>0</v>
      </c>
      <c r="H35" s="350">
        <f t="shared" si="2"/>
        <v>0</v>
      </c>
      <c r="I35" s="350">
        <f t="shared" si="2"/>
        <v>0.87064432591191321</v>
      </c>
      <c r="J35" s="350">
        <f t="shared" si="2"/>
        <v>0</v>
      </c>
      <c r="K35" s="350">
        <f t="shared" si="2"/>
        <v>0</v>
      </c>
      <c r="L35" s="350">
        <f t="shared" si="2"/>
        <v>0</v>
      </c>
      <c r="M35" s="350">
        <f t="shared" si="2"/>
        <v>0</v>
      </c>
      <c r="N35" s="350">
        <f t="shared" si="2"/>
        <v>0</v>
      </c>
      <c r="O35" s="297"/>
      <c r="P35" s="214"/>
      <c r="Q35" s="215"/>
      <c r="R35" s="213">
        <f>+I33</f>
        <v>9028395.1391595956</v>
      </c>
      <c r="S35" s="211"/>
    </row>
    <row r="36" spans="1:35" ht="18.75">
      <c r="A36" s="3"/>
      <c r="B36" s="90" t="s">
        <v>380</v>
      </c>
      <c r="C36" s="3"/>
      <c r="D36" s="3"/>
      <c r="E36" s="364"/>
      <c r="F36" s="3"/>
      <c r="G36" s="26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6" t="s">
        <v>422</v>
      </c>
      <c r="G38" s="3"/>
      <c r="H38" s="3"/>
      <c r="I38" s="3"/>
      <c r="J38" s="101"/>
      <c r="K38" s="42"/>
      <c r="N38"/>
      <c r="O38"/>
      <c r="AE38" s="20"/>
      <c r="AF38" s="36"/>
    </row>
    <row r="39" spans="1:35" ht="27.75" customHeight="1">
      <c r="A39" s="3"/>
      <c r="B39" s="404" t="s">
        <v>436</v>
      </c>
      <c r="C39" s="400">
        <v>6469758.5609527454</v>
      </c>
      <c r="D39" s="405">
        <v>3626455.3343556882</v>
      </c>
      <c r="E39" s="298"/>
      <c r="F39" s="375"/>
      <c r="G39" s="376"/>
      <c r="H39" s="3"/>
      <c r="I39" s="205"/>
      <c r="J39" s="102"/>
      <c r="K39" s="43"/>
      <c r="N39"/>
      <c r="O39"/>
      <c r="AE39" s="20"/>
      <c r="AF39" s="36"/>
    </row>
    <row r="40" spans="1:35" ht="14.25" customHeight="1">
      <c r="A40" s="3"/>
      <c r="B40" s="404" t="s">
        <v>437</v>
      </c>
      <c r="C40" s="400">
        <v>729357.10636824102</v>
      </c>
      <c r="D40" s="405">
        <v>552720.02635172615</v>
      </c>
      <c r="E40" s="15"/>
      <c r="F40" s="375"/>
      <c r="G40" s="376"/>
      <c r="H40" s="3"/>
      <c r="I40" s="205"/>
      <c r="J40" s="3"/>
      <c r="K40" s="43"/>
      <c r="N40"/>
      <c r="O40"/>
      <c r="AE40" s="20"/>
      <c r="AF40" s="36"/>
    </row>
    <row r="41" spans="1:35" ht="18" customHeight="1">
      <c r="A41" s="3"/>
      <c r="B41" s="406" t="s">
        <v>438</v>
      </c>
      <c r="C41" s="400">
        <v>169123.93047318101</v>
      </c>
      <c r="D41" s="405">
        <v>96689.541655198351</v>
      </c>
      <c r="E41" s="15"/>
      <c r="F41" s="377"/>
      <c r="G41" s="3"/>
      <c r="H41" s="3"/>
      <c r="I41" s="205"/>
      <c r="J41" s="3"/>
      <c r="K41" s="43"/>
      <c r="N41"/>
      <c r="O41"/>
      <c r="AE41" s="20"/>
      <c r="AF41" s="36"/>
    </row>
    <row r="42" spans="1:35" ht="27" customHeight="1">
      <c r="A42" s="3"/>
      <c r="B42" s="404" t="s">
        <v>439</v>
      </c>
      <c r="C42" s="400">
        <v>561191.15113208361</v>
      </c>
      <c r="D42" s="405">
        <v>75278.877325461013</v>
      </c>
      <c r="E42" s="15"/>
      <c r="F42" s="374"/>
      <c r="G42" s="3"/>
      <c r="H42" s="3"/>
      <c r="I42" s="205"/>
      <c r="J42" s="3"/>
      <c r="K42" s="20"/>
      <c r="N42"/>
      <c r="O42"/>
      <c r="AE42" s="20"/>
      <c r="AF42" s="36"/>
    </row>
    <row r="43" spans="1:35">
      <c r="A43" s="3"/>
      <c r="B43" s="406" t="s">
        <v>440</v>
      </c>
      <c r="C43" s="400">
        <v>572253.83133468975</v>
      </c>
      <c r="D43" s="405">
        <v>259703.22152940987</v>
      </c>
      <c r="E43" s="15"/>
      <c r="F43" s="299"/>
      <c r="G43" s="3"/>
      <c r="H43" s="3"/>
      <c r="I43" s="205"/>
      <c r="J43" s="3"/>
      <c r="K43" s="20"/>
      <c r="N43"/>
      <c r="O43"/>
      <c r="AE43" s="20"/>
      <c r="AF43" s="36"/>
    </row>
    <row r="44" spans="1:35">
      <c r="A44" s="3"/>
      <c r="B44" s="406" t="s">
        <v>441</v>
      </c>
      <c r="C44" s="400">
        <v>315181.86934499332</v>
      </c>
      <c r="D44" s="405">
        <v>247758.72459648465</v>
      </c>
      <c r="E44" s="15"/>
      <c r="F44" s="426"/>
      <c r="G44" s="3"/>
      <c r="H44" s="3"/>
      <c r="I44" s="205"/>
      <c r="J44" s="3"/>
      <c r="K44" s="20"/>
      <c r="N44"/>
      <c r="O44"/>
      <c r="AE44" s="20"/>
      <c r="AF44" s="36"/>
    </row>
    <row r="45" spans="1:35">
      <c r="A45" s="3"/>
      <c r="B45" s="406" t="s">
        <v>442</v>
      </c>
      <c r="C45" s="400">
        <v>211528.68955366031</v>
      </c>
      <c r="D45" s="405">
        <v>0</v>
      </c>
      <c r="E45" s="15"/>
      <c r="F45" s="299"/>
      <c r="G45" s="15"/>
      <c r="H45" s="15"/>
      <c r="I45" s="205"/>
      <c r="J45" s="15"/>
      <c r="K45" s="20"/>
      <c r="N45"/>
      <c r="O45"/>
      <c r="AE45" s="36"/>
      <c r="AF45" s="36"/>
    </row>
    <row r="46" spans="1:35" ht="15.75" thickBot="1">
      <c r="A46" s="3"/>
      <c r="B46" s="407"/>
      <c r="C46" s="399"/>
      <c r="D46" s="405"/>
      <c r="E46" s="15"/>
      <c r="F46" s="15"/>
      <c r="G46" s="15"/>
      <c r="H46" s="15"/>
      <c r="I46" s="15"/>
      <c r="J46" s="15"/>
      <c r="K46" s="20"/>
      <c r="N46"/>
      <c r="O46"/>
      <c r="AE46" s="36"/>
      <c r="AF46" s="36"/>
    </row>
    <row r="47" spans="1:35" ht="15.75" thickBot="1">
      <c r="A47" s="3"/>
      <c r="B47" s="408" t="s">
        <v>59</v>
      </c>
      <c r="C47" s="409">
        <f>ROUNDUP(SUM(C39:C46),2)</f>
        <v>9028395.1400000006</v>
      </c>
      <c r="D47" s="409">
        <f>ROUNDUP(SUM(D39:D46),2)</f>
        <v>4858605.7299999995</v>
      </c>
      <c r="E47" s="297"/>
      <c r="F47" s="703" t="str">
        <f ca="1">+IF((ROUND(C47,0)=ROUND(OFFSET(B33,0,RIGHT('Data Entry'!$C$16,LEN('Data Entry'!$C$16)-1),1,1),0)),"OK: Data match","Warning: Data does not match")</f>
        <v>OK: Data match</v>
      </c>
      <c r="G47" s="704"/>
      <c r="H47" s="704"/>
      <c r="I47" s="705"/>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3"/>
      <c r="C51" s="304" t="s">
        <v>377</v>
      </c>
      <c r="D51" s="304" t="s">
        <v>378</v>
      </c>
      <c r="E51" s="424" t="str">
        <f>CONCATENATE("Total Spent and Disbursement (in ",D26,")")</f>
        <v>Total Spent and Disbursement (in $)</v>
      </c>
      <c r="F51" s="3"/>
      <c r="G51" s="487"/>
      <c r="H51" s="300"/>
      <c r="I51" s="286"/>
      <c r="J51" s="286"/>
      <c r="K51" s="286"/>
      <c r="L51" s="286"/>
      <c r="M51" s="22"/>
      <c r="N51" s="22"/>
      <c r="O51" s="211"/>
      <c r="P51" s="212"/>
      <c r="Q51" s="213">
        <f>+M33</f>
        <v>11784104.165788259</v>
      </c>
      <c r="R51" s="211"/>
      <c r="AH51" s="20"/>
    </row>
    <row r="52" spans="1:35">
      <c r="A52" s="3"/>
      <c r="B52" s="301" t="s">
        <v>312</v>
      </c>
      <c r="C52" s="400">
        <f>C32+E32+D32+F32+G32+H325</f>
        <v>6335975</v>
      </c>
      <c r="D52" s="405">
        <v>0</v>
      </c>
      <c r="E52" s="393">
        <f>+D52+C52</f>
        <v>6335975</v>
      </c>
      <c r="F52" s="3"/>
      <c r="G52" s="97"/>
      <c r="H52" s="488"/>
      <c r="I52" s="96"/>
      <c r="J52" s="208"/>
      <c r="K52" s="209"/>
      <c r="L52" s="98"/>
      <c r="M52" s="37"/>
      <c r="N52" s="37"/>
      <c r="O52" s="211"/>
      <c r="P52" s="211"/>
      <c r="Q52" s="211"/>
      <c r="R52" s="211"/>
      <c r="AH52" s="20"/>
    </row>
    <row r="53" spans="1:35">
      <c r="A53" s="3"/>
      <c r="B53" s="301" t="s">
        <v>291</v>
      </c>
      <c r="C53" s="400">
        <f>2385633.59766922+351318.379538258+845189</f>
        <v>3582140.9772074781</v>
      </c>
      <c r="D53" s="405">
        <v>571790.1502447502</v>
      </c>
      <c r="E53" s="393">
        <f>+D53+C53</f>
        <v>4153931.1274522282</v>
      </c>
      <c r="F53" s="3"/>
      <c r="G53" s="260"/>
      <c r="H53" s="305"/>
      <c r="I53" s="96"/>
      <c r="J53" s="208"/>
      <c r="K53" s="208"/>
      <c r="L53" s="98"/>
      <c r="M53" s="38"/>
      <c r="N53" s="38"/>
      <c r="O53" s="211"/>
      <c r="P53" s="211"/>
      <c r="Q53" s="211"/>
      <c r="R53" s="211"/>
      <c r="AH53" s="20"/>
    </row>
    <row r="54" spans="1:35">
      <c r="A54" s="3"/>
      <c r="B54" s="301" t="s">
        <v>270</v>
      </c>
      <c r="C54" s="400">
        <f>(189634.500777218+107971+89661)+113885.662769684+107024</f>
        <v>608176.16354690201</v>
      </c>
      <c r="D54" s="405">
        <v>96498.696951620557</v>
      </c>
      <c r="E54" s="393">
        <f>+D54+C54</f>
        <v>704674.86049852252</v>
      </c>
      <c r="F54" s="3"/>
      <c r="G54" s="97"/>
      <c r="H54" s="305"/>
      <c r="I54" s="96"/>
      <c r="J54" s="208"/>
      <c r="K54" s="209"/>
      <c r="L54" s="98"/>
      <c r="M54" s="37"/>
      <c r="N54" s="37"/>
      <c r="O54"/>
      <c r="AH54" s="20"/>
    </row>
    <row r="55" spans="1:35" ht="15.75" thickBot="1">
      <c r="A55" s="3"/>
      <c r="B55" s="302" t="s">
        <v>271</v>
      </c>
      <c r="C55" s="400">
        <f>(387266)+220910+34521.83</f>
        <v>642697.82999999996</v>
      </c>
      <c r="D55" s="405">
        <v>93784.6</v>
      </c>
      <c r="E55" s="394">
        <f>+D55+C55</f>
        <v>736482.42999999993</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14" t="s">
        <v>347</v>
      </c>
      <c r="C60" s="615"/>
      <c r="D60" s="616"/>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v>95</v>
      </c>
      <c r="D62" s="490" t="s">
        <v>424</v>
      </c>
      <c r="E62" s="3"/>
      <c r="F62" s="3"/>
      <c r="G62" s="3"/>
      <c r="H62" s="3"/>
      <c r="I62" s="3"/>
      <c r="J62" s="3"/>
      <c r="K62" s="3"/>
      <c r="L62" s="3"/>
      <c r="M62" s="36"/>
      <c r="O62"/>
    </row>
    <row r="63" spans="1:35">
      <c r="A63" s="3"/>
      <c r="B63" s="307" t="s">
        <v>364</v>
      </c>
      <c r="C63" s="400">
        <v>45</v>
      </c>
      <c r="D63" s="490" t="s">
        <v>424</v>
      </c>
      <c r="E63" s="3"/>
      <c r="F63" s="3"/>
      <c r="G63" s="3"/>
      <c r="H63" s="305"/>
      <c r="I63" s="305"/>
      <c r="J63" s="3"/>
      <c r="K63" s="3"/>
      <c r="L63" s="3"/>
      <c r="M63" s="36"/>
      <c r="O63"/>
    </row>
    <row r="64" spans="1:35" ht="15.75" thickBot="1">
      <c r="A64" s="3"/>
      <c r="B64" s="105" t="s">
        <v>365</v>
      </c>
      <c r="C64" s="400">
        <v>5</v>
      </c>
      <c r="D64" s="405">
        <v>3</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20"/>
      <c r="M66" s="3"/>
      <c r="AC66" s="19"/>
      <c r="AD66" s="19"/>
    </row>
    <row r="67" spans="1:30" ht="19.5" thickBot="1">
      <c r="A67" s="3"/>
      <c r="B67" s="106" t="s">
        <v>264</v>
      </c>
      <c r="C67" s="107"/>
      <c r="D67" s="107"/>
      <c r="E67" s="107"/>
      <c r="F67" s="107"/>
      <c r="G67" s="107"/>
      <c r="H67" s="333" t="s">
        <v>305</v>
      </c>
      <c r="I67" s="107"/>
      <c r="J67" s="108"/>
      <c r="K67" s="108"/>
      <c r="L67" s="421"/>
      <c r="M67" s="422"/>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59"/>
      <c r="C71" s="660"/>
      <c r="D71" s="114" t="s">
        <v>118</v>
      </c>
      <c r="E71" s="115" t="s">
        <v>297</v>
      </c>
      <c r="F71" s="115" t="s">
        <v>119</v>
      </c>
      <c r="G71" s="116" t="s">
        <v>59</v>
      </c>
      <c r="H71" s="317"/>
      <c r="I71" s="318"/>
      <c r="J71" s="15"/>
      <c r="K71" s="2"/>
      <c r="L71" s="2"/>
      <c r="M71" s="2"/>
      <c r="N71" s="20"/>
      <c r="O71" s="19"/>
      <c r="P71" s="19"/>
      <c r="Q71" s="19"/>
      <c r="R71" s="19"/>
      <c r="S71" s="19"/>
    </row>
    <row r="72" spans="1:30">
      <c r="A72" s="3"/>
      <c r="B72" s="670" t="s">
        <v>403</v>
      </c>
      <c r="C72" s="671"/>
      <c r="D72" s="263">
        <v>6</v>
      </c>
      <c r="E72" s="263">
        <v>0</v>
      </c>
      <c r="F72" s="263">
        <v>0</v>
      </c>
      <c r="G72" s="118">
        <v>6</v>
      </c>
      <c r="H72" s="299"/>
      <c r="I72" s="316"/>
      <c r="J72" s="316"/>
      <c r="K72" s="2"/>
      <c r="L72" s="2"/>
      <c r="M72" s="2"/>
      <c r="N72" s="20"/>
      <c r="O72" s="19"/>
      <c r="P72" s="19"/>
      <c r="Q72" s="19"/>
      <c r="R72" s="19"/>
      <c r="S72" s="19"/>
    </row>
    <row r="73" spans="1:30" ht="15.75" thickBot="1">
      <c r="A73" s="3"/>
      <c r="B73" s="622" t="s">
        <v>11</v>
      </c>
      <c r="C73" s="623"/>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7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80"/>
      <c r="I83" s="318"/>
      <c r="J83" s="2"/>
      <c r="K83" s="2"/>
      <c r="L83" s="2"/>
      <c r="M83" s="2"/>
      <c r="N83" s="19"/>
      <c r="O83" s="19"/>
      <c r="P83" s="19"/>
      <c r="S83" s="19"/>
    </row>
    <row r="84" spans="1:36" ht="15.7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75" thickBot="1">
      <c r="A90" s="3"/>
      <c r="B90" s="119" t="s">
        <v>391</v>
      </c>
      <c r="C90" s="264">
        <v>3</v>
      </c>
      <c r="D90" s="321">
        <v>3</v>
      </c>
      <c r="E90" s="474">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76920</v>
      </c>
      <c r="D95" s="368">
        <v>1379064.3412315312</v>
      </c>
      <c r="E95" s="368">
        <v>772075.35871231998</v>
      </c>
      <c r="F95" s="368">
        <v>951000</v>
      </c>
      <c r="G95" s="368">
        <v>82240</v>
      </c>
      <c r="H95" s="368">
        <v>768482.09763625008</v>
      </c>
      <c r="I95" s="368">
        <v>542991.98794943991</v>
      </c>
      <c r="J95" s="368">
        <v>6000</v>
      </c>
      <c r="K95" s="368">
        <v>82240</v>
      </c>
      <c r="L95" s="368">
        <v>522104.67004725005</v>
      </c>
      <c r="M95" s="368">
        <v>349826.90824031999</v>
      </c>
      <c r="N95" s="475">
        <v>6000</v>
      </c>
      <c r="O95" s="20"/>
      <c r="P95" s="20"/>
      <c r="S95" s="19"/>
    </row>
    <row r="96" spans="1:36" ht="15" customHeight="1">
      <c r="A96" s="3"/>
      <c r="B96" s="383" t="s">
        <v>366</v>
      </c>
      <c r="C96" s="368">
        <f>117510.6/2.4452</f>
        <v>48057.663994765258</v>
      </c>
      <c r="D96" s="368">
        <f>601252/2.4072</f>
        <v>249772.34961781322</v>
      </c>
      <c r="E96" s="368">
        <f>623049/2.4767</f>
        <v>251564.17814026726</v>
      </c>
      <c r="F96" s="368">
        <f>723768/2.5922</f>
        <v>279209.93750482216</v>
      </c>
      <c r="G96" s="368">
        <f>204419/2.4144</f>
        <v>84666.583830351228</v>
      </c>
      <c r="H96" s="368">
        <v>109662.13</v>
      </c>
      <c r="I96" s="368">
        <v>213595</v>
      </c>
      <c r="J96" s="368"/>
      <c r="K96" s="368"/>
      <c r="L96" s="368"/>
      <c r="M96" s="368"/>
      <c r="N96" s="475"/>
      <c r="O96" s="20"/>
      <c r="P96" s="20"/>
      <c r="S96" s="19"/>
    </row>
    <row r="97" spans="1:19" ht="15" customHeight="1">
      <c r="A97" s="3"/>
      <c r="B97" s="383" t="s">
        <v>314</v>
      </c>
      <c r="C97" s="368">
        <v>17214</v>
      </c>
      <c r="D97" s="368">
        <v>41519</v>
      </c>
      <c r="E97" s="368">
        <v>1143140</v>
      </c>
      <c r="F97" s="368">
        <v>380417</v>
      </c>
      <c r="G97" s="368">
        <v>237861</v>
      </c>
      <c r="H97" s="368">
        <v>624873</v>
      </c>
      <c r="I97" s="368">
        <v>326148</v>
      </c>
      <c r="J97" s="368"/>
      <c r="K97" s="368"/>
      <c r="L97" s="368"/>
      <c r="M97" s="368"/>
      <c r="N97" s="475"/>
      <c r="O97" s="20"/>
      <c r="P97" s="20"/>
      <c r="S97" s="19"/>
    </row>
    <row r="98" spans="1:19" ht="15" customHeight="1">
      <c r="A98" s="3"/>
      <c r="B98" s="323" t="s">
        <v>412</v>
      </c>
      <c r="C98" s="369">
        <f>+C95</f>
        <v>76920</v>
      </c>
      <c r="D98" s="369">
        <f t="shared" ref="D98:N98" si="3">+C98+D95</f>
        <v>1455984.3412315312</v>
      </c>
      <c r="E98" s="369">
        <f>+D98+E95</f>
        <v>2228059.6999438512</v>
      </c>
      <c r="F98" s="369">
        <f t="shared" si="3"/>
        <v>3179059.6999438512</v>
      </c>
      <c r="G98" s="369">
        <f t="shared" si="3"/>
        <v>3261299.6999438512</v>
      </c>
      <c r="H98" s="369">
        <f t="shared" si="3"/>
        <v>4029781.7975801015</v>
      </c>
      <c r="I98" s="369">
        <f t="shared" si="3"/>
        <v>4572773.7855295418</v>
      </c>
      <c r="J98" s="369">
        <f t="shared" si="3"/>
        <v>4578773.7855295418</v>
      </c>
      <c r="K98" s="369">
        <f t="shared" si="3"/>
        <v>4661013.7855295418</v>
      </c>
      <c r="L98" s="369">
        <f t="shared" si="3"/>
        <v>5183118.4555767914</v>
      </c>
      <c r="M98" s="369">
        <f t="shared" si="3"/>
        <v>5532945.3638171116</v>
      </c>
      <c r="N98" s="476">
        <f t="shared" si="3"/>
        <v>5538945.3638171116</v>
      </c>
      <c r="O98" s="20"/>
      <c r="P98" s="20"/>
      <c r="S98" s="19"/>
    </row>
    <row r="99" spans="1:19" ht="15" customHeight="1">
      <c r="A99" s="3"/>
      <c r="B99" s="323" t="s">
        <v>5</v>
      </c>
      <c r="C99" s="369">
        <f>+C96</f>
        <v>48057.663994765258</v>
      </c>
      <c r="D99" s="369">
        <f t="shared" ref="D99:N99" si="4">+C99+D96</f>
        <v>297830.01361257851</v>
      </c>
      <c r="E99" s="369">
        <f>+D99+E96</f>
        <v>549394.19175284577</v>
      </c>
      <c r="F99" s="369">
        <f t="shared" si="4"/>
        <v>828604.12925766793</v>
      </c>
      <c r="G99" s="369">
        <f t="shared" si="4"/>
        <v>913270.71308801917</v>
      </c>
      <c r="H99" s="369">
        <f t="shared" si="4"/>
        <v>1022932.8430880192</v>
      </c>
      <c r="I99" s="369">
        <f t="shared" si="4"/>
        <v>1236527.8430880192</v>
      </c>
      <c r="J99" s="369">
        <f t="shared" si="4"/>
        <v>1236527.8430880192</v>
      </c>
      <c r="K99" s="369">
        <f t="shared" si="4"/>
        <v>1236527.8430880192</v>
      </c>
      <c r="L99" s="369">
        <f t="shared" si="4"/>
        <v>1236527.8430880192</v>
      </c>
      <c r="M99" s="369">
        <f t="shared" si="4"/>
        <v>1236527.8430880192</v>
      </c>
      <c r="N99" s="476">
        <f t="shared" si="4"/>
        <v>1236527.8430880192</v>
      </c>
      <c r="O99" s="20"/>
      <c r="P99" s="20"/>
      <c r="S99" s="19"/>
    </row>
    <row r="100" spans="1:19" ht="15.75" thickBot="1">
      <c r="A100" s="3"/>
      <c r="B100" s="471" t="s">
        <v>6</v>
      </c>
      <c r="C100" s="472">
        <f>+C97</f>
        <v>17214</v>
      </c>
      <c r="D100" s="473">
        <f t="shared" ref="D100:N100" si="5">+C100+D97</f>
        <v>58733</v>
      </c>
      <c r="E100" s="473">
        <f>+D100+E97</f>
        <v>1201873</v>
      </c>
      <c r="F100" s="473">
        <f t="shared" si="5"/>
        <v>1582290</v>
      </c>
      <c r="G100" s="473">
        <f t="shared" si="5"/>
        <v>1820151</v>
      </c>
      <c r="H100" s="473">
        <f t="shared" si="5"/>
        <v>2445024</v>
      </c>
      <c r="I100" s="473">
        <f t="shared" si="5"/>
        <v>2771172</v>
      </c>
      <c r="J100" s="473">
        <f t="shared" si="5"/>
        <v>2771172</v>
      </c>
      <c r="K100" s="473">
        <f t="shared" si="5"/>
        <v>2771172</v>
      </c>
      <c r="L100" s="473">
        <f t="shared" si="5"/>
        <v>2771172</v>
      </c>
      <c r="M100" s="473">
        <f t="shared" si="5"/>
        <v>2771172</v>
      </c>
      <c r="N100" s="477">
        <f t="shared" si="5"/>
        <v>2771172</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63" t="s">
        <v>35</v>
      </c>
      <c r="C108" s="411" t="s">
        <v>416</v>
      </c>
      <c r="D108" s="412">
        <v>3</v>
      </c>
      <c r="E108" s="413">
        <f>IF(ISBLANK(D108),"",D108*30)</f>
        <v>90</v>
      </c>
      <c r="F108" s="370">
        <v>225</v>
      </c>
      <c r="G108" s="371">
        <f>IF(AND(E108&gt;0,F108&gt;0),(F108*E108),"")</f>
        <v>20250</v>
      </c>
      <c r="H108" s="370">
        <v>252266</v>
      </c>
      <c r="I108" s="429">
        <f>IF(AND(G108&gt;0,H108&gt;0),H108/G108,"")</f>
        <v>12.457580246913579</v>
      </c>
      <c r="J108" s="414">
        <v>4</v>
      </c>
      <c r="K108" s="478">
        <f>IF(AND(I108&gt;0,J108&gt;0),I108-J108,"")</f>
        <v>8.4575802469135795</v>
      </c>
      <c r="L108" s="2"/>
      <c r="M108" s="20"/>
      <c r="N108" s="20"/>
      <c r="O108" s="20"/>
      <c r="P108" s="19"/>
      <c r="R108" s="20"/>
    </row>
    <row r="109" spans="1:19">
      <c r="A109" s="3"/>
      <c r="B109" s="664"/>
      <c r="C109" s="411" t="s">
        <v>444</v>
      </c>
      <c r="D109" s="412">
        <v>1</v>
      </c>
      <c r="E109" s="413">
        <f>IF(ISBLANK(D109),"",D109*30)</f>
        <v>30</v>
      </c>
      <c r="F109" s="370">
        <v>125</v>
      </c>
      <c r="G109" s="371">
        <f>IF(AND(E109&gt;0,F109&gt;0),(F109*E109),"")</f>
        <v>3750</v>
      </c>
      <c r="H109" s="370">
        <v>63440</v>
      </c>
      <c r="I109" s="429">
        <f>IF(AND(G109&gt;0,H109&gt;0),H109/G109,"")</f>
        <v>16.917333333333332</v>
      </c>
      <c r="J109" s="414">
        <v>4</v>
      </c>
      <c r="K109" s="478">
        <f>IF(AND(I109&gt;0,J109&gt;0),I109-J109,"")</f>
        <v>12.917333333333332</v>
      </c>
      <c r="L109" s="2"/>
      <c r="M109" s="20"/>
      <c r="N109" s="20"/>
      <c r="O109" s="20"/>
      <c r="P109" s="19"/>
    </row>
    <row r="110" spans="1:19" ht="15.75" thickBot="1">
      <c r="A110" s="3"/>
      <c r="B110" s="664"/>
      <c r="C110" s="415" t="s">
        <v>419</v>
      </c>
      <c r="D110" s="412">
        <v>3</v>
      </c>
      <c r="E110" s="413">
        <f>IF(ISBLANK(D110),"",D110*30)</f>
        <v>90</v>
      </c>
      <c r="F110" s="370">
        <v>90</v>
      </c>
      <c r="G110" s="371">
        <f>IF(AND(E110&gt;0,F110&gt;0),(F110*E110),"")</f>
        <v>8100</v>
      </c>
      <c r="H110" s="370">
        <v>47916</v>
      </c>
      <c r="I110" s="429">
        <f>IF(AND(G110&gt;0,H110&gt;0),H110/G110,"")</f>
        <v>5.9155555555555557</v>
      </c>
      <c r="J110" s="414">
        <v>4</v>
      </c>
      <c r="K110" s="478">
        <f>IF(AND(I110&gt;0,J110&gt;0),I110-J110,"")</f>
        <v>1.9155555555555557</v>
      </c>
      <c r="L110" s="2"/>
      <c r="M110" s="20"/>
      <c r="N110" s="20"/>
      <c r="O110" s="20"/>
      <c r="P110" s="19"/>
      <c r="R110" s="20"/>
    </row>
    <row r="111" spans="1:19" ht="15.75" thickBot="1">
      <c r="A111" s="3"/>
      <c r="B111" s="665"/>
      <c r="C111" s="415" t="s">
        <v>426</v>
      </c>
      <c r="D111" s="416">
        <v>1</v>
      </c>
      <c r="E111" s="468">
        <f>IF(ISBLANK(D111),"",D111*30)</f>
        <v>30</v>
      </c>
      <c r="F111" s="372">
        <v>240</v>
      </c>
      <c r="G111" s="469">
        <f>IF(AND(E111&gt;0,F111&gt;0),(F111*E111),"")</f>
        <v>7200</v>
      </c>
      <c r="H111" s="372">
        <v>74594</v>
      </c>
      <c r="I111" s="470">
        <f>IF(AND(G111&gt;0,H111&gt;0),H111/G111,"")</f>
        <v>10.360277777777778</v>
      </c>
      <c r="J111" s="417">
        <v>4</v>
      </c>
      <c r="K111" s="479">
        <f>IF(AND(I111&gt;0,J111&gt;0),I111-J111,"")</f>
        <v>6.3602777777777781</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4" t="s">
        <v>417</v>
      </c>
      <c r="G113" s="484" t="s">
        <v>418</v>
      </c>
      <c r="H113" s="484" t="s">
        <v>418</v>
      </c>
      <c r="I113" s="2"/>
      <c r="J113" s="109"/>
      <c r="K113" s="109"/>
      <c r="L113" s="3"/>
      <c r="M113" s="3"/>
    </row>
    <row r="114" spans="1:20" ht="19.5" thickBot="1">
      <c r="A114" s="3"/>
      <c r="B114" s="243" t="s">
        <v>393</v>
      </c>
      <c r="C114" s="129"/>
      <c r="D114" s="129"/>
      <c r="E114" s="130"/>
      <c r="F114" s="130"/>
      <c r="G114" s="130"/>
      <c r="H114" s="258"/>
      <c r="I114" s="244"/>
      <c r="J114" s="346"/>
      <c r="K114" s="347" t="s">
        <v>372</v>
      </c>
      <c r="L114" s="130"/>
      <c r="M114" s="348"/>
      <c r="N114" s="349"/>
      <c r="O114" s="349"/>
      <c r="P114" s="419"/>
      <c r="Q114" s="36"/>
    </row>
    <row r="115" spans="1:20" ht="15.75" thickBot="1">
      <c r="A115" s="3"/>
      <c r="B115" s="3"/>
      <c r="C115" s="3"/>
      <c r="D115" s="3"/>
      <c r="E115" s="3"/>
      <c r="F115" s="3"/>
      <c r="G115" s="3"/>
      <c r="H115" s="3"/>
      <c r="I115" s="3"/>
      <c r="J115" s="3"/>
      <c r="K115" s="3"/>
      <c r="L115" s="3"/>
      <c r="M115" s="3"/>
      <c r="N115"/>
      <c r="O115"/>
      <c r="P115" s="36"/>
      <c r="Q115" s="36"/>
    </row>
    <row r="116" spans="1:20">
      <c r="A116" s="3"/>
      <c r="B116" s="626" t="s">
        <v>399</v>
      </c>
      <c r="C116" s="627"/>
      <c r="D116" s="628"/>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5"/>
      <c r="C117" s="446"/>
      <c r="D117" s="446"/>
      <c r="E117" s="447"/>
      <c r="F117" s="448"/>
      <c r="G117" s="449"/>
      <c r="H117" s="450"/>
      <c r="I117" s="450"/>
      <c r="J117" s="450"/>
      <c r="K117" s="450"/>
      <c r="L117" s="450"/>
      <c r="M117" s="450"/>
      <c r="N117" s="450"/>
      <c r="O117" s="450"/>
      <c r="P117" s="450"/>
      <c r="Q117" s="450"/>
      <c r="R117" s="450"/>
      <c r="S117" s="451"/>
      <c r="T117" s="64"/>
    </row>
    <row r="118" spans="1:20" ht="15" customHeight="1">
      <c r="A118" s="604" t="s">
        <v>376</v>
      </c>
      <c r="B118" s="608" t="s">
        <v>427</v>
      </c>
      <c r="C118" s="609"/>
      <c r="D118" s="610"/>
      <c r="E118" s="624" t="s">
        <v>433</v>
      </c>
      <c r="F118" s="699" t="s">
        <v>115</v>
      </c>
      <c r="G118" s="249"/>
      <c r="H118" s="485">
        <f>444/4</f>
        <v>111</v>
      </c>
      <c r="I118" s="485">
        <f t="shared" ref="I118:K118" si="6">444/4</f>
        <v>111</v>
      </c>
      <c r="J118" s="485">
        <f t="shared" si="6"/>
        <v>111</v>
      </c>
      <c r="K118" s="485">
        <f t="shared" si="6"/>
        <v>111</v>
      </c>
      <c r="L118" s="489">
        <v>112</v>
      </c>
      <c r="M118" s="489">
        <v>112</v>
      </c>
      <c r="N118" s="489">
        <v>112</v>
      </c>
      <c r="O118" s="489">
        <v>113</v>
      </c>
      <c r="P118" s="133">
        <v>112</v>
      </c>
      <c r="Q118" s="133">
        <v>113</v>
      </c>
      <c r="R118" s="133">
        <v>113</v>
      </c>
      <c r="S118" s="134">
        <v>113</v>
      </c>
      <c r="T118" s="64"/>
    </row>
    <row r="119" spans="1:20">
      <c r="A119" s="604"/>
      <c r="B119" s="611"/>
      <c r="C119" s="612"/>
      <c r="D119" s="613"/>
      <c r="E119" s="625"/>
      <c r="F119" s="699"/>
      <c r="G119" s="249"/>
      <c r="H119" s="133">
        <v>91</v>
      </c>
      <c r="I119" s="133">
        <v>94</v>
      </c>
      <c r="J119" s="133">
        <v>66</v>
      </c>
      <c r="K119" s="282">
        <v>77</v>
      </c>
      <c r="L119" s="133">
        <v>80</v>
      </c>
      <c r="M119" s="133">
        <v>72</v>
      </c>
      <c r="N119" s="133">
        <v>76</v>
      </c>
      <c r="O119" s="133"/>
      <c r="P119" s="133"/>
      <c r="Q119" s="133"/>
      <c r="R119" s="133"/>
      <c r="S119" s="134"/>
      <c r="T119" s="64"/>
    </row>
    <row r="120" spans="1:20" ht="15" customHeight="1">
      <c r="A120" s="604"/>
      <c r="B120" s="619" t="s">
        <v>428</v>
      </c>
      <c r="C120" s="620"/>
      <c r="D120" s="621"/>
      <c r="E120" s="702" t="s">
        <v>434</v>
      </c>
      <c r="F120" s="700" t="s">
        <v>115</v>
      </c>
      <c r="G120" s="456"/>
      <c r="H120" s="245">
        <v>16</v>
      </c>
      <c r="I120" s="245">
        <v>17</v>
      </c>
      <c r="J120" s="245">
        <v>16</v>
      </c>
      <c r="K120" s="283">
        <v>17</v>
      </c>
      <c r="L120" s="245">
        <v>16</v>
      </c>
      <c r="M120" s="245">
        <v>17</v>
      </c>
      <c r="N120" s="283">
        <v>17</v>
      </c>
      <c r="O120" s="245">
        <v>17</v>
      </c>
      <c r="P120" s="245">
        <v>16</v>
      </c>
      <c r="Q120" s="245">
        <v>17</v>
      </c>
      <c r="R120" s="283">
        <v>17</v>
      </c>
      <c r="S120" s="245">
        <v>17</v>
      </c>
      <c r="T120" s="64"/>
    </row>
    <row r="121" spans="1:20" ht="21" customHeight="1">
      <c r="A121" s="604"/>
      <c r="B121" s="619"/>
      <c r="C121" s="620"/>
      <c r="D121" s="621"/>
      <c r="E121" s="669"/>
      <c r="F121" s="701"/>
      <c r="G121" s="456"/>
      <c r="H121" s="245">
        <v>12</v>
      </c>
      <c r="I121" s="245">
        <v>13</v>
      </c>
      <c r="J121" s="330">
        <v>13</v>
      </c>
      <c r="K121" s="331">
        <v>18</v>
      </c>
      <c r="L121" s="330">
        <v>15</v>
      </c>
      <c r="M121" s="330">
        <v>12</v>
      </c>
      <c r="N121" s="330">
        <v>8</v>
      </c>
      <c r="O121" s="330"/>
      <c r="P121" s="245"/>
      <c r="Q121" s="245"/>
      <c r="R121" s="245"/>
      <c r="S121" s="329"/>
      <c r="T121" s="64"/>
    </row>
    <row r="122" spans="1:20" ht="15" customHeight="1">
      <c r="A122" s="604"/>
      <c r="B122" s="611" t="s">
        <v>429</v>
      </c>
      <c r="C122" s="612"/>
      <c r="D122" s="613"/>
      <c r="E122" s="624" t="s">
        <v>435</v>
      </c>
      <c r="F122" s="617"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04"/>
      <c r="B123" s="611"/>
      <c r="C123" s="612"/>
      <c r="D123" s="613"/>
      <c r="E123" s="625"/>
      <c r="F123" s="618"/>
      <c r="G123" s="249"/>
      <c r="H123" s="133">
        <v>97</v>
      </c>
      <c r="I123" s="133">
        <v>94</v>
      </c>
      <c r="J123" s="133">
        <v>95</v>
      </c>
      <c r="K123" s="133">
        <v>93</v>
      </c>
      <c r="L123" s="133">
        <v>94</v>
      </c>
      <c r="M123" s="133">
        <v>97</v>
      </c>
      <c r="N123" s="133">
        <v>94</v>
      </c>
      <c r="O123" s="133"/>
      <c r="P123" s="133"/>
      <c r="Q123" s="133"/>
      <c r="R123" s="133"/>
      <c r="S123" s="134"/>
      <c r="T123" s="64"/>
    </row>
    <row r="124" spans="1:20" ht="15" customHeight="1">
      <c r="A124" s="3"/>
      <c r="B124" s="619"/>
      <c r="C124" s="647"/>
      <c r="D124" s="648"/>
      <c r="E124" s="669"/>
      <c r="F124" s="666"/>
      <c r="G124" s="456"/>
      <c r="H124" s="330"/>
      <c r="I124" s="245"/>
      <c r="J124" s="245"/>
      <c r="K124" s="283"/>
      <c r="L124" s="245"/>
      <c r="M124" s="245"/>
      <c r="N124" s="245"/>
      <c r="O124" s="245"/>
      <c r="P124" s="245"/>
      <c r="Q124" s="245"/>
      <c r="R124" s="245"/>
      <c r="S124" s="329"/>
      <c r="T124" s="64"/>
    </row>
    <row r="125" spans="1:20" ht="25.5" customHeight="1">
      <c r="A125" s="3"/>
      <c r="B125" s="649"/>
      <c r="C125" s="647"/>
      <c r="D125" s="648"/>
      <c r="E125" s="669"/>
      <c r="F125" s="667"/>
      <c r="G125" s="456"/>
      <c r="H125" s="330"/>
      <c r="I125" s="245"/>
      <c r="J125" s="245"/>
      <c r="K125" s="283"/>
      <c r="L125" s="245"/>
      <c r="M125" s="245"/>
      <c r="N125" s="245"/>
      <c r="O125" s="245"/>
      <c r="P125" s="245"/>
      <c r="Q125" s="245"/>
      <c r="R125" s="245"/>
      <c r="S125" s="329"/>
      <c r="T125" s="64"/>
    </row>
    <row r="126" spans="1:20" ht="15" customHeight="1">
      <c r="A126" s="3"/>
      <c r="B126" s="650"/>
      <c r="C126" s="651"/>
      <c r="D126" s="652"/>
      <c r="E126" s="625"/>
      <c r="F126" s="657"/>
      <c r="G126" s="457"/>
      <c r="H126" s="458"/>
      <c r="I126" s="458"/>
      <c r="J126" s="458"/>
      <c r="K126" s="459"/>
      <c r="L126" s="458"/>
      <c r="M126" s="458"/>
      <c r="N126" s="458"/>
      <c r="O126" s="458"/>
      <c r="P126" s="458"/>
      <c r="Q126" s="458"/>
      <c r="R126" s="458"/>
      <c r="S126" s="460"/>
      <c r="T126" s="64"/>
    </row>
    <row r="127" spans="1:20">
      <c r="A127" s="3"/>
      <c r="B127" s="653"/>
      <c r="C127" s="651"/>
      <c r="D127" s="652"/>
      <c r="E127" s="625"/>
      <c r="F127" s="658"/>
      <c r="G127" s="457"/>
      <c r="H127" s="458"/>
      <c r="I127" s="458"/>
      <c r="J127" s="458"/>
      <c r="K127" s="459"/>
      <c r="L127" s="458"/>
      <c r="M127" s="458"/>
      <c r="N127" s="458"/>
      <c r="O127" s="458"/>
      <c r="P127" s="458"/>
      <c r="Q127" s="458"/>
      <c r="R127" s="458"/>
      <c r="S127" s="460"/>
      <c r="T127" s="64"/>
    </row>
    <row r="128" spans="1:20" ht="15" customHeight="1">
      <c r="A128" s="3"/>
      <c r="B128" s="619"/>
      <c r="C128" s="647"/>
      <c r="D128" s="648"/>
      <c r="E128" s="669"/>
      <c r="F128" s="666"/>
      <c r="G128" s="456"/>
      <c r="H128" s="330"/>
      <c r="I128" s="330"/>
      <c r="J128" s="330"/>
      <c r="K128" s="331"/>
      <c r="L128" s="330"/>
      <c r="M128" s="330"/>
      <c r="N128" s="330"/>
      <c r="O128" s="330"/>
      <c r="P128" s="330"/>
      <c r="Q128" s="330"/>
      <c r="R128" s="330"/>
      <c r="S128" s="461"/>
      <c r="T128" s="64"/>
    </row>
    <row r="129" spans="1:21">
      <c r="A129" s="3"/>
      <c r="B129" s="649"/>
      <c r="C129" s="647"/>
      <c r="D129" s="648"/>
      <c r="E129" s="669"/>
      <c r="F129" s="667"/>
      <c r="G129" s="456"/>
      <c r="H129" s="330"/>
      <c r="I129" s="245"/>
      <c r="J129" s="245"/>
      <c r="K129" s="283"/>
      <c r="L129" s="245"/>
      <c r="M129" s="245"/>
      <c r="N129" s="245"/>
      <c r="O129" s="245"/>
      <c r="P129" s="330"/>
      <c r="Q129" s="330"/>
      <c r="R129" s="330"/>
      <c r="S129" s="461"/>
      <c r="T129" s="64"/>
    </row>
    <row r="130" spans="1:21">
      <c r="A130" s="3"/>
      <c r="B130" s="650"/>
      <c r="C130" s="651"/>
      <c r="D130" s="652"/>
      <c r="E130" s="625"/>
      <c r="F130" s="668"/>
      <c r="G130" s="457"/>
      <c r="H130" s="458"/>
      <c r="I130" s="458"/>
      <c r="J130" s="458"/>
      <c r="K130" s="459"/>
      <c r="L130" s="458"/>
      <c r="M130" s="458"/>
      <c r="N130" s="458"/>
      <c r="O130" s="458"/>
      <c r="P130" s="458"/>
      <c r="Q130" s="458"/>
      <c r="R130" s="458"/>
      <c r="S130" s="460"/>
      <c r="T130" s="64"/>
    </row>
    <row r="131" spans="1:21">
      <c r="A131" s="3"/>
      <c r="B131" s="653"/>
      <c r="C131" s="651"/>
      <c r="D131" s="652"/>
      <c r="E131" s="625"/>
      <c r="F131" s="668"/>
      <c r="G131" s="457"/>
      <c r="H131" s="458"/>
      <c r="I131" s="458"/>
      <c r="J131" s="458"/>
      <c r="K131" s="459"/>
      <c r="L131" s="458"/>
      <c r="M131" s="458"/>
      <c r="N131" s="458"/>
      <c r="O131" s="458"/>
      <c r="P131" s="458"/>
      <c r="Q131" s="458"/>
      <c r="R131" s="458"/>
      <c r="S131" s="460"/>
      <c r="T131" s="64"/>
    </row>
    <row r="132" spans="1:21" ht="14.25" customHeight="1">
      <c r="A132" s="3"/>
      <c r="B132" s="619"/>
      <c r="C132" s="647"/>
      <c r="D132" s="648"/>
      <c r="E132" s="669"/>
      <c r="F132" s="656"/>
      <c r="G132" s="456"/>
      <c r="H132" s="330"/>
      <c r="I132" s="330"/>
      <c r="J132" s="330"/>
      <c r="K132" s="330"/>
      <c r="L132" s="330"/>
      <c r="M132" s="330"/>
      <c r="N132" s="330"/>
      <c r="O132" s="330"/>
      <c r="P132" s="330"/>
      <c r="Q132" s="330"/>
      <c r="R132" s="330"/>
      <c r="S132" s="461"/>
      <c r="T132" s="64"/>
    </row>
    <row r="133" spans="1:21">
      <c r="A133" s="3"/>
      <c r="B133" s="649"/>
      <c r="C133" s="647"/>
      <c r="D133" s="648"/>
      <c r="E133" s="669"/>
      <c r="F133" s="656"/>
      <c r="G133" s="456"/>
      <c r="H133" s="330"/>
      <c r="I133" s="330"/>
      <c r="J133" s="330"/>
      <c r="K133" s="330"/>
      <c r="L133" s="330"/>
      <c r="M133" s="330"/>
      <c r="N133" s="330"/>
      <c r="O133" s="330"/>
      <c r="P133" s="330"/>
      <c r="Q133" s="330"/>
      <c r="R133" s="330"/>
      <c r="S133" s="461"/>
      <c r="T133" s="64"/>
    </row>
    <row r="134" spans="1:21" ht="14.25" customHeight="1">
      <c r="A134" s="3"/>
      <c r="B134" s="650"/>
      <c r="C134" s="651"/>
      <c r="D134" s="652"/>
      <c r="E134" s="625"/>
      <c r="F134" s="687"/>
      <c r="G134" s="457"/>
      <c r="H134" s="458"/>
      <c r="I134" s="458"/>
      <c r="J134" s="458"/>
      <c r="K134" s="458"/>
      <c r="L134" s="458"/>
      <c r="M134" s="458"/>
      <c r="N134" s="458"/>
      <c r="O134" s="458"/>
      <c r="P134" s="458"/>
      <c r="Q134" s="458"/>
      <c r="R134" s="458"/>
      <c r="S134" s="460"/>
      <c r="T134" s="64"/>
    </row>
    <row r="135" spans="1:21">
      <c r="A135" s="3"/>
      <c r="B135" s="653"/>
      <c r="C135" s="651"/>
      <c r="D135" s="652"/>
      <c r="E135" s="625"/>
      <c r="F135" s="687"/>
      <c r="G135" s="457"/>
      <c r="H135" s="458"/>
      <c r="I135" s="458"/>
      <c r="J135" s="458"/>
      <c r="K135" s="458"/>
      <c r="L135" s="458"/>
      <c r="M135" s="458"/>
      <c r="N135" s="458"/>
      <c r="O135" s="458"/>
      <c r="P135" s="458"/>
      <c r="Q135" s="458"/>
      <c r="R135" s="458"/>
      <c r="S135" s="460"/>
      <c r="T135" s="64"/>
    </row>
    <row r="136" spans="1:21" ht="14.25" customHeight="1">
      <c r="A136" s="3"/>
      <c r="B136" s="619"/>
      <c r="C136" s="647"/>
      <c r="D136" s="648"/>
      <c r="E136" s="669"/>
      <c r="F136" s="656"/>
      <c r="G136" s="456"/>
      <c r="H136" s="330"/>
      <c r="I136" s="330"/>
      <c r="J136" s="330"/>
      <c r="K136" s="330"/>
      <c r="L136" s="330"/>
      <c r="M136" s="330"/>
      <c r="N136" s="330"/>
      <c r="O136" s="330"/>
      <c r="P136" s="330"/>
      <c r="Q136" s="330"/>
      <c r="R136" s="330"/>
      <c r="S136" s="461"/>
      <c r="T136" s="64"/>
    </row>
    <row r="137" spans="1:21" ht="15.75" thickBot="1">
      <c r="A137" s="3"/>
      <c r="B137" s="678"/>
      <c r="C137" s="679"/>
      <c r="D137" s="680"/>
      <c r="E137" s="688"/>
      <c r="F137" s="689"/>
      <c r="G137" s="462"/>
      <c r="H137" s="463"/>
      <c r="I137" s="463"/>
      <c r="J137" s="463"/>
      <c r="K137" s="463"/>
      <c r="L137" s="463"/>
      <c r="M137" s="463"/>
      <c r="N137" s="463"/>
      <c r="O137" s="463"/>
      <c r="P137" s="463"/>
      <c r="Q137" s="463"/>
      <c r="R137" s="463"/>
      <c r="S137" s="464"/>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4"/>
      <c r="C141" s="3"/>
      <c r="D141" s="3"/>
      <c r="E141" s="3"/>
      <c r="F141" s="3"/>
      <c r="G141" s="2"/>
      <c r="H141" s="3"/>
      <c r="I141" s="3"/>
      <c r="J141" s="3"/>
      <c r="K141" s="3"/>
      <c r="L141" s="3"/>
      <c r="M141" s="3"/>
      <c r="N141" s="3"/>
      <c r="O141" s="3"/>
      <c r="R141" s="36"/>
      <c r="S141" s="36"/>
    </row>
    <row r="142" spans="1:21" ht="15.75" thickBot="1">
      <c r="A142" s="3"/>
      <c r="B142" s="3" t="s">
        <v>407</v>
      </c>
      <c r="C142" s="3"/>
      <c r="D142" s="3"/>
      <c r="E142" s="332" t="s">
        <v>328</v>
      </c>
      <c r="F142" s="287" t="s">
        <v>345</v>
      </c>
      <c r="G142" s="248"/>
      <c r="H142" s="395" t="str">
        <f t="shared" ref="H142:S142" si="7">C30</f>
        <v>P1</v>
      </c>
      <c r="I142" s="395" t="str">
        <f t="shared" si="7"/>
        <v>P2</v>
      </c>
      <c r="J142" s="395" t="str">
        <f t="shared" si="7"/>
        <v>P3</v>
      </c>
      <c r="K142" s="395" t="str">
        <f t="shared" si="7"/>
        <v>P4</v>
      </c>
      <c r="L142" s="395" t="str">
        <f t="shared" si="7"/>
        <v>P5</v>
      </c>
      <c r="M142" s="395" t="str">
        <f t="shared" si="7"/>
        <v>P6</v>
      </c>
      <c r="N142" s="395" t="str">
        <f t="shared" si="7"/>
        <v>P7</v>
      </c>
      <c r="O142" s="395" t="str">
        <f t="shared" si="7"/>
        <v>P8</v>
      </c>
      <c r="P142" s="395" t="str">
        <f t="shared" si="7"/>
        <v>P9</v>
      </c>
      <c r="Q142" s="395" t="str">
        <f t="shared" si="7"/>
        <v>P10</v>
      </c>
      <c r="R142" s="395" t="str">
        <f t="shared" si="7"/>
        <v>P11</v>
      </c>
      <c r="S142" s="396" t="str">
        <f t="shared" si="7"/>
        <v>P12</v>
      </c>
      <c r="T142" s="36"/>
      <c r="U142" s="36"/>
    </row>
    <row r="143" spans="1:21">
      <c r="A143" s="3"/>
      <c r="B143" s="690" t="str">
        <f>IF(ISBLANK(B118),"",(B118))</f>
        <v>MDR TB-3: Number of cases with drug resistant TB (RR-TB and/or MDR-TB) that began second-line treatment</v>
      </c>
      <c r="C143" s="691"/>
      <c r="D143" s="692"/>
      <c r="E143" s="683" t="str">
        <f>IF(ISBLANK(E118),"",(E118))</f>
        <v>TB-3</v>
      </c>
      <c r="F143" s="685" t="str">
        <f>IF(ISBLANK(F118),"",(F118))</f>
        <v>Yes</v>
      </c>
      <c r="G143" s="360" t="s">
        <v>86</v>
      </c>
      <c r="H143" s="427">
        <f t="shared" ref="H143:K144" si="8">H118</f>
        <v>111</v>
      </c>
      <c r="I143" s="427">
        <f t="shared" si="8"/>
        <v>111</v>
      </c>
      <c r="J143" s="427">
        <f t="shared" si="8"/>
        <v>111</v>
      </c>
      <c r="K143" s="427">
        <f t="shared" si="8"/>
        <v>111</v>
      </c>
      <c r="L143" s="427">
        <f t="shared" ref="L143:S143" si="9">L118</f>
        <v>112</v>
      </c>
      <c r="M143" s="427">
        <f t="shared" si="9"/>
        <v>112</v>
      </c>
      <c r="N143" s="427">
        <f t="shared" si="9"/>
        <v>112</v>
      </c>
      <c r="O143" s="427">
        <f t="shared" si="9"/>
        <v>113</v>
      </c>
      <c r="P143" s="427">
        <f t="shared" si="9"/>
        <v>112</v>
      </c>
      <c r="Q143" s="427">
        <f t="shared" si="9"/>
        <v>113</v>
      </c>
      <c r="R143" s="427">
        <f t="shared" si="9"/>
        <v>113</v>
      </c>
      <c r="S143" s="480">
        <f t="shared" si="9"/>
        <v>113</v>
      </c>
      <c r="T143" s="36"/>
      <c r="U143" s="36"/>
    </row>
    <row r="144" spans="1:21">
      <c r="A144" s="3"/>
      <c r="B144" s="693"/>
      <c r="C144" s="694"/>
      <c r="D144" s="695"/>
      <c r="E144" s="683"/>
      <c r="F144" s="685"/>
      <c r="G144" s="131" t="s">
        <v>87</v>
      </c>
      <c r="H144" s="427">
        <f t="shared" si="8"/>
        <v>91</v>
      </c>
      <c r="I144" s="427">
        <f t="shared" si="8"/>
        <v>94</v>
      </c>
      <c r="J144" s="427">
        <f t="shared" si="8"/>
        <v>66</v>
      </c>
      <c r="K144" s="427">
        <f t="shared" si="8"/>
        <v>77</v>
      </c>
      <c r="L144" s="427">
        <f t="shared" ref="L144:S144" si="10">L119</f>
        <v>80</v>
      </c>
      <c r="M144" s="427">
        <f t="shared" si="10"/>
        <v>72</v>
      </c>
      <c r="N144" s="427">
        <f t="shared" si="10"/>
        <v>76</v>
      </c>
      <c r="O144" s="427">
        <f t="shared" si="10"/>
        <v>0</v>
      </c>
      <c r="P144" s="427">
        <f t="shared" si="10"/>
        <v>0</v>
      </c>
      <c r="Q144" s="427">
        <f t="shared" si="10"/>
        <v>0</v>
      </c>
      <c r="R144" s="427">
        <f t="shared" si="10"/>
        <v>0</v>
      </c>
      <c r="S144" s="480">
        <f t="shared" si="10"/>
        <v>0</v>
      </c>
      <c r="T144" s="36"/>
      <c r="U144" s="36"/>
    </row>
    <row r="145" spans="1:21">
      <c r="A145" s="3"/>
      <c r="B145" s="644" t="str">
        <f>IF(ISBLANK(B120),"",(B120))</f>
        <v>MDR TB-8: Number of cases of XDR TB enrolled on treatment</v>
      </c>
      <c r="C145" s="645"/>
      <c r="D145" s="646"/>
      <c r="E145" s="681" t="str">
        <f>IF(ISBLANK(E120),"",(E120))</f>
        <v>TB-8</v>
      </c>
      <c r="F145" s="682" t="str">
        <f>IF(ISBLANK(F120),"",(F120))</f>
        <v>Yes</v>
      </c>
      <c r="G145" s="465" t="s">
        <v>86</v>
      </c>
      <c r="H145" s="466">
        <f t="shared" ref="H145:K148" si="11">H120</f>
        <v>16</v>
      </c>
      <c r="I145" s="466">
        <f>I120</f>
        <v>17</v>
      </c>
      <c r="J145" s="466">
        <f t="shared" si="11"/>
        <v>16</v>
      </c>
      <c r="K145" s="466">
        <f>K120</f>
        <v>17</v>
      </c>
      <c r="L145" s="466">
        <f t="shared" ref="L145:S145" si="12">L120</f>
        <v>16</v>
      </c>
      <c r="M145" s="466">
        <f t="shared" si="12"/>
        <v>17</v>
      </c>
      <c r="N145" s="466">
        <f t="shared" si="12"/>
        <v>17</v>
      </c>
      <c r="O145" s="466">
        <f t="shared" si="12"/>
        <v>17</v>
      </c>
      <c r="P145" s="466">
        <f t="shared" si="12"/>
        <v>16</v>
      </c>
      <c r="Q145" s="466">
        <f t="shared" si="12"/>
        <v>17</v>
      </c>
      <c r="R145" s="466">
        <f t="shared" si="12"/>
        <v>17</v>
      </c>
      <c r="S145" s="481">
        <f t="shared" si="12"/>
        <v>17</v>
      </c>
      <c r="T145" s="36"/>
      <c r="U145" s="36"/>
    </row>
    <row r="146" spans="1:21">
      <c r="A146" s="3"/>
      <c r="B146" s="644"/>
      <c r="C146" s="645"/>
      <c r="D146" s="646"/>
      <c r="E146" s="681"/>
      <c r="F146" s="682"/>
      <c r="G146" s="465" t="s">
        <v>87</v>
      </c>
      <c r="H146" s="466">
        <f t="shared" si="11"/>
        <v>12</v>
      </c>
      <c r="I146" s="466">
        <f t="shared" si="11"/>
        <v>13</v>
      </c>
      <c r="J146" s="466">
        <f t="shared" si="11"/>
        <v>13</v>
      </c>
      <c r="K146" s="466">
        <f t="shared" si="11"/>
        <v>18</v>
      </c>
      <c r="L146" s="466">
        <f t="shared" ref="L146:S146" si="13">L121</f>
        <v>15</v>
      </c>
      <c r="M146" s="466">
        <f t="shared" si="13"/>
        <v>12</v>
      </c>
      <c r="N146" s="466">
        <f t="shared" si="13"/>
        <v>8</v>
      </c>
      <c r="O146" s="466">
        <f t="shared" si="13"/>
        <v>0</v>
      </c>
      <c r="P146" s="466">
        <f t="shared" si="13"/>
        <v>0</v>
      </c>
      <c r="Q146" s="466">
        <f t="shared" si="13"/>
        <v>0</v>
      </c>
      <c r="R146" s="466">
        <f t="shared" si="13"/>
        <v>0</v>
      </c>
      <c r="S146" s="481">
        <f t="shared" si="13"/>
        <v>0</v>
      </c>
      <c r="T146" s="36"/>
      <c r="U146" s="36"/>
    </row>
    <row r="147" spans="1:21">
      <c r="A147" s="3"/>
      <c r="B147" s="672" t="str">
        <f>IF(ISBLANK(B122),"",(B122))</f>
        <v>MDR TB other -1: Percentage  of new and relapse TB patients tested using WHO recommended rapid tests at the time of diagnosis</v>
      </c>
      <c r="C147" s="673"/>
      <c r="D147" s="674"/>
      <c r="E147" s="683" t="str">
        <f>IF(ISBLANK(E122),"",(E122))</f>
        <v>TB other 1</v>
      </c>
      <c r="F147" s="685" t="str">
        <f>IF(ISBLANK(F122),"",(F122))</f>
        <v>Yes</v>
      </c>
      <c r="G147" s="131" t="s">
        <v>86</v>
      </c>
      <c r="H147" s="427">
        <f t="shared" si="11"/>
        <v>75</v>
      </c>
      <c r="I147" s="427">
        <f t="shared" si="11"/>
        <v>75</v>
      </c>
      <c r="J147" s="427">
        <f t="shared" si="11"/>
        <v>75</v>
      </c>
      <c r="K147" s="427">
        <f t="shared" si="11"/>
        <v>75</v>
      </c>
      <c r="L147" s="427">
        <f t="shared" ref="L147:S147" si="14">L122</f>
        <v>80</v>
      </c>
      <c r="M147" s="427">
        <f t="shared" si="14"/>
        <v>80</v>
      </c>
      <c r="N147" s="427">
        <f t="shared" si="14"/>
        <v>80</v>
      </c>
      <c r="O147" s="427">
        <f t="shared" si="14"/>
        <v>80</v>
      </c>
      <c r="P147" s="427">
        <f t="shared" si="14"/>
        <v>85</v>
      </c>
      <c r="Q147" s="427">
        <f t="shared" si="14"/>
        <v>85</v>
      </c>
      <c r="R147" s="427">
        <f t="shared" si="14"/>
        <v>85</v>
      </c>
      <c r="S147" s="480">
        <f t="shared" si="14"/>
        <v>85</v>
      </c>
      <c r="T147" s="36"/>
      <c r="U147" s="36"/>
    </row>
    <row r="148" spans="1:21" ht="15.75" thickBot="1">
      <c r="A148" s="3"/>
      <c r="B148" s="675"/>
      <c r="C148" s="676"/>
      <c r="D148" s="677"/>
      <c r="E148" s="684"/>
      <c r="F148" s="686"/>
      <c r="G148" s="132" t="s">
        <v>87</v>
      </c>
      <c r="H148" s="428">
        <f t="shared" si="11"/>
        <v>97</v>
      </c>
      <c r="I148" s="428">
        <f t="shared" si="11"/>
        <v>94</v>
      </c>
      <c r="J148" s="428">
        <f t="shared" si="11"/>
        <v>95</v>
      </c>
      <c r="K148" s="428">
        <f t="shared" si="11"/>
        <v>93</v>
      </c>
      <c r="L148" s="428">
        <f t="shared" ref="L148:S148" si="15">L123</f>
        <v>94</v>
      </c>
      <c r="M148" s="428">
        <f t="shared" si="15"/>
        <v>97</v>
      </c>
      <c r="N148" s="428">
        <f t="shared" si="15"/>
        <v>94</v>
      </c>
      <c r="O148" s="428">
        <f t="shared" si="15"/>
        <v>0</v>
      </c>
      <c r="P148" s="428">
        <f t="shared" si="15"/>
        <v>0</v>
      </c>
      <c r="Q148" s="428">
        <f t="shared" si="15"/>
        <v>0</v>
      </c>
      <c r="R148" s="428">
        <f t="shared" si="15"/>
        <v>0</v>
      </c>
      <c r="S148" s="482">
        <f t="shared" si="15"/>
        <v>0</v>
      </c>
      <c r="T148" s="36"/>
      <c r="U148" s="36"/>
    </row>
    <row r="149" spans="1:21">
      <c r="A149" s="3"/>
      <c r="B149" s="3"/>
      <c r="C149" s="3"/>
      <c r="D149" s="3"/>
      <c r="E149" s="3"/>
      <c r="F149" s="3"/>
      <c r="G149" s="3"/>
      <c r="H149" s="3"/>
      <c r="I149" s="3"/>
      <c r="J149" s="3"/>
      <c r="K149" s="3"/>
      <c r="L149" s="3"/>
      <c r="M149" s="3"/>
      <c r="N149"/>
      <c r="O149"/>
      <c r="P149" s="36"/>
      <c r="Q149" s="36"/>
      <c r="S149" s="467"/>
    </row>
    <row r="150" spans="1:21">
      <c r="N150"/>
      <c r="O150"/>
      <c r="P150" s="36"/>
      <c r="Q150" s="36"/>
    </row>
    <row r="151" spans="1:21">
      <c r="N151"/>
      <c r="O151"/>
      <c r="P151" s="36"/>
      <c r="Q151" s="36"/>
    </row>
    <row r="152" spans="1:21">
      <c r="N152"/>
      <c r="O152"/>
      <c r="P152" s="36"/>
      <c r="Q152" s="36"/>
    </row>
  </sheetData>
  <mergeCells count="73">
    <mergeCell ref="O31:O34"/>
    <mergeCell ref="E118:E119"/>
    <mergeCell ref="F118:F119"/>
    <mergeCell ref="F120:F121"/>
    <mergeCell ref="E120:E121"/>
    <mergeCell ref="F47:I47"/>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5:D146"/>
    <mergeCell ref="B128:D129"/>
    <mergeCell ref="B130:D131"/>
    <mergeCell ref="B132:D133"/>
    <mergeCell ref="B134:D135"/>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8:C111" xr:uid="{00000000-0002-0000-0200-000008000000}">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C32 D96:E96 E3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110" zoomScaleNormal="110" zoomScaleSheetLayoutView="100" zoomScalePageLayoutView="110" workbookViewId="0">
      <selection activeCell="F6" sqref="F6:J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7"/>
      <c r="H1" s="2"/>
      <c r="I1" s="2"/>
      <c r="J1" s="2"/>
    </row>
    <row r="2" spans="1:24" ht="25.5" customHeight="1"/>
    <row r="3" spans="1:24" ht="36">
      <c r="B3" s="706" t="str">
        <f>+"Dashboard: "&amp;" "&amp;+IF('Data Entry'!C4="Please Select","",'Data Entry'!C4&amp;" - ")&amp;+IF('Data Entry'!G6="Please Select","",'Data Entry'!G6)</f>
        <v>Dashboard:  Georgia - TB</v>
      </c>
      <c r="C3" s="706"/>
      <c r="D3" s="706"/>
      <c r="E3" s="706"/>
      <c r="F3" s="706"/>
      <c r="G3" s="706"/>
      <c r="H3" s="706"/>
      <c r="I3" s="706"/>
      <c r="J3" s="706"/>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08" t="str">
        <f>+IF('Data Entry'!C4="Please Select","",'Data Entry'!C4)</f>
        <v>Georgia</v>
      </c>
      <c r="C6" s="708"/>
      <c r="D6" s="712" t="s">
        <v>12</v>
      </c>
      <c r="E6" s="712"/>
      <c r="F6" s="713" t="str">
        <f>+'Data Entry'!G4</f>
        <v>Sustaining Universal Access to Quality Diagnosis and Treatment of all forms of TB</v>
      </c>
      <c r="G6" s="713"/>
      <c r="H6" s="713"/>
      <c r="I6" s="713"/>
      <c r="J6" s="713"/>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10" t="s">
        <v>13</v>
      </c>
      <c r="F9" s="710"/>
      <c r="G9" s="353">
        <f>+IF(ISBLANK('Data Entry'!C10),"",'Data Entry'!C10)</f>
        <v>42736</v>
      </c>
      <c r="H9" s="387" t="s">
        <v>330</v>
      </c>
      <c r="I9" s="709">
        <f>+IF(ISBLANK('Data Entry'!I6),"",'Data Entry'!I6)</f>
        <v>12125491</v>
      </c>
      <c r="J9" s="709"/>
      <c r="K9" s="50"/>
      <c r="L9" s="50"/>
      <c r="M9" s="50"/>
      <c r="N9" s="50"/>
      <c r="O9" s="52"/>
      <c r="P9" s="51"/>
      <c r="Q9" s="52"/>
      <c r="R9" s="53"/>
      <c r="S9" s="17"/>
      <c r="T9" s="11"/>
      <c r="U9" s="11"/>
      <c r="V9" s="10"/>
      <c r="W9" s="10"/>
      <c r="X9" s="10"/>
    </row>
    <row r="10" spans="1:24" ht="25.5" customHeight="1">
      <c r="A10" s="387" t="s">
        <v>324</v>
      </c>
      <c r="B10" s="354" t="str">
        <f>+IF('Data Entry'!G8="Please Select","",'Data Entry'!G8)</f>
        <v>NFM</v>
      </c>
      <c r="C10" s="228" t="s">
        <v>323</v>
      </c>
      <c r="D10" s="355" t="str">
        <f>+IF('Data Entry'!I8="Please Select","",'Data Entry'!I8)</f>
        <v>Phase 1</v>
      </c>
      <c r="E10" s="711" t="s">
        <v>269</v>
      </c>
      <c r="F10" s="711"/>
      <c r="G10" s="707" t="str">
        <f>+'Data Entry'!C8</f>
        <v>NCDC</v>
      </c>
      <c r="H10" s="707"/>
      <c r="I10" s="707"/>
      <c r="J10" s="707"/>
      <c r="K10" s="54"/>
      <c r="L10" s="54"/>
      <c r="M10" s="50"/>
      <c r="N10" s="54"/>
      <c r="O10" s="52"/>
      <c r="P10" s="51"/>
      <c r="Q10" s="11"/>
      <c r="R10" s="53"/>
      <c r="S10" s="17"/>
      <c r="T10" s="11"/>
      <c r="U10" s="11"/>
    </row>
    <row r="11" spans="1:24" ht="25.5" customHeight="1">
      <c r="A11" s="387" t="s">
        <v>21</v>
      </c>
      <c r="B11" s="356" t="str">
        <f>+'Data Entry'!C16</f>
        <v>P7</v>
      </c>
      <c r="C11" s="337" t="s">
        <v>267</v>
      </c>
      <c r="D11" s="357">
        <f>+IF(ISBLANK('Data Entry'!E16),"",'Data Entry'!E16)</f>
        <v>43282</v>
      </c>
      <c r="E11" s="710" t="s">
        <v>22</v>
      </c>
      <c r="F11" s="710"/>
      <c r="G11" s="357">
        <f>+IF(ISBLANK('Data Entry'!G16),"",'Data Entry'!G16)</f>
        <v>43373</v>
      </c>
      <c r="H11" s="387" t="s">
        <v>29</v>
      </c>
      <c r="I11" s="714" t="str">
        <f>+IF('Data Entry'!C12="Please Select","",'Data Entry'!C12)</f>
        <v>A2</v>
      </c>
      <c r="J11" s="714"/>
      <c r="K11" s="276"/>
      <c r="L11" s="54"/>
      <c r="M11" s="50"/>
      <c r="N11" s="54"/>
      <c r="O11" s="54"/>
      <c r="P11" s="51"/>
      <c r="Q11" s="11"/>
      <c r="R11" s="53"/>
      <c r="S11" s="17"/>
      <c r="T11" s="12"/>
      <c r="U11" s="11"/>
    </row>
    <row r="12" spans="1:24" ht="25.5" customHeight="1">
      <c r="A12" s="387" t="s">
        <v>31</v>
      </c>
      <c r="B12" s="707" t="str">
        <f>+IF('Data Entry'!G10="Please Select","",'Data Entry'!G10)</f>
        <v>UNOPS</v>
      </c>
      <c r="C12" s="707"/>
      <c r="D12" s="707"/>
      <c r="E12" s="711" t="s">
        <v>290</v>
      </c>
      <c r="F12" s="711"/>
      <c r="G12" s="707">
        <f>+'Data Entry'!G12</f>
        <v>0</v>
      </c>
      <c r="H12" s="707"/>
      <c r="I12" s="707"/>
      <c r="J12" s="707"/>
      <c r="K12" s="54"/>
      <c r="L12" s="54"/>
      <c r="M12" s="50"/>
      <c r="N12" s="54"/>
      <c r="O12" s="17"/>
      <c r="P12" s="51"/>
      <c r="Q12" s="11"/>
      <c r="R12" s="53"/>
      <c r="S12" s="17"/>
      <c r="T12" s="11"/>
      <c r="U12" s="55"/>
      <c r="V12" s="11"/>
      <c r="W12" s="12"/>
      <c r="X12" s="11"/>
    </row>
    <row r="13" spans="1:24" ht="25.5" customHeight="1">
      <c r="A13" s="387" t="s">
        <v>32</v>
      </c>
      <c r="B13" s="707" t="str">
        <f>+'Data Entry'!D18</f>
        <v>Maka Danelia</v>
      </c>
      <c r="C13" s="707"/>
      <c r="D13" s="707"/>
      <c r="E13" s="711" t="s">
        <v>30</v>
      </c>
      <c r="F13" s="711"/>
      <c r="G13" s="715">
        <f>+IF(ISBLANK('Data Entry'!J16),"",'Data Entry'!J16)</f>
        <v>43410</v>
      </c>
      <c r="H13" s="716"/>
      <c r="I13" s="716"/>
      <c r="J13" s="716"/>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topLeftCell="A22" zoomScale="150" zoomScaleNormal="150" zoomScalePageLayoutView="15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29" t="str">
        <f>+"Dashboard:  "&amp;"  "&amp;IF(+'Data Entry'!C4="Please Select","",'Data Entry'!C4&amp;" - ")&amp;IF('Data Entry'!G6="Please Select","",'Data Entry'!G6)</f>
        <v>Dashboard:    Georgia - TB</v>
      </c>
      <c r="C2" s="629"/>
      <c r="D2" s="629"/>
      <c r="E2" s="629"/>
      <c r="F2" s="629"/>
      <c r="G2" s="629"/>
      <c r="H2" s="629"/>
      <c r="I2" s="629"/>
      <c r="J2" s="629"/>
      <c r="K2" s="629"/>
      <c r="L2" s="1"/>
      <c r="M2" s="1"/>
      <c r="N2" s="1"/>
      <c r="O2" s="1"/>
    </row>
    <row r="3" spans="2:15">
      <c r="B3" s="135" t="str">
        <f>+IF('Data Entry'!G8="Please Select","",'Data Entry'!G8)</f>
        <v>NFM</v>
      </c>
      <c r="C3" s="725" t="str">
        <f>+IF('Data Entry'!I8="Please Select","",'Data Entry'!I8)</f>
        <v>Phase 1</v>
      </c>
      <c r="D3" s="725"/>
      <c r="E3" s="724"/>
      <c r="F3" s="724"/>
      <c r="G3" s="724"/>
      <c r="H3" s="724"/>
      <c r="I3" s="722" t="str">
        <f>+'Data Entry'!B16</f>
        <v>Report Period:</v>
      </c>
      <c r="J3" s="722"/>
      <c r="K3" s="201" t="str">
        <f>+'Data Entry'!C16</f>
        <v>P7</v>
      </c>
      <c r="L3" s="83"/>
    </row>
    <row r="4" spans="2:15">
      <c r="B4" s="135" t="str">
        <f>+'Data Entry'!B12</f>
        <v>Latest Rating:</v>
      </c>
      <c r="C4" s="726" t="str">
        <f>+IF('Data Entry'!C12="Please Select","",'Data Entry'!C12)</f>
        <v>A2</v>
      </c>
      <c r="D4" s="726"/>
      <c r="E4" s="724" t="str">
        <f>+'Data Entry'!C8</f>
        <v>NCDC</v>
      </c>
      <c r="F4" s="724"/>
      <c r="G4" s="724"/>
      <c r="H4" s="724"/>
      <c r="I4" s="722" t="str">
        <f>+'Data Entry'!D16</f>
        <v>From:</v>
      </c>
      <c r="J4" s="723"/>
      <c r="K4" s="203">
        <f>+IF(ISBLANK('Data Entry'!E16),"",'Data Entry'!E16)</f>
        <v>43282</v>
      </c>
    </row>
    <row r="5" spans="2:15" ht="18.75" customHeight="1">
      <c r="B5" s="135"/>
      <c r="C5" s="135"/>
      <c r="D5" s="721" t="str">
        <f>+'Data Entry'!G4</f>
        <v>Sustaining Universal Access to Quality Diagnosis and Treatment of all forms of TB</v>
      </c>
      <c r="E5" s="721"/>
      <c r="F5" s="721"/>
      <c r="G5" s="721"/>
      <c r="H5" s="721"/>
      <c r="I5" s="721"/>
      <c r="J5" s="135" t="str">
        <f>+'Data Entry'!F16</f>
        <v>To:</v>
      </c>
      <c r="K5" s="203">
        <f>+IF(ISBLANK('Data Entry'!G16),"",'Data Entry'!G16)</f>
        <v>43373</v>
      </c>
    </row>
    <row r="6" spans="2:15" ht="18.75">
      <c r="B6" s="139"/>
      <c r="C6" s="135"/>
      <c r="D6" s="136"/>
      <c r="E6" s="727" t="s">
        <v>63</v>
      </c>
      <c r="F6" s="727"/>
      <c r="G6" s="727"/>
      <c r="H6" s="727"/>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P7</v>
      </c>
      <c r="C8" s="145"/>
      <c r="D8" s="2"/>
      <c r="E8" s="2"/>
      <c r="F8" s="2"/>
      <c r="H8" s="206" t="str">
        <f>+'Data Entry'!B49&amp; " - in ("&amp;'Data Entry'!D26&amp;")         "&amp;+I3&amp;" "&amp;+K3</f>
        <v>F3: Disbursements and expenditures - in ($)         Report Period: P7</v>
      </c>
      <c r="I8" s="3"/>
      <c r="J8" s="3"/>
      <c r="K8" s="3"/>
    </row>
    <row r="9" spans="2:15">
      <c r="B9" s="361" t="s">
        <v>9</v>
      </c>
      <c r="C9" s="733"/>
      <c r="D9" s="734"/>
      <c r="E9" s="734"/>
      <c r="F9" s="735"/>
      <c r="H9" s="362" t="s">
        <v>9</v>
      </c>
      <c r="I9" s="736"/>
      <c r="J9" s="734"/>
      <c r="K9" s="735"/>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P7</v>
      </c>
      <c r="C22" s="2"/>
      <c r="D22" s="2"/>
      <c r="E22" s="2"/>
      <c r="F22" s="2"/>
      <c r="H22" s="207" t="str">
        <f>+'Data Entry'!B58&amp;"      "&amp;+I3&amp;" "&amp;+K3</f>
        <v>F4: Latest PR reporting and disbursement cycle      Report Period: P7</v>
      </c>
      <c r="J22" s="3"/>
      <c r="K22" s="3"/>
    </row>
    <row r="23" spans="1:11">
      <c r="B23" s="362" t="s">
        <v>10</v>
      </c>
      <c r="C23" s="736"/>
      <c r="D23" s="734"/>
      <c r="E23" s="734"/>
      <c r="F23" s="735"/>
      <c r="G23" s="384"/>
      <c r="H23" s="362" t="s">
        <v>9</v>
      </c>
      <c r="I23" s="736"/>
      <c r="J23" s="737"/>
      <c r="K23" s="738"/>
    </row>
    <row r="24" spans="1:11" ht="15.75" thickBot="1">
      <c r="B24" s="216"/>
      <c r="C24" s="216"/>
      <c r="D24" s="216"/>
      <c r="E24" s="216"/>
      <c r="F24" s="216"/>
      <c r="G24" s="216"/>
      <c r="H24" s="217"/>
      <c r="I24" s="217"/>
      <c r="J24" s="216"/>
      <c r="K24" s="216"/>
    </row>
    <row r="25" spans="1:11" ht="29.25" customHeight="1" thickBot="1">
      <c r="B25" s="3"/>
      <c r="C25" s="3"/>
      <c r="D25" s="3"/>
      <c r="E25" s="3"/>
      <c r="F25" s="3"/>
      <c r="G25" s="335"/>
      <c r="H25" s="728" t="s">
        <v>309</v>
      </c>
      <c r="I25" s="729"/>
      <c r="J25" s="729"/>
      <c r="K25" s="730"/>
    </row>
    <row r="26" spans="1:11" ht="24.75">
      <c r="B26" s="3"/>
      <c r="C26" s="3"/>
      <c r="D26" s="3"/>
      <c r="E26" s="3"/>
      <c r="F26" s="3"/>
      <c r="G26" s="295"/>
      <c r="H26" s="731"/>
      <c r="I26" s="732"/>
      <c r="J26" s="311" t="s">
        <v>61</v>
      </c>
      <c r="K26" s="312" t="s">
        <v>62</v>
      </c>
    </row>
    <row r="27" spans="1:11" ht="23.25" customHeight="1">
      <c r="B27" s="3"/>
      <c r="C27" s="3"/>
      <c r="D27" s="3"/>
      <c r="E27" s="3"/>
      <c r="F27" s="3"/>
      <c r="G27" s="336"/>
      <c r="H27" s="717" t="str">
        <f>'Data Entry'!B62</f>
        <v>Days taken to submit final PU/DR to LFA</v>
      </c>
      <c r="I27" s="718"/>
      <c r="J27" s="313">
        <f>+'Data Entry'!C62</f>
        <v>95</v>
      </c>
      <c r="K27" s="310" t="str">
        <f>+'Data Entry'!D62</f>
        <v>N/A</v>
      </c>
    </row>
    <row r="28" spans="1:11" ht="21" customHeight="1">
      <c r="B28" s="3"/>
      <c r="C28" s="3"/>
      <c r="D28" s="3"/>
      <c r="E28" s="3"/>
      <c r="F28" s="3"/>
      <c r="G28" s="336"/>
      <c r="H28" s="717" t="str">
        <f>'Data Entry'!B63</f>
        <v>Days taken for disbursement to reach PR</v>
      </c>
      <c r="I28" s="718"/>
      <c r="J28" s="313">
        <f>+'Data Entry'!C63</f>
        <v>45</v>
      </c>
      <c r="K28" s="310" t="str">
        <f>+'Data Entry'!D63</f>
        <v>N/A</v>
      </c>
    </row>
    <row r="29" spans="1:11" ht="21" customHeight="1" thickBot="1">
      <c r="B29" s="3"/>
      <c r="C29" s="3"/>
      <c r="D29" s="3"/>
      <c r="E29" s="3"/>
      <c r="F29" s="3"/>
      <c r="G29" s="336"/>
      <c r="H29" s="719" t="str">
        <f>'Data Entry'!B64</f>
        <v xml:space="preserve">Days taken for disbursement to reach SRs </v>
      </c>
      <c r="I29" s="720"/>
      <c r="J29" s="314">
        <f>+'Data Entry'!C64</f>
        <v>5</v>
      </c>
      <c r="K29" s="315">
        <f>+'Data Entry'!D64</f>
        <v>3</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topLeftCell="A16" zoomScale="130" zoomScaleNormal="130" zoomScalePageLayoutView="130" workbookViewId="0">
      <selection activeCell="I27" sqref="I27:L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4" t="str">
        <f>+"Dashboard:  "&amp;"  "&amp;IF(+'Data Entry'!C4="Please Select","",'Data Entry'!C4&amp;" - ")&amp;IF('Data Entry'!G6="Please Select","",'Data Entry'!G6)</f>
        <v>Dashboard:    Georgia - TB</v>
      </c>
      <c r="C2" s="744"/>
      <c r="D2" s="744"/>
      <c r="E2" s="744"/>
      <c r="F2" s="744"/>
      <c r="G2" s="744"/>
      <c r="H2" s="744"/>
      <c r="I2" s="744"/>
      <c r="J2" s="744"/>
      <c r="K2" s="744"/>
      <c r="L2" s="744"/>
      <c r="M2" s="26"/>
      <c r="N2" s="26"/>
      <c r="O2" s="26"/>
      <c r="P2" s="26"/>
    </row>
    <row r="3" spans="1:16">
      <c r="B3" s="24" t="str">
        <f>+IF('Data Entry'!G8="Please Select","",'Data Entry'!G8)</f>
        <v>NFM</v>
      </c>
      <c r="C3" s="742" t="str">
        <f>+IF('Data Entry'!I8="Please Select","",'Data Entry'!I8)</f>
        <v>Phase 1</v>
      </c>
      <c r="D3" s="742"/>
      <c r="E3" s="743"/>
      <c r="F3" s="743"/>
      <c r="G3" s="743"/>
      <c r="H3" s="743"/>
      <c r="I3" s="743"/>
      <c r="J3" s="746" t="str">
        <f>+'Data Entry'!B16</f>
        <v>Report Period:</v>
      </c>
      <c r="K3" s="746"/>
      <c r="L3" s="201" t="str">
        <f>+'Data Entry'!C16</f>
        <v>P7</v>
      </c>
    </row>
    <row r="4" spans="1:16">
      <c r="B4" s="24" t="str">
        <f>+'Data Entry'!B12</f>
        <v>Latest Rating:</v>
      </c>
      <c r="C4" s="726" t="str">
        <f>+IF('Data Entry'!C12="Please Select","",'Data Entry'!C12)</f>
        <v>A2</v>
      </c>
      <c r="D4" s="726"/>
      <c r="E4" s="743" t="str">
        <f>+'Data Entry'!C8</f>
        <v>NCDC</v>
      </c>
      <c r="F4" s="743"/>
      <c r="G4" s="743"/>
      <c r="H4" s="743"/>
      <c r="I4" s="743"/>
      <c r="J4" s="746" t="str">
        <f>+'Data Entry'!D16</f>
        <v>From:</v>
      </c>
      <c r="K4" s="750"/>
      <c r="L4" s="203">
        <f>+IF(ISBLANK('Data Entry'!E16),"",'Data Entry'!E16)</f>
        <v>43282</v>
      </c>
    </row>
    <row r="5" spans="1:16" ht="18.75" customHeight="1">
      <c r="B5" s="24"/>
      <c r="C5" s="24"/>
      <c r="D5" s="743" t="str">
        <f>+'Data Entry'!G4</f>
        <v>Sustaining Universal Access to Quality Diagnosis and Treatment of all forms of TB</v>
      </c>
      <c r="E5" s="743"/>
      <c r="F5" s="743"/>
      <c r="G5" s="743"/>
      <c r="H5" s="743"/>
      <c r="I5" s="743"/>
      <c r="J5" s="743"/>
      <c r="K5" s="24" t="str">
        <f>+'Data Entry'!F16</f>
        <v>To:</v>
      </c>
      <c r="L5" s="203">
        <f>+IF(ISBLANK('Data Entry'!G16),"",'Data Entry'!G16)</f>
        <v>43373</v>
      </c>
    </row>
    <row r="6" spans="1:16" ht="18.75">
      <c r="B6" s="23"/>
      <c r="C6" s="24"/>
      <c r="D6" s="25"/>
      <c r="E6" s="745" t="s">
        <v>70</v>
      </c>
      <c r="F6" s="745"/>
      <c r="G6" s="745"/>
      <c r="H6" s="745"/>
      <c r="I6" s="745"/>
    </row>
    <row r="7" spans="1:16">
      <c r="B7" s="385" t="str">
        <f>+'Data Entry'!B69&amp;"                "&amp;+J3&amp;" "&amp;+L3</f>
        <v>M1: Status of Conditions Precedent (CPs) and Time Bound Actions (TBAs)                Report Period: P7</v>
      </c>
      <c r="C7" s="21"/>
      <c r="H7" s="385" t="str">
        <f>+'Data Entry'!B76&amp;"                                                                             "&amp;+J3&amp;"  "&amp;+L3</f>
        <v>M2: Status of key PR management positions                                                                             Report Period:  P7</v>
      </c>
    </row>
    <row r="8" spans="1:16">
      <c r="B8" s="363" t="s">
        <v>9</v>
      </c>
      <c r="C8" s="736"/>
      <c r="D8" s="737"/>
      <c r="E8" s="737"/>
      <c r="F8" s="738"/>
      <c r="G8" s="386"/>
      <c r="H8" s="362" t="s">
        <v>9</v>
      </c>
      <c r="I8" s="736"/>
      <c r="J8" s="739"/>
      <c r="K8" s="739"/>
      <c r="L8" s="740"/>
    </row>
    <row r="9" spans="1:16">
      <c r="B9" s="19"/>
      <c r="C9" s="19"/>
      <c r="D9" s="19"/>
      <c r="E9" s="19"/>
      <c r="F9" s="19"/>
      <c r="G9" s="19"/>
      <c r="H9" s="19"/>
    </row>
    <row r="10" spans="1:16">
      <c r="A10" s="47"/>
      <c r="B10" s="19"/>
      <c r="C10" s="19"/>
      <c r="D10" s="751"/>
      <c r="E10" s="584"/>
      <c r="F10" s="584"/>
      <c r="G10" s="210"/>
      <c r="H10" s="19"/>
      <c r="N10" s="49"/>
      <c r="O10" s="49"/>
      <c r="P10" s="48"/>
    </row>
    <row r="11" spans="1:16">
      <c r="B11" s="19"/>
      <c r="C11" s="28"/>
      <c r="D11" s="751"/>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P7</v>
      </c>
      <c r="H15" s="385" t="str">
        <f>+'Data Entry'!B86&amp;"                                                             "&amp;+J3&amp;" "&amp;+L3</f>
        <v>M4: Number of complete reports received on time                                                             Report Period: P7</v>
      </c>
    </row>
    <row r="16" spans="1:16">
      <c r="B16" s="363" t="s">
        <v>9</v>
      </c>
      <c r="C16" s="736"/>
      <c r="D16" s="739"/>
      <c r="E16" s="739"/>
      <c r="F16" s="740"/>
      <c r="G16" s="386"/>
      <c r="H16" s="362" t="s">
        <v>9</v>
      </c>
      <c r="I16" s="736"/>
      <c r="J16" s="737"/>
      <c r="K16" s="737"/>
      <c r="L16" s="738"/>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P7</v>
      </c>
    </row>
    <row r="27" spans="2:13">
      <c r="B27" s="361" t="s">
        <v>9</v>
      </c>
      <c r="C27" s="733"/>
      <c r="D27" s="739"/>
      <c r="E27" s="739"/>
      <c r="F27" s="740"/>
      <c r="G27" s="386"/>
      <c r="H27" s="362" t="s">
        <v>9</v>
      </c>
      <c r="I27" s="736" t="s">
        <v>446</v>
      </c>
      <c r="J27" s="737"/>
      <c r="K27" s="737"/>
      <c r="L27" s="738"/>
    </row>
    <row r="28" spans="2:13" ht="15.75" thickBot="1"/>
    <row r="29" spans="2:13" ht="44.25" customHeight="1">
      <c r="F29" s="342"/>
      <c r="G29" s="342"/>
      <c r="H29" s="222" t="s">
        <v>33</v>
      </c>
      <c r="I29" s="338" t="s">
        <v>80</v>
      </c>
      <c r="J29" s="359" t="s">
        <v>344</v>
      </c>
      <c r="K29" s="221" t="s">
        <v>332</v>
      </c>
      <c r="L29" s="339" t="s">
        <v>331</v>
      </c>
    </row>
    <row r="30" spans="2:13" ht="15" customHeight="1">
      <c r="F30" s="342"/>
      <c r="G30" s="342"/>
      <c r="H30" s="747" t="str">
        <f>+'Data Entry'!B108</f>
        <v>TB</v>
      </c>
      <c r="I30" s="340" t="str">
        <f>+'Data Entry'!C108</f>
        <v>Cycloserine</v>
      </c>
      <c r="J30" s="452">
        <f>+'Data Entry'!I108</f>
        <v>12.457580246913579</v>
      </c>
      <c r="K30" s="453">
        <f>+'Data Entry'!J108</f>
        <v>4</v>
      </c>
      <c r="L30" s="430">
        <f>+'Data Entry'!K108</f>
        <v>8.4575802469135795</v>
      </c>
    </row>
    <row r="31" spans="2:13">
      <c r="F31" s="342"/>
      <c r="G31" s="342"/>
      <c r="H31" s="748"/>
      <c r="I31" s="340" t="str">
        <f>+'Data Entry'!C109</f>
        <v>Moxifloxacin</v>
      </c>
      <c r="J31" s="452">
        <f>+'Data Entry'!I109</f>
        <v>16.917333333333332</v>
      </c>
      <c r="K31" s="453">
        <f>+'Data Entry'!J109</f>
        <v>4</v>
      </c>
      <c r="L31" s="431">
        <f>+'Data Entry'!K109</f>
        <v>12.917333333333332</v>
      </c>
    </row>
    <row r="32" spans="2:13">
      <c r="F32" s="342"/>
      <c r="G32" s="342"/>
      <c r="H32" s="748"/>
      <c r="I32" s="340" t="str">
        <f>+'Data Entry'!C110</f>
        <v>Clofazimine</v>
      </c>
      <c r="J32" s="452">
        <f>+'Data Entry'!I110</f>
        <v>5.9155555555555557</v>
      </c>
      <c r="K32" s="453">
        <f>+'Data Entry'!J110</f>
        <v>4</v>
      </c>
      <c r="L32" s="430">
        <f>+'Data Entry'!K110</f>
        <v>1.9155555555555557</v>
      </c>
    </row>
    <row r="33" spans="2:12" ht="15.75" thickBot="1">
      <c r="F33" s="342"/>
      <c r="G33" s="342"/>
      <c r="H33" s="749"/>
      <c r="I33" s="341" t="str">
        <f>+'Data Entry'!C111</f>
        <v>Linezolid</v>
      </c>
      <c r="J33" s="454">
        <f>+'Data Entry'!I111</f>
        <v>10.360277777777778</v>
      </c>
      <c r="K33" s="455">
        <f>+'Data Entry'!J111</f>
        <v>4</v>
      </c>
      <c r="L33" s="431">
        <f>+'Data Entry'!K111</f>
        <v>6.3602777777777781</v>
      </c>
    </row>
    <row r="34" spans="2:12" ht="24.75" customHeight="1">
      <c r="B34" s="741" t="str">
        <f>+'Data Entry'!B102</f>
        <v>* Includes only EFR category 4 and 5  (Health products and health equipment &amp; Medicines and Pharmaceuticals)</v>
      </c>
      <c r="C34" s="741"/>
      <c r="D34" s="741"/>
      <c r="E34" s="741"/>
      <c r="F34" s="19"/>
      <c r="G34" s="19"/>
      <c r="H34" s="218"/>
      <c r="I34" s="219"/>
      <c r="J34" s="220"/>
      <c r="K34" s="210"/>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zoomScale="150" zoomScaleNormal="150" zoomScalePageLayoutView="150" workbookViewId="0">
      <selection activeCell="F21" sqref="F21"/>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84" t="str">
        <f>+"Dashboard:  "&amp;"  "&amp;IF(+'Data Entry'!C4="Please Select","",'Data Entry'!C4&amp;" - ")&amp;IF('Data Entry'!G6="Please Select","",'Data Entry'!G6)</f>
        <v>Dashboard:    Georgia - TB</v>
      </c>
      <c r="C2" s="784"/>
      <c r="D2" s="784"/>
      <c r="E2" s="784"/>
      <c r="F2" s="784"/>
      <c r="G2" s="784"/>
      <c r="H2" s="784"/>
      <c r="I2" s="784"/>
      <c r="J2" s="784"/>
      <c r="K2" s="784"/>
      <c r="L2" s="784"/>
      <c r="M2" s="784"/>
      <c r="N2" s="784"/>
      <c r="O2" s="784"/>
      <c r="P2" s="784"/>
      <c r="Q2" s="784"/>
    </row>
    <row r="3" spans="1:35" ht="18.75">
      <c r="A3" s="3"/>
      <c r="B3" s="135" t="str">
        <f>+IF('Data Entry'!G8="Please Select","",'Data Entry'!G8)</f>
        <v>NFM</v>
      </c>
      <c r="C3" s="725" t="str">
        <f>+IF('Data Entry'!I8="Please Select","",'Data Entry'!I8)</f>
        <v>Phase 1</v>
      </c>
      <c r="D3" s="725"/>
      <c r="E3" s="724"/>
      <c r="F3" s="724"/>
      <c r="G3" s="724"/>
      <c r="H3" s="724"/>
      <c r="I3" s="786"/>
      <c r="J3" s="786"/>
      <c r="K3" s="786"/>
      <c r="L3" s="3"/>
      <c r="M3" s="3"/>
      <c r="O3" s="722" t="str">
        <f>+'Data Entry'!B16</f>
        <v>Report Period:</v>
      </c>
      <c r="P3" s="722"/>
      <c r="Q3" s="202" t="str">
        <f>+'Data Entry'!C16</f>
        <v>P7</v>
      </c>
    </row>
    <row r="4" spans="1:35" ht="12" customHeight="1">
      <c r="A4" s="3"/>
      <c r="B4" s="135" t="str">
        <f>+'Data Entry'!B12</f>
        <v>Latest Rating:</v>
      </c>
      <c r="C4" s="787" t="str">
        <f>+IF('Data Entry'!C12="Please Select","",'Data Entry'!C12)</f>
        <v>A2</v>
      </c>
      <c r="D4" s="787"/>
      <c r="E4" s="724" t="str">
        <f>+'Data Entry'!C8</f>
        <v>NCDC</v>
      </c>
      <c r="F4" s="724"/>
      <c r="G4" s="724"/>
      <c r="H4" s="724"/>
      <c r="I4" s="724"/>
      <c r="J4" s="724"/>
      <c r="K4" s="724"/>
      <c r="L4" s="724"/>
      <c r="M4" s="3"/>
      <c r="O4" s="344"/>
      <c r="P4" s="135" t="str">
        <f>+'Data Entry'!D16</f>
        <v>From:</v>
      </c>
      <c r="Q4" s="345">
        <f>+IF(ISBLANK('Data Entry'!E16),"",'Data Entry'!E16)</f>
        <v>43282</v>
      </c>
      <c r="Y4" s="71"/>
      <c r="Z4" s="71"/>
      <c r="AA4" s="71"/>
      <c r="AB4" s="71"/>
      <c r="AC4" s="71"/>
    </row>
    <row r="5" spans="1:35" ht="15.75" customHeight="1">
      <c r="A5" s="3"/>
      <c r="B5" s="135"/>
      <c r="C5" s="135"/>
      <c r="D5" s="724" t="str">
        <f>+'Data Entry'!G4</f>
        <v>Sustaining Universal Access to Quality Diagnosis and Treatment of all forms of TB</v>
      </c>
      <c r="E5" s="724"/>
      <c r="F5" s="724"/>
      <c r="G5" s="724"/>
      <c r="H5" s="724"/>
      <c r="I5" s="724"/>
      <c r="J5" s="724"/>
      <c r="K5" s="724"/>
      <c r="L5" s="724"/>
      <c r="M5" s="724"/>
      <c r="N5" s="724"/>
      <c r="P5" s="135" t="str">
        <f>+'Data Entry'!F16</f>
        <v>To:</v>
      </c>
      <c r="Q5" s="345">
        <f>+IF(ISBLANK('Data Entry'!G16),"",'Data Entry'!G16)</f>
        <v>43373</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85" t="s">
        <v>394</v>
      </c>
      <c r="G6" s="785"/>
      <c r="H6" s="785"/>
      <c r="I6" s="785"/>
      <c r="J6" s="785"/>
      <c r="K6" s="785"/>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7" t="str">
        <f>+'Data Entry'!B118</f>
        <v>MDR TB-3: Number of cases with drug resistant TB (RR-TB and/or MDR-TB) that began second-line treatment</v>
      </c>
      <c r="C8" s="757"/>
      <c r="D8" s="757"/>
      <c r="E8" s="757"/>
      <c r="F8" s="757" t="str">
        <f>+'Data Entry'!B120</f>
        <v>MDR TB-8: Number of cases of XDR TB enrolled on treatment</v>
      </c>
      <c r="G8" s="757"/>
      <c r="H8" s="757"/>
      <c r="I8" s="757"/>
      <c r="J8" s="757"/>
      <c r="K8" s="757"/>
      <c r="L8" s="757" t="str">
        <f>+'Data Entry'!B122</f>
        <v>MDR TB other -1: Percentage  of new and relapse TB patients tested using WHO recommended rapid tests at the time of diagnosis</v>
      </c>
      <c r="M8" s="757"/>
      <c r="N8" s="757"/>
      <c r="O8" s="757"/>
      <c r="P8" s="757"/>
      <c r="Q8" s="757"/>
      <c r="S8" s="229"/>
      <c r="T8" s="229"/>
      <c r="U8" s="229"/>
      <c r="V8" s="229"/>
      <c r="W8" s="229"/>
      <c r="X8" s="229"/>
      <c r="Y8" s="71"/>
      <c r="Z8" s="71"/>
      <c r="AA8" s="71"/>
      <c r="AB8" s="71"/>
      <c r="AC8" s="71"/>
      <c r="AD8" s="229"/>
      <c r="AE8" s="229"/>
      <c r="AF8" s="229"/>
      <c r="AG8" s="229"/>
      <c r="AH8" s="229"/>
      <c r="AI8" s="229"/>
    </row>
    <row r="9" spans="1:35" ht="24" customHeight="1">
      <c r="A9" s="3"/>
      <c r="B9" s="483" t="s">
        <v>413</v>
      </c>
      <c r="C9" s="752"/>
      <c r="D9" s="753"/>
      <c r="E9" s="754"/>
      <c r="F9" s="483" t="s">
        <v>414</v>
      </c>
      <c r="G9" s="752"/>
      <c r="H9" s="753"/>
      <c r="I9" s="753"/>
      <c r="J9" s="753"/>
      <c r="K9" s="754"/>
      <c r="L9" s="483" t="s">
        <v>415</v>
      </c>
      <c r="M9" s="752"/>
      <c r="N9" s="755"/>
      <c r="O9" s="755"/>
      <c r="P9" s="755"/>
      <c r="Q9" s="756"/>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3"/>
      <c r="F18" s="773"/>
      <c r="G18" s="773"/>
      <c r="H18" s="773"/>
      <c r="I18" s="773"/>
      <c r="J18" s="773"/>
      <c r="K18" s="773"/>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4" t="s">
        <v>89</v>
      </c>
      <c r="C19" s="774"/>
      <c r="D19" s="774"/>
      <c r="E19" s="146" t="s">
        <v>86</v>
      </c>
      <c r="F19" s="146" t="s">
        <v>90</v>
      </c>
      <c r="G19" s="780" t="s">
        <v>333</v>
      </c>
      <c r="H19" s="781"/>
      <c r="I19" s="782" t="s">
        <v>334</v>
      </c>
      <c r="J19" s="783"/>
      <c r="K19" s="343" t="s">
        <v>335</v>
      </c>
      <c r="L19" s="777" t="s">
        <v>93</v>
      </c>
      <c r="M19" s="778"/>
      <c r="N19" s="778"/>
      <c r="O19" s="778"/>
      <c r="P19" s="778"/>
      <c r="Q19" s="779"/>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70.5" customHeight="1">
      <c r="A20" s="3"/>
      <c r="B20" s="767" t="str">
        <f>+'Data Entry'!B118</f>
        <v>MDR TB-3: Number of cases with drug resistant TB (RR-TB and/or MDR-TB) that began second-line treatment</v>
      </c>
      <c r="C20" s="767"/>
      <c r="D20" s="767"/>
      <c r="E20" s="147">
        <f ca="1">OFFSET('Data Entry'!$G$117,1,RIGHT('Data Entry'!$C$16,LEN('Data Entry'!$C$16)-1),1,1)</f>
        <v>112</v>
      </c>
      <c r="F20" s="147">
        <f ca="1">OFFSET('Data Entry'!$G$117,2,RIGHT('Data Entry'!$C$16,LEN('Data Entry'!$C$16)-1),1,1)</f>
        <v>76</v>
      </c>
      <c r="G20" s="762">
        <f t="shared" ref="G20:G29" ca="1" si="0">+IF(ISERROR(F20/E20),0,F20/E20)</f>
        <v>0.6785714285714286</v>
      </c>
      <c r="H20" s="763"/>
      <c r="I20" s="763"/>
      <c r="J20" s="763"/>
      <c r="K20" s="764"/>
      <c r="L20" s="771" t="s">
        <v>445</v>
      </c>
      <c r="M20" s="771"/>
      <c r="N20" s="771"/>
      <c r="O20" s="771"/>
      <c r="P20" s="771"/>
      <c r="Q20" s="771"/>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61" t="str">
        <f>+'Data Entry'!B120</f>
        <v>MDR TB-8: Number of cases of XDR TB enrolled on treatment</v>
      </c>
      <c r="C21" s="761"/>
      <c r="D21" s="761"/>
      <c r="E21" s="147">
        <f ca="1">OFFSET('Data Entry'!$G$117,3,RIGHT('Data Entry'!$C$16,LEN('Data Entry'!$C$16)-1),1,1)</f>
        <v>17</v>
      </c>
      <c r="F21" s="147">
        <f ca="1">OFFSET('Data Entry'!$G$117,4,RIGHT('Data Entry'!$C$16,LEN('Data Entry'!$C$16)-1),1,1)</f>
        <v>8</v>
      </c>
      <c r="G21" s="762">
        <f t="shared" ca="1" si="0"/>
        <v>0.47058823529411764</v>
      </c>
      <c r="H21" s="763"/>
      <c r="I21" s="763"/>
      <c r="J21" s="763"/>
      <c r="K21" s="764"/>
      <c r="L21" s="771" t="s">
        <v>430</v>
      </c>
      <c r="M21" s="771"/>
      <c r="N21" s="771"/>
      <c r="O21" s="771"/>
      <c r="P21" s="771"/>
      <c r="Q21" s="771"/>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67" t="str">
        <f>+'Data Entry'!B122</f>
        <v>MDR TB other -1: Percentage  of new and relapse TB patients tested using WHO recommended rapid tests at the time of diagnosis</v>
      </c>
      <c r="C22" s="767"/>
      <c r="D22" s="767"/>
      <c r="E22" s="147">
        <f ca="1">OFFSET('Data Entry'!$G$117,5,RIGHT('Data Entry'!$C$16,LEN('Data Entry'!$C$16)-1),1,1)</f>
        <v>80</v>
      </c>
      <c r="F22" s="147">
        <f ca="1">OFFSET('Data Entry'!$G$117,6,RIGHT('Data Entry'!$C$16,LEN('Data Entry'!$C$16)-1),1,1)</f>
        <v>94</v>
      </c>
      <c r="G22" s="762">
        <f t="shared" ca="1" si="0"/>
        <v>1.175</v>
      </c>
      <c r="H22" s="763"/>
      <c r="I22" s="763"/>
      <c r="J22" s="763"/>
      <c r="K22" s="764"/>
      <c r="L22" s="771" t="s">
        <v>431</v>
      </c>
      <c r="M22" s="771"/>
      <c r="N22" s="771"/>
      <c r="O22" s="771"/>
      <c r="P22" s="771"/>
      <c r="Q22" s="771"/>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68">
        <f>+'Data Entry'!B124</f>
        <v>0</v>
      </c>
      <c r="C23" s="769"/>
      <c r="D23" s="770"/>
      <c r="E23" s="147">
        <f ca="1">OFFSET('Data Entry'!$G$117,7,RIGHT('Data Entry'!$C$16,LEN('Data Entry'!$C$16)-1),1,1)</f>
        <v>0</v>
      </c>
      <c r="F23" s="147">
        <f ca="1">OFFSET('Data Entry'!$G$117,8,RIGHT('Data Entry'!$C$16,LEN('Data Entry'!$C$16)-1),1,1)</f>
        <v>0</v>
      </c>
      <c r="G23" s="762">
        <f t="shared" ca="1" si="0"/>
        <v>0</v>
      </c>
      <c r="H23" s="763"/>
      <c r="I23" s="763"/>
      <c r="J23" s="763"/>
      <c r="K23" s="764"/>
      <c r="L23" s="771"/>
      <c r="M23" s="771"/>
      <c r="N23" s="771"/>
      <c r="O23" s="771"/>
      <c r="P23" s="771"/>
      <c r="Q23" s="771"/>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61">
        <f>+'Data Entry'!B126</f>
        <v>0</v>
      </c>
      <c r="C24" s="761"/>
      <c r="D24" s="761"/>
      <c r="E24" s="147">
        <f ca="1">OFFSET('Data Entry'!$G$117,9,RIGHT('Data Entry'!$C$16,LEN('Data Entry'!$C$16)-1),1,1)</f>
        <v>0</v>
      </c>
      <c r="F24" s="147">
        <f ca="1">OFFSET('Data Entry'!$G$117,10,RIGHT('Data Entry'!$C$16,LEN('Data Entry'!$C$16)-1),1,1)</f>
        <v>0</v>
      </c>
      <c r="G24" s="762">
        <f t="shared" ca="1" si="0"/>
        <v>0</v>
      </c>
      <c r="H24" s="763"/>
      <c r="I24" s="763"/>
      <c r="J24" s="763"/>
      <c r="K24" s="764"/>
      <c r="L24" s="771" t="s">
        <v>423</v>
      </c>
      <c r="M24" s="771"/>
      <c r="N24" s="771"/>
      <c r="O24" s="771"/>
      <c r="P24" s="771"/>
      <c r="Q24" s="771"/>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67">
        <f>+'Data Entry'!B128</f>
        <v>0</v>
      </c>
      <c r="C25" s="767"/>
      <c r="D25" s="767"/>
      <c r="E25" s="147">
        <f ca="1">OFFSET('Data Entry'!$G$117,11,RIGHT('Data Entry'!$C$16,LEN('Data Entry'!$C$16)-1),1,1)</f>
        <v>0</v>
      </c>
      <c r="F25" s="147">
        <f ca="1">OFFSET('Data Entry'!$G$117,12,RIGHT('Data Entry'!$C$16,LEN('Data Entry'!$C$16)-1),1,1)</f>
        <v>0</v>
      </c>
      <c r="G25" s="762">
        <f t="shared" ca="1" si="0"/>
        <v>0</v>
      </c>
      <c r="H25" s="763"/>
      <c r="I25" s="763"/>
      <c r="J25" s="763"/>
      <c r="K25" s="764"/>
      <c r="L25" s="771" t="s">
        <v>423</v>
      </c>
      <c r="M25" s="771"/>
      <c r="N25" s="771"/>
      <c r="O25" s="771"/>
      <c r="P25" s="771"/>
      <c r="Q25" s="771"/>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61">
        <f>+'Data Entry'!B130</f>
        <v>0</v>
      </c>
      <c r="C26" s="761"/>
      <c r="D26" s="761"/>
      <c r="E26" s="147">
        <f ca="1">OFFSET('Data Entry'!$G$117,13,RIGHT('Data Entry'!$C$16,LEN('Data Entry'!$C$16)-1),1,1)</f>
        <v>0</v>
      </c>
      <c r="F26" s="147">
        <f ca="1">OFFSET('Data Entry'!$G$117,14,RIGHT('Data Entry'!$C$16,LEN('Data Entry'!$C$16)-1),1,1)</f>
        <v>0</v>
      </c>
      <c r="G26" s="762">
        <f t="shared" ca="1" si="0"/>
        <v>0</v>
      </c>
      <c r="H26" s="763"/>
      <c r="I26" s="763"/>
      <c r="J26" s="763"/>
      <c r="K26" s="764"/>
      <c r="L26" s="771"/>
      <c r="M26" s="771"/>
      <c r="N26" s="771"/>
      <c r="O26" s="771"/>
      <c r="P26" s="771"/>
      <c r="Q26" s="771"/>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67">
        <f>+'Data Entry'!B132</f>
        <v>0</v>
      </c>
      <c r="C27" s="767"/>
      <c r="D27" s="767"/>
      <c r="E27" s="147">
        <f ca="1">OFFSET('Data Entry'!$G$117,15,RIGHT('Data Entry'!$C$16,LEN('Data Entry'!$C$16)-1),1,1)</f>
        <v>0</v>
      </c>
      <c r="F27" s="147">
        <f ca="1">OFFSET('Data Entry'!$G$117,16,RIGHT('Data Entry'!$C$16,LEN('Data Entry'!$C$16)-1),1,1)</f>
        <v>0</v>
      </c>
      <c r="G27" s="762">
        <f t="shared" ca="1" si="0"/>
        <v>0</v>
      </c>
      <c r="H27" s="763"/>
      <c r="I27" s="763"/>
      <c r="J27" s="763"/>
      <c r="K27" s="764"/>
      <c r="L27" s="771"/>
      <c r="M27" s="771"/>
      <c r="N27" s="771"/>
      <c r="O27" s="771"/>
      <c r="P27" s="771"/>
      <c r="Q27" s="771"/>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61">
        <f>+'Data Entry'!B134</f>
        <v>0</v>
      </c>
      <c r="C28" s="761"/>
      <c r="D28" s="761"/>
      <c r="E28" s="147">
        <f ca="1">OFFSET('Data Entry'!$G$117,17,RIGHT('Data Entry'!$C$16,LEN('Data Entry'!$C$16)-1),1,1)</f>
        <v>0</v>
      </c>
      <c r="F28" s="147">
        <f ca="1">OFFSET('Data Entry'!$G$117,18,RIGHT('Data Entry'!$C$16,LEN('Data Entry'!$C$16)-1),1,1)</f>
        <v>0</v>
      </c>
      <c r="G28" s="762">
        <f t="shared" ca="1" si="0"/>
        <v>0</v>
      </c>
      <c r="H28" s="763"/>
      <c r="I28" s="763"/>
      <c r="J28" s="763"/>
      <c r="K28" s="764"/>
      <c r="L28" s="771"/>
      <c r="M28" s="771"/>
      <c r="N28" s="771"/>
      <c r="O28" s="771"/>
      <c r="P28" s="771"/>
      <c r="Q28" s="771"/>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hidden="1" customHeight="1">
      <c r="A29" s="3"/>
      <c r="B29" s="768">
        <f>+'Data Entry'!B136</f>
        <v>0</v>
      </c>
      <c r="C29" s="769"/>
      <c r="D29" s="770"/>
      <c r="E29" s="147">
        <f ca="1">OFFSET('Data Entry'!$G$117,19,RIGHT('Data Entry'!$C$16,LEN('Data Entry'!$C$16)-1),1,1)</f>
        <v>0</v>
      </c>
      <c r="F29" s="147">
        <f ca="1">OFFSET('Data Entry'!$G$117,20,RIGHT('Data Entry'!$C$16,LEN('Data Entry'!$C$16)-1),1,1)</f>
        <v>0</v>
      </c>
      <c r="G29" s="762">
        <f t="shared" ca="1" si="0"/>
        <v>0</v>
      </c>
      <c r="H29" s="763"/>
      <c r="I29" s="763"/>
      <c r="J29" s="763"/>
      <c r="K29" s="764"/>
      <c r="L29" s="771"/>
      <c r="M29" s="771"/>
      <c r="N29" s="771"/>
      <c r="O29" s="771"/>
      <c r="P29" s="771"/>
      <c r="Q29" s="771"/>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66"/>
      <c r="C30" s="766"/>
      <c r="D30" s="766"/>
      <c r="E30" s="766"/>
      <c r="F30" s="765"/>
      <c r="G30" s="765"/>
      <c r="H30" s="765"/>
      <c r="I30" s="765"/>
      <c r="J30" s="765"/>
      <c r="K30" s="765"/>
      <c r="L30" s="772"/>
      <c r="M30" s="772"/>
      <c r="N30" s="772"/>
      <c r="O30" s="772"/>
      <c r="P30" s="772"/>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6"/>
      <c r="C31" s="776"/>
      <c r="D31" s="776"/>
      <c r="E31" s="760"/>
      <c r="F31" s="758"/>
      <c r="G31" s="759"/>
      <c r="H31" s="759"/>
      <c r="I31" s="759"/>
      <c r="J31" s="759"/>
      <c r="K31" s="760"/>
      <c r="L31" s="758"/>
      <c r="M31" s="759"/>
      <c r="N31" s="759"/>
      <c r="O31" s="759"/>
      <c r="P31" s="759"/>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5"/>
      <c r="C33" s="775"/>
      <c r="D33" s="775"/>
      <c r="E33" s="775"/>
      <c r="F33" s="775"/>
      <c r="G33" s="775"/>
      <c r="H33" s="775"/>
      <c r="I33" s="775"/>
      <c r="J33" s="775"/>
      <c r="K33" s="775"/>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5"/>
      <c r="C34" s="775"/>
      <c r="D34" s="775"/>
      <c r="E34" s="775"/>
      <c r="F34" s="775"/>
      <c r="G34" s="775"/>
      <c r="H34" s="775"/>
      <c r="I34" s="775"/>
      <c r="J34" s="775"/>
      <c r="K34" s="775"/>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84" t="str">
        <f>+"Dashboard:  "&amp;"  "&amp;IF(+'Data Entry'!C4="Please Select","",'Data Entry'!C4&amp;" - ")&amp;IF('Data Entry'!G6="Please Select","",'Data Entry'!G6)</f>
        <v>Dashboard:    Georgia - TB</v>
      </c>
      <c r="C2" s="784"/>
      <c r="D2" s="784"/>
      <c r="E2" s="784"/>
      <c r="F2" s="784"/>
      <c r="G2" s="784"/>
      <c r="H2" s="784"/>
      <c r="I2" s="784"/>
      <c r="J2" s="784"/>
      <c r="K2" s="784"/>
      <c r="L2" s="784"/>
      <c r="M2" s="784"/>
      <c r="N2" s="784"/>
      <c r="O2" s="73"/>
    </row>
    <row r="3" spans="1:15" customFormat="1" ht="18.75">
      <c r="A3" s="3"/>
      <c r="B3" s="135" t="str">
        <f>+IF('Data Entry'!G8="Please Select","",'Data Entry'!G8)</f>
        <v>NFM</v>
      </c>
      <c r="C3" s="725" t="str">
        <f>+IF('Data Entry'!I8="Please Select","",'Data Entry'!I8)</f>
        <v>Phase 1</v>
      </c>
      <c r="D3" s="725"/>
      <c r="E3" s="786"/>
      <c r="F3" s="786"/>
      <c r="G3" s="786"/>
      <c r="H3" s="786"/>
      <c r="I3" s="786"/>
      <c r="J3" s="786"/>
      <c r="K3" s="786"/>
      <c r="L3" s="135" t="str">
        <f>+'Data Entry'!B16</f>
        <v>Report Period:</v>
      </c>
      <c r="M3" s="202" t="str">
        <f>+'Data Entry'!C16</f>
        <v>P7</v>
      </c>
      <c r="N3" s="202"/>
      <c r="O3" s="31"/>
    </row>
    <row r="4" spans="1:15" customFormat="1" ht="15">
      <c r="A4" s="3"/>
      <c r="B4" s="135" t="str">
        <f>+'Data Entry'!B12</f>
        <v>Latest Rating:</v>
      </c>
      <c r="C4" s="787" t="str">
        <f>+IF('Data Entry'!C12="Please Select","",'Data Entry'!C12)</f>
        <v>A2</v>
      </c>
      <c r="D4" s="787"/>
      <c r="E4" s="724" t="str">
        <f>+'Data Entry'!C8</f>
        <v>NCDC</v>
      </c>
      <c r="F4" s="724"/>
      <c r="G4" s="724"/>
      <c r="H4" s="724"/>
      <c r="I4" s="724"/>
      <c r="J4" s="724"/>
      <c r="K4" s="724"/>
      <c r="L4" s="135" t="str">
        <f>+'Data Entry'!D16</f>
        <v>From:</v>
      </c>
      <c r="M4" s="203">
        <f>+IF(ISBLANK('Data Entry'!E16),"",'Data Entry'!E16)</f>
        <v>43282</v>
      </c>
      <c r="N4" s="203"/>
      <c r="O4" s="31"/>
    </row>
    <row r="5" spans="1:15" customFormat="1" ht="18.75" customHeight="1">
      <c r="A5" s="3"/>
      <c r="B5" s="135"/>
      <c r="C5" s="135"/>
      <c r="D5" s="136"/>
      <c r="E5" s="724" t="str">
        <f>+'Data Entry'!G4</f>
        <v>Sustaining Universal Access to Quality Diagnosis and Treatment of all forms of TB</v>
      </c>
      <c r="F5" s="724"/>
      <c r="G5" s="724"/>
      <c r="H5" s="724"/>
      <c r="I5" s="724"/>
      <c r="J5" s="724"/>
      <c r="K5" s="724"/>
      <c r="L5" s="135" t="str">
        <f>+'Data Entry'!F16</f>
        <v>To:</v>
      </c>
      <c r="M5" s="203">
        <f>+IF(ISBLANK('Data Entry'!G16),"",'Data Entry'!G16)</f>
        <v>43373</v>
      </c>
      <c r="N5" s="203"/>
    </row>
    <row r="6" spans="1:15" customFormat="1" ht="22.5" customHeight="1">
      <c r="A6" s="3"/>
      <c r="B6" s="140"/>
      <c r="C6" s="141"/>
      <c r="D6" s="142"/>
      <c r="E6" s="829" t="s">
        <v>316</v>
      </c>
      <c r="F6" s="829"/>
      <c r="G6" s="829"/>
      <c r="H6" s="829"/>
      <c r="I6" s="829"/>
      <c r="J6" s="829"/>
      <c r="K6" s="829"/>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06" t="s">
        <v>99</v>
      </c>
      <c r="C8" s="806"/>
      <c r="D8" s="806"/>
      <c r="E8" s="806"/>
      <c r="F8" s="806"/>
      <c r="G8" s="806"/>
      <c r="H8" s="806"/>
      <c r="I8" s="806"/>
      <c r="J8" s="806"/>
      <c r="K8" s="806"/>
      <c r="L8" s="806"/>
      <c r="M8" s="806"/>
      <c r="N8" s="806"/>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7" t="s">
        <v>94</v>
      </c>
      <c r="C10" s="839"/>
      <c r="D10" s="830" t="s">
        <v>98</v>
      </c>
      <c r="E10" s="831"/>
      <c r="F10" s="831"/>
      <c r="G10" s="832"/>
      <c r="H10" s="163"/>
      <c r="I10" s="830" t="s">
        <v>316</v>
      </c>
      <c r="J10" s="831"/>
      <c r="K10" s="831"/>
      <c r="L10" s="831"/>
      <c r="M10" s="831"/>
      <c r="N10" s="832"/>
    </row>
    <row r="11" spans="1:15" s="34" customFormat="1" ht="28.5" customHeight="1">
      <c r="A11" s="160"/>
      <c r="B11" s="435" t="s">
        <v>102</v>
      </c>
      <c r="C11" s="180"/>
      <c r="D11" s="809" t="str">
        <f>IF(ISBLANK(Finance!C9),"",(Finance!C9))</f>
        <v/>
      </c>
      <c r="E11" s="809"/>
      <c r="F11" s="809"/>
      <c r="G11" s="810"/>
      <c r="H11" s="186"/>
      <c r="I11" s="814"/>
      <c r="J11" s="815"/>
      <c r="K11" s="815"/>
      <c r="L11" s="815"/>
      <c r="M11" s="815"/>
      <c r="N11" s="816"/>
    </row>
    <row r="12" spans="1:15" s="34" customFormat="1" ht="27.75" customHeight="1">
      <c r="A12" s="160"/>
      <c r="B12" s="436" t="s">
        <v>103</v>
      </c>
      <c r="C12" s="181"/>
      <c r="D12" s="809" t="str">
        <f>IF(ISBLANK(Finance!C23),"",(Finance!C23))</f>
        <v/>
      </c>
      <c r="E12" s="809"/>
      <c r="F12" s="809"/>
      <c r="G12" s="810"/>
      <c r="H12" s="186"/>
      <c r="I12" s="811"/>
      <c r="J12" s="812"/>
      <c r="K12" s="812"/>
      <c r="L12" s="812"/>
      <c r="M12" s="812"/>
      <c r="N12" s="813"/>
    </row>
    <row r="13" spans="1:15" s="34" customFormat="1" ht="26.25" customHeight="1">
      <c r="A13" s="160"/>
      <c r="B13" s="436" t="s">
        <v>104</v>
      </c>
      <c r="C13" s="181"/>
      <c r="D13" s="809" t="str">
        <f>IF(ISBLANK(Finance!I9),"",(Finance!I9))</f>
        <v/>
      </c>
      <c r="E13" s="809"/>
      <c r="F13" s="809"/>
      <c r="G13" s="810"/>
      <c r="H13" s="186"/>
      <c r="I13" s="811"/>
      <c r="J13" s="812"/>
      <c r="K13" s="812"/>
      <c r="L13" s="812"/>
      <c r="M13" s="812"/>
      <c r="N13" s="813"/>
    </row>
    <row r="14" spans="1:15" s="34" customFormat="1" ht="28.5" customHeight="1" thickBot="1">
      <c r="A14" s="160"/>
      <c r="B14" s="437" t="s">
        <v>105</v>
      </c>
      <c r="C14" s="182"/>
      <c r="D14" s="807" t="str">
        <f>IF(ISBLANK(Finance!I23),"",(Finance!I23))</f>
        <v/>
      </c>
      <c r="E14" s="807"/>
      <c r="F14" s="807"/>
      <c r="G14" s="808"/>
      <c r="H14" s="186"/>
      <c r="I14" s="840"/>
      <c r="J14" s="841"/>
      <c r="K14" s="841"/>
      <c r="L14" s="841"/>
      <c r="M14" s="841"/>
      <c r="N14" s="842"/>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06" t="s">
        <v>101</v>
      </c>
      <c r="C16" s="806"/>
      <c r="D16" s="806"/>
      <c r="E16" s="806"/>
      <c r="F16" s="806"/>
      <c r="G16" s="806"/>
      <c r="H16" s="806"/>
      <c r="I16" s="806"/>
      <c r="J16" s="806"/>
      <c r="K16" s="806"/>
      <c r="L16" s="806"/>
      <c r="M16" s="806"/>
      <c r="N16" s="806"/>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39" t="s">
        <v>95</v>
      </c>
      <c r="C18" s="818"/>
      <c r="D18" s="823" t="s">
        <v>98</v>
      </c>
      <c r="E18" s="824"/>
      <c r="F18" s="824"/>
      <c r="G18" s="825"/>
      <c r="H18" s="163"/>
      <c r="I18" s="820" t="s">
        <v>316</v>
      </c>
      <c r="J18" s="821"/>
      <c r="K18" s="821"/>
      <c r="L18" s="821"/>
      <c r="M18" s="822"/>
      <c r="N18" s="822"/>
    </row>
    <row r="19" spans="1:15" s="34" customFormat="1" ht="21.75" customHeight="1">
      <c r="A19" s="160"/>
      <c r="B19" s="438" t="s">
        <v>110</v>
      </c>
      <c r="C19" s="188"/>
      <c r="D19" s="843" t="str">
        <f>IF(ISBLANK(Management!C8),"",(Management!C8))</f>
        <v/>
      </c>
      <c r="E19" s="843"/>
      <c r="F19" s="843"/>
      <c r="G19" s="844"/>
      <c r="H19" s="189"/>
      <c r="I19" s="833"/>
      <c r="J19" s="834"/>
      <c r="K19" s="834"/>
      <c r="L19" s="834"/>
      <c r="M19" s="834"/>
      <c r="N19" s="835"/>
    </row>
    <row r="20" spans="1:15" ht="24.75" customHeight="1">
      <c r="A20" s="154"/>
      <c r="B20" s="439" t="s">
        <v>111</v>
      </c>
      <c r="C20" s="190"/>
      <c r="D20" s="809" t="str">
        <f>IF(ISBLANK(Management!I8),"",(Management!I8))</f>
        <v/>
      </c>
      <c r="E20" s="809">
        <f>+'Data Entry'!D73/'Data Entry'!G73</f>
        <v>0.83333333333333337</v>
      </c>
      <c r="F20" s="809">
        <f>+('Data Entry'!E73+'Data Entry'!F73)/'Data Entry'!G73</f>
        <v>0.16666666666666666</v>
      </c>
      <c r="G20" s="819"/>
      <c r="H20" s="189"/>
      <c r="I20" s="826"/>
      <c r="J20" s="827"/>
      <c r="K20" s="827"/>
      <c r="L20" s="827"/>
      <c r="M20" s="827"/>
      <c r="N20" s="828"/>
      <c r="O20" s="35"/>
    </row>
    <row r="21" spans="1:15" ht="29.25" customHeight="1">
      <c r="A21" s="154"/>
      <c r="B21" s="440" t="s">
        <v>112</v>
      </c>
      <c r="C21" s="190"/>
      <c r="D21" s="809" t="str">
        <f>IF(ISBLANK(Management!C16),"",(Management!C16))</f>
        <v/>
      </c>
      <c r="E21" s="809"/>
      <c r="F21" s="809"/>
      <c r="G21" s="819"/>
      <c r="H21" s="189"/>
      <c r="I21" s="826"/>
      <c r="J21" s="827"/>
      <c r="K21" s="827"/>
      <c r="L21" s="827"/>
      <c r="M21" s="827"/>
      <c r="N21" s="828"/>
      <c r="O21" s="35"/>
    </row>
    <row r="22" spans="1:15" ht="26.25" customHeight="1">
      <c r="A22" s="154"/>
      <c r="B22" s="440" t="s">
        <v>113</v>
      </c>
      <c r="C22" s="190"/>
      <c r="D22" s="809" t="str">
        <f>IF(ISBLANK(Management!I16),"",(Management!I16))</f>
        <v/>
      </c>
      <c r="E22" s="809"/>
      <c r="F22" s="809"/>
      <c r="G22" s="819"/>
      <c r="H22" s="189"/>
      <c r="I22" s="826"/>
      <c r="J22" s="827"/>
      <c r="K22" s="827"/>
      <c r="L22" s="827"/>
      <c r="M22" s="827"/>
      <c r="N22" s="828"/>
      <c r="O22" s="35"/>
    </row>
    <row r="23" spans="1:15" ht="24.75" customHeight="1">
      <c r="A23" s="154"/>
      <c r="B23" s="440" t="s">
        <v>114</v>
      </c>
      <c r="C23" s="190"/>
      <c r="D23" s="809" t="str">
        <f>IF(ISBLANK(Management!C27),"",(Management!C27))</f>
        <v/>
      </c>
      <c r="E23" s="809"/>
      <c r="F23" s="809"/>
      <c r="G23" s="819"/>
      <c r="H23" s="189"/>
      <c r="I23" s="826"/>
      <c r="J23" s="827"/>
      <c r="K23" s="827"/>
      <c r="L23" s="827"/>
      <c r="M23" s="827"/>
      <c r="N23" s="828"/>
      <c r="O23" s="35"/>
    </row>
    <row r="24" spans="1:15" ht="27" customHeight="1" thickBot="1">
      <c r="A24" s="154"/>
      <c r="B24" s="441" t="s">
        <v>116</v>
      </c>
      <c r="C24" s="191"/>
      <c r="D24" s="804" t="str">
        <f>IF(ISBLANK(Management!I27),"",(Management!I27))</f>
        <v>The new order is expected to be delivered in December 2018</v>
      </c>
      <c r="E24" s="804"/>
      <c r="F24" s="804"/>
      <c r="G24" s="805"/>
      <c r="H24" s="189"/>
      <c r="I24" s="836"/>
      <c r="J24" s="837"/>
      <c r="K24" s="837"/>
      <c r="L24" s="837"/>
      <c r="M24" s="837"/>
      <c r="N24" s="838"/>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06" t="s">
        <v>100</v>
      </c>
      <c r="C26" s="806"/>
      <c r="D26" s="806"/>
      <c r="E26" s="806"/>
      <c r="F26" s="806"/>
      <c r="G26" s="806"/>
      <c r="H26" s="806"/>
      <c r="I26" s="806"/>
      <c r="J26" s="806"/>
      <c r="K26" s="806"/>
      <c r="L26" s="806"/>
      <c r="M26" s="806"/>
      <c r="N26" s="806"/>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7" t="s">
        <v>7</v>
      </c>
      <c r="C28" s="818"/>
      <c r="D28" s="791" t="s">
        <v>98</v>
      </c>
      <c r="E28" s="792"/>
      <c r="F28" s="792"/>
      <c r="G28" s="793"/>
      <c r="H28" s="163"/>
      <c r="I28" s="791" t="s">
        <v>316</v>
      </c>
      <c r="J28" s="792"/>
      <c r="K28" s="792"/>
      <c r="L28" s="792"/>
      <c r="M28" s="792"/>
      <c r="N28" s="793"/>
      <c r="O28" s="35"/>
    </row>
    <row r="29" spans="1:15" ht="29.25" customHeight="1">
      <c r="A29" s="154"/>
      <c r="B29" s="442" t="s">
        <v>317</v>
      </c>
      <c r="C29" s="192"/>
      <c r="D29" s="794" t="str">
        <f>IF(ISBLANK(Programmatic!C9),"",(Programmatic!C9))</f>
        <v/>
      </c>
      <c r="E29" s="795"/>
      <c r="F29" s="795"/>
      <c r="G29" s="796"/>
      <c r="H29" s="189"/>
      <c r="I29" s="800"/>
      <c r="J29" s="801"/>
      <c r="K29" s="801"/>
      <c r="L29" s="801"/>
      <c r="M29" s="801"/>
      <c r="N29" s="802"/>
      <c r="O29" s="35"/>
    </row>
    <row r="30" spans="1:15" ht="21.75" customHeight="1">
      <c r="A30" s="154"/>
      <c r="B30" s="443" t="s">
        <v>318</v>
      </c>
      <c r="C30" s="193"/>
      <c r="D30" s="803" t="str">
        <f>IF(ISBLANK(Programmatic!G9),"",(Programmatic!G9))</f>
        <v/>
      </c>
      <c r="E30" s="789"/>
      <c r="F30" s="789"/>
      <c r="G30" s="790"/>
      <c r="H30" s="189"/>
      <c r="I30" s="797"/>
      <c r="J30" s="798"/>
      <c r="K30" s="798"/>
      <c r="L30" s="798"/>
      <c r="M30" s="798"/>
      <c r="N30" s="799"/>
      <c r="O30" s="35"/>
    </row>
    <row r="31" spans="1:15" ht="21.75" customHeight="1">
      <c r="A31" s="154"/>
      <c r="B31" s="443" t="s">
        <v>319</v>
      </c>
      <c r="C31" s="193"/>
      <c r="D31" s="803" t="str">
        <f>IF(ISBLANK(Programmatic!M9),"",(Programmatic!M9))</f>
        <v/>
      </c>
      <c r="E31" s="789"/>
      <c r="F31" s="789"/>
      <c r="G31" s="790"/>
      <c r="H31" s="189"/>
      <c r="I31" s="797"/>
      <c r="J31" s="798"/>
      <c r="K31" s="798"/>
      <c r="L31" s="798"/>
      <c r="M31" s="798"/>
      <c r="N31" s="799"/>
      <c r="O31" s="35"/>
    </row>
    <row r="32" spans="1:15" ht="21.75" customHeight="1">
      <c r="A32" s="154"/>
      <c r="B32" s="444" t="s">
        <v>106</v>
      </c>
      <c r="C32" s="193"/>
      <c r="D32" s="788" t="str">
        <f>IF(ISBLANK(Programmatic!L20),"",(Programmatic!L20))</f>
        <v xml:space="preserve">MDR Patients that began second line treatment include:
1. Bacteriologically confirmed RR-TB and/or MDR-TB cases
2. Clinically diagnosed MDR TB Cases
</v>
      </c>
      <c r="E32" s="789"/>
      <c r="F32" s="789"/>
      <c r="G32" s="790"/>
      <c r="H32" s="189"/>
      <c r="I32" s="797"/>
      <c r="J32" s="798"/>
      <c r="K32" s="798"/>
      <c r="L32" s="798"/>
      <c r="M32" s="798"/>
      <c r="N32" s="799"/>
      <c r="O32" s="35"/>
    </row>
    <row r="33" spans="1:15" ht="27" customHeight="1">
      <c r="A33" s="154"/>
      <c r="B33" s="444" t="s">
        <v>107</v>
      </c>
      <c r="C33" s="193"/>
      <c r="D33" s="788" t="str">
        <f>IF(ISBLANK(Programmatic!L21),"",(Programmatic!L21))</f>
        <v>The number includes bacteriologically confirmed XDR TB cases.</v>
      </c>
      <c r="E33" s="789"/>
      <c r="F33" s="789"/>
      <c r="G33" s="790"/>
      <c r="H33" s="189"/>
      <c r="I33" s="797"/>
      <c r="J33" s="798"/>
      <c r="K33" s="798"/>
      <c r="L33" s="798"/>
      <c r="M33" s="798"/>
      <c r="N33" s="799"/>
      <c r="O33" s="35"/>
    </row>
    <row r="34" spans="1:15" ht="21.75" customHeight="1">
      <c r="A34" s="154"/>
      <c r="B34" s="444" t="s">
        <v>108</v>
      </c>
      <c r="C34" s="193"/>
      <c r="D34" s="788" t="str">
        <f>IF(ISBLANK(Programmatic!L22),"",(Programmatic!L22))</f>
        <v xml:space="preserve">Numerator: New and relapse TB cases enrolled in the TB program who underwent GeneXpert testing at the time of diagnosis
Denominator: New and relapse TB cases enrolled in the TB program </v>
      </c>
      <c r="E34" s="789"/>
      <c r="F34" s="789"/>
      <c r="G34" s="790"/>
      <c r="H34" s="189"/>
      <c r="I34" s="797"/>
      <c r="J34" s="798"/>
      <c r="K34" s="798"/>
      <c r="L34" s="798"/>
      <c r="M34" s="798"/>
      <c r="N34" s="799"/>
      <c r="O34" s="35"/>
    </row>
    <row r="35" spans="1:15" ht="21.75" customHeight="1">
      <c r="A35" s="154"/>
      <c r="B35" s="444" t="s">
        <v>109</v>
      </c>
      <c r="C35" s="236"/>
      <c r="D35" s="788" t="str">
        <f>IF(ISBLANK(Programmatic!L23),"",(Programmatic!L23))</f>
        <v/>
      </c>
      <c r="E35" s="789"/>
      <c r="F35" s="789"/>
      <c r="G35" s="790"/>
      <c r="H35" s="189"/>
      <c r="I35" s="797"/>
      <c r="J35" s="798"/>
      <c r="K35" s="798"/>
      <c r="L35" s="798"/>
      <c r="M35" s="798"/>
      <c r="N35" s="799"/>
      <c r="O35" s="35"/>
    </row>
    <row r="36" spans="1:15" ht="21.75" customHeight="1">
      <c r="A36" s="154"/>
      <c r="B36" s="444" t="s">
        <v>121</v>
      </c>
      <c r="C36" s="236"/>
      <c r="D36" s="788" t="str">
        <f>IF(ISBLANK(Programmatic!L24),"",(Programmatic!L24))</f>
        <v xml:space="preserve">The relatively low indicator relates to the actual (decreased) number of TB patients in the country. </v>
      </c>
      <c r="E36" s="789"/>
      <c r="F36" s="789"/>
      <c r="G36" s="790"/>
      <c r="H36" s="189"/>
      <c r="I36" s="797"/>
      <c r="J36" s="798"/>
      <c r="K36" s="798"/>
      <c r="L36" s="798"/>
      <c r="M36" s="798"/>
      <c r="N36" s="799"/>
      <c r="O36" s="35"/>
    </row>
    <row r="37" spans="1:15" ht="21.75" customHeight="1">
      <c r="A37" s="154"/>
      <c r="B37" s="444" t="s">
        <v>122</v>
      </c>
      <c r="C37" s="236"/>
      <c r="D37" s="788" t="str">
        <f>IF(ISBLANK(Programmatic!L25),"",(Programmatic!L25))</f>
        <v xml:space="preserve">The relatively low indicator relates to the actual (decreased) number of TB patients in the country. </v>
      </c>
      <c r="E37" s="789"/>
      <c r="F37" s="789"/>
      <c r="G37" s="790"/>
      <c r="H37" s="189"/>
      <c r="I37" s="797"/>
      <c r="J37" s="798"/>
      <c r="K37" s="798"/>
      <c r="L37" s="798"/>
      <c r="M37" s="798"/>
      <c r="N37" s="799"/>
      <c r="O37" s="35"/>
    </row>
    <row r="38" spans="1:15" ht="21.75" customHeight="1">
      <c r="A38" s="154"/>
      <c r="B38" s="444" t="s">
        <v>123</v>
      </c>
      <c r="C38" s="236"/>
      <c r="D38" s="788" t="str">
        <f>IF(ISBLANK(Programmatic!L26),"",(Programmatic!L26))</f>
        <v/>
      </c>
      <c r="E38" s="789"/>
      <c r="F38" s="789"/>
      <c r="G38" s="790"/>
      <c r="H38" s="189"/>
      <c r="I38" s="797"/>
      <c r="J38" s="798"/>
      <c r="K38" s="798"/>
      <c r="L38" s="798"/>
      <c r="M38" s="798"/>
      <c r="N38" s="799"/>
      <c r="O38" s="35"/>
    </row>
    <row r="39" spans="1:15" ht="21.75" customHeight="1">
      <c r="A39" s="154"/>
      <c r="B39" s="444" t="s">
        <v>124</v>
      </c>
      <c r="C39" s="236"/>
      <c r="D39" s="788" t="str">
        <f>IF(ISBLANK(Programmatic!L27),"",(Programmatic!L27))</f>
        <v/>
      </c>
      <c r="E39" s="789"/>
      <c r="F39" s="789"/>
      <c r="G39" s="790"/>
      <c r="H39" s="189"/>
      <c r="I39" s="797"/>
      <c r="J39" s="798"/>
      <c r="K39" s="798"/>
      <c r="L39" s="798"/>
      <c r="M39" s="798"/>
      <c r="N39" s="799"/>
      <c r="O39" s="35"/>
    </row>
    <row r="40" spans="1:15" ht="21.75" customHeight="1">
      <c r="A40" s="154"/>
      <c r="B40" s="444" t="s">
        <v>125</v>
      </c>
      <c r="C40" s="236"/>
      <c r="D40" s="788" t="str">
        <f>IF(ISBLANK(Programmatic!L28),"",(Programmatic!L28))</f>
        <v/>
      </c>
      <c r="E40" s="789"/>
      <c r="F40" s="789"/>
      <c r="G40" s="790"/>
      <c r="H40" s="189"/>
      <c r="I40" s="797"/>
      <c r="J40" s="798"/>
      <c r="K40" s="798"/>
      <c r="L40" s="798"/>
      <c r="M40" s="798"/>
      <c r="N40" s="799"/>
      <c r="O40" s="35"/>
    </row>
    <row r="41" spans="1:15" ht="21.75" customHeight="1" thickBot="1">
      <c r="A41" s="154"/>
      <c r="B41" s="444" t="s">
        <v>126</v>
      </c>
      <c r="C41" s="194"/>
      <c r="D41" s="788" t="str">
        <f>IF(ISBLANK(Programmatic!L29),"",(Programmatic!L29))</f>
        <v/>
      </c>
      <c r="E41" s="789"/>
      <c r="F41" s="789"/>
      <c r="G41" s="790"/>
      <c r="H41" s="189"/>
      <c r="I41" s="845"/>
      <c r="J41" s="846"/>
      <c r="K41" s="846"/>
      <c r="L41" s="846"/>
      <c r="M41" s="846"/>
      <c r="N41" s="847"/>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4" t="str">
        <f>+"Dashboard:  "&amp;"  "&amp;IF(+'Data Entry'!C4="Please Select","",'Data Entry'!C4&amp;" - ")&amp;IF('Data Entry'!G6="Please Select","",'Data Entry'!G6)</f>
        <v>Dashboard:    Georgia - TB</v>
      </c>
      <c r="C2" s="744"/>
      <c r="D2" s="744"/>
      <c r="E2" s="744"/>
      <c r="F2" s="744"/>
      <c r="G2" s="744"/>
      <c r="H2" s="744"/>
      <c r="I2" s="744"/>
      <c r="J2" s="744"/>
      <c r="K2" s="744"/>
      <c r="L2" s="744"/>
    </row>
    <row r="3" spans="1:13">
      <c r="B3" s="24" t="str">
        <f>+IF('Data Entry'!G8="Please Select","",'Data Entry'!G8)</f>
        <v>NFM</v>
      </c>
      <c r="C3" s="742" t="str">
        <f>+IF('Data Entry'!I8="Please Select","",'Data Entry'!I8)</f>
        <v>Phase 1</v>
      </c>
      <c r="D3" s="742"/>
      <c r="E3" s="743"/>
      <c r="F3" s="743"/>
      <c r="G3" s="743"/>
      <c r="H3" s="743"/>
      <c r="I3" s="743"/>
      <c r="J3" s="746" t="str">
        <f>+'Data Entry'!B16</f>
        <v>Report Period:</v>
      </c>
      <c r="K3" s="746"/>
      <c r="L3" s="202" t="str">
        <f>+'Data Entry'!C16</f>
        <v>P7</v>
      </c>
      <c r="M3" s="85"/>
    </row>
    <row r="4" spans="1:13">
      <c r="B4" s="24" t="str">
        <f>+'Data Entry'!B12</f>
        <v>Latest Rating:</v>
      </c>
      <c r="C4" s="853" t="str">
        <f>+IF('Data Entry'!C12="Please Select","",'Data Entry'!C12)</f>
        <v>A2</v>
      </c>
      <c r="D4" s="853"/>
      <c r="E4" s="743" t="str">
        <f>+'Data Entry'!C8</f>
        <v>NCDC</v>
      </c>
      <c r="F4" s="743"/>
      <c r="G4" s="743"/>
      <c r="H4" s="743"/>
      <c r="I4" s="743"/>
      <c r="J4" s="746" t="str">
        <f>+'Data Entry'!D16</f>
        <v>From:</v>
      </c>
      <c r="K4" s="750"/>
      <c r="L4" s="203">
        <f>+IF(ISBLANK('Data Entry'!E16),"",'Data Entry'!E16)</f>
        <v>43282</v>
      </c>
    </row>
    <row r="5" spans="1:13" ht="18.75" customHeight="1">
      <c r="B5" s="24"/>
      <c r="C5" s="24"/>
      <c r="D5" s="743" t="str">
        <f>+'Data Entry'!G4</f>
        <v>Sustaining Universal Access to Quality Diagnosis and Treatment of all forms of TB</v>
      </c>
      <c r="E5" s="743"/>
      <c r="F5" s="743"/>
      <c r="G5" s="743"/>
      <c r="H5" s="743"/>
      <c r="I5" s="743"/>
      <c r="J5" s="743"/>
      <c r="K5" s="24" t="str">
        <f>+'Data Entry'!F16</f>
        <v>To:</v>
      </c>
      <c r="L5" s="203">
        <f>+IF(ISBLANK('Data Entry'!G16),"",'Data Entry'!G16)</f>
        <v>43373</v>
      </c>
    </row>
    <row r="6" spans="1:13" ht="18.75">
      <c r="B6" s="23"/>
      <c r="C6" s="24"/>
      <c r="D6" s="25"/>
      <c r="E6" s="745" t="s">
        <v>373</v>
      </c>
      <c r="F6" s="745"/>
      <c r="G6" s="745"/>
      <c r="H6" s="745"/>
      <c r="I6" s="745"/>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61"/>
      <c r="C10" s="862"/>
      <c r="D10" s="862"/>
      <c r="E10" s="862"/>
      <c r="F10" s="862"/>
      <c r="G10" s="862"/>
      <c r="H10" s="862"/>
      <c r="I10" s="862"/>
      <c r="J10" s="862"/>
      <c r="K10" s="862"/>
      <c r="L10" s="863"/>
    </row>
    <row r="11" spans="1:13">
      <c r="B11" s="864"/>
      <c r="C11" s="865"/>
      <c r="D11" s="865"/>
      <c r="E11" s="865"/>
      <c r="F11" s="865"/>
      <c r="G11" s="865"/>
      <c r="H11" s="865"/>
      <c r="I11" s="865"/>
      <c r="J11" s="865"/>
      <c r="K11" s="865"/>
      <c r="L11" s="866"/>
    </row>
    <row r="12" spans="1:13" ht="15.75" thickBot="1"/>
    <row r="13" spans="1:13" ht="26.25" customHeight="1" thickBot="1">
      <c r="B13" s="858" t="s">
        <v>306</v>
      </c>
      <c r="C13" s="859"/>
      <c r="D13" s="859"/>
      <c r="E13" s="860"/>
      <c r="F13" s="77"/>
      <c r="G13" s="874" t="s">
        <v>129</v>
      </c>
      <c r="H13" s="867"/>
      <c r="I13" s="867"/>
      <c r="J13" s="78" t="s">
        <v>97</v>
      </c>
      <c r="K13" s="867" t="s">
        <v>293</v>
      </c>
      <c r="L13" s="868"/>
    </row>
    <row r="14" spans="1:13">
      <c r="A14" s="878" t="s">
        <v>307</v>
      </c>
      <c r="B14" s="881"/>
      <c r="C14" s="881"/>
      <c r="D14" s="881"/>
      <c r="E14" s="882"/>
      <c r="F14" s="46"/>
      <c r="G14" s="883"/>
      <c r="H14" s="854"/>
      <c r="I14" s="854"/>
      <c r="J14" s="854"/>
      <c r="K14" s="854"/>
      <c r="L14" s="855"/>
    </row>
    <row r="15" spans="1:13">
      <c r="A15" s="879"/>
      <c r="B15" s="881"/>
      <c r="C15" s="881"/>
      <c r="D15" s="881"/>
      <c r="E15" s="882"/>
      <c r="F15" s="46"/>
      <c r="G15" s="884"/>
      <c r="H15" s="856"/>
      <c r="I15" s="856"/>
      <c r="J15" s="856"/>
      <c r="K15" s="856"/>
      <c r="L15" s="857"/>
    </row>
    <row r="16" spans="1:13">
      <c r="A16" s="879"/>
      <c r="B16" s="881"/>
      <c r="C16" s="881"/>
      <c r="D16" s="881"/>
      <c r="E16" s="882"/>
      <c r="F16" s="46"/>
      <c r="G16" s="884"/>
      <c r="H16" s="856"/>
      <c r="I16" s="856"/>
      <c r="J16" s="856"/>
      <c r="K16" s="856"/>
      <c r="L16" s="857"/>
    </row>
    <row r="17" spans="1:12">
      <c r="A17" s="879"/>
      <c r="B17" s="881"/>
      <c r="C17" s="881"/>
      <c r="D17" s="881"/>
      <c r="E17" s="882"/>
      <c r="F17" s="46"/>
      <c r="G17" s="884"/>
      <c r="H17" s="856"/>
      <c r="I17" s="856"/>
      <c r="J17" s="856"/>
      <c r="K17" s="856"/>
      <c r="L17" s="857"/>
    </row>
    <row r="18" spans="1:12">
      <c r="A18" s="879"/>
      <c r="B18" s="881"/>
      <c r="C18" s="881"/>
      <c r="D18" s="881"/>
      <c r="E18" s="882"/>
      <c r="F18" s="46"/>
      <c r="G18" s="885"/>
      <c r="H18" s="886"/>
      <c r="I18" s="887"/>
      <c r="J18" s="856"/>
      <c r="K18" s="856"/>
      <c r="L18" s="857"/>
    </row>
    <row r="19" spans="1:12" ht="30.75" customHeight="1">
      <c r="A19" s="879"/>
      <c r="B19" s="881"/>
      <c r="C19" s="881"/>
      <c r="D19" s="881"/>
      <c r="E19" s="882"/>
      <c r="F19" s="46"/>
      <c r="G19" s="888"/>
      <c r="H19" s="889"/>
      <c r="I19" s="890"/>
      <c r="J19" s="856"/>
      <c r="K19" s="856"/>
      <c r="L19" s="857"/>
    </row>
    <row r="20" spans="1:12">
      <c r="A20" s="879"/>
      <c r="B20" s="881"/>
      <c r="C20" s="881"/>
      <c r="D20" s="881"/>
      <c r="E20" s="882"/>
      <c r="F20" s="46"/>
      <c r="G20" s="884"/>
      <c r="H20" s="856"/>
      <c r="I20" s="856"/>
      <c r="J20" s="856"/>
      <c r="K20" s="856"/>
      <c r="L20" s="857"/>
    </row>
    <row r="21" spans="1:12">
      <c r="A21" s="879"/>
      <c r="B21" s="881"/>
      <c r="C21" s="881"/>
      <c r="D21" s="881"/>
      <c r="E21" s="882"/>
      <c r="F21" s="46"/>
      <c r="G21" s="884"/>
      <c r="H21" s="856"/>
      <c r="I21" s="856"/>
      <c r="J21" s="856"/>
      <c r="K21" s="856"/>
      <c r="L21" s="857"/>
    </row>
    <row r="22" spans="1:12">
      <c r="A22" s="879"/>
      <c r="B22" s="881"/>
      <c r="C22" s="881"/>
      <c r="D22" s="881"/>
      <c r="E22" s="882"/>
      <c r="F22" s="46"/>
      <c r="G22" s="884"/>
      <c r="H22" s="856"/>
      <c r="I22" s="856"/>
      <c r="J22" s="856"/>
      <c r="K22" s="856"/>
      <c r="L22" s="857"/>
    </row>
    <row r="23" spans="1:12">
      <c r="A23" s="879"/>
      <c r="B23" s="881"/>
      <c r="C23" s="881"/>
      <c r="D23" s="881"/>
      <c r="E23" s="882"/>
      <c r="F23" s="46"/>
      <c r="G23" s="884"/>
      <c r="H23" s="856"/>
      <c r="I23" s="856"/>
      <c r="J23" s="856"/>
      <c r="K23" s="856"/>
      <c r="L23" s="857"/>
    </row>
    <row r="24" spans="1:12">
      <c r="A24" s="879"/>
      <c r="B24" s="881"/>
      <c r="C24" s="881"/>
      <c r="D24" s="881"/>
      <c r="E24" s="882"/>
      <c r="F24" s="46"/>
      <c r="G24" s="884"/>
      <c r="H24" s="856"/>
      <c r="I24" s="856"/>
      <c r="J24" s="856"/>
      <c r="K24" s="856"/>
      <c r="L24" s="857"/>
    </row>
    <row r="25" spans="1:12" ht="15.75" thickBot="1">
      <c r="A25" s="880"/>
      <c r="B25" s="900"/>
      <c r="C25" s="900"/>
      <c r="D25" s="900"/>
      <c r="E25" s="901"/>
      <c r="F25" s="46"/>
      <c r="G25" s="892"/>
      <c r="H25" s="875"/>
      <c r="I25" s="875"/>
      <c r="J25" s="875"/>
      <c r="K25" s="875"/>
      <c r="L25" s="876"/>
    </row>
    <row r="27" spans="1:12" ht="18.75">
      <c r="E27" s="891" t="s">
        <v>336</v>
      </c>
      <c r="F27" s="891"/>
      <c r="G27" s="891"/>
      <c r="H27" s="891"/>
      <c r="I27" s="891"/>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8" t="s">
        <v>129</v>
      </c>
      <c r="C31" s="859"/>
      <c r="D31" s="859"/>
      <c r="E31" s="860"/>
      <c r="F31" s="77"/>
      <c r="G31" s="874" t="s">
        <v>321</v>
      </c>
      <c r="H31" s="867"/>
      <c r="I31" s="867"/>
      <c r="J31" s="78" t="s">
        <v>295</v>
      </c>
      <c r="K31" s="867" t="s">
        <v>293</v>
      </c>
      <c r="L31" s="868"/>
    </row>
    <row r="32" spans="1:12" ht="14.25" customHeight="1">
      <c r="A32" s="878" t="s">
        <v>308</v>
      </c>
      <c r="B32" s="893"/>
      <c r="C32" s="894"/>
      <c r="D32" s="894"/>
      <c r="E32" s="895"/>
      <c r="F32" s="46"/>
      <c r="G32" s="902"/>
      <c r="H32" s="848"/>
      <c r="I32" s="848"/>
      <c r="J32" s="848"/>
      <c r="K32" s="848"/>
      <c r="L32" s="877"/>
    </row>
    <row r="33" spans="1:12" ht="16.5" customHeight="1">
      <c r="A33" s="879"/>
      <c r="B33" s="888"/>
      <c r="C33" s="889"/>
      <c r="D33" s="889"/>
      <c r="E33" s="896"/>
      <c r="F33" s="46"/>
      <c r="G33" s="869"/>
      <c r="H33" s="849"/>
      <c r="I33" s="849"/>
      <c r="J33" s="849"/>
      <c r="K33" s="849"/>
      <c r="L33" s="850"/>
    </row>
    <row r="34" spans="1:12">
      <c r="A34" s="879"/>
      <c r="B34" s="871" t="str">
        <f>IF(Recommendations!I43="","",Recommendations!I43)</f>
        <v/>
      </c>
      <c r="C34" s="872"/>
      <c r="D34" s="872"/>
      <c r="E34" s="873"/>
      <c r="F34" s="46"/>
      <c r="G34" s="869"/>
      <c r="H34" s="849"/>
      <c r="I34" s="849"/>
      <c r="J34" s="849"/>
      <c r="K34" s="849"/>
      <c r="L34" s="850"/>
    </row>
    <row r="35" spans="1:12">
      <c r="A35" s="879"/>
      <c r="B35" s="871"/>
      <c r="C35" s="872"/>
      <c r="D35" s="872"/>
      <c r="E35" s="873"/>
      <c r="F35" s="46"/>
      <c r="G35" s="869"/>
      <c r="H35" s="849"/>
      <c r="I35" s="849"/>
      <c r="J35" s="849"/>
      <c r="K35" s="849"/>
      <c r="L35" s="850"/>
    </row>
    <row r="36" spans="1:12">
      <c r="A36" s="879"/>
      <c r="B36" s="871" t="str">
        <f>+IF(Recommendations!I53="","",Recommendations!I53)</f>
        <v/>
      </c>
      <c r="C36" s="872"/>
      <c r="D36" s="872"/>
      <c r="E36" s="873"/>
      <c r="F36" s="46"/>
      <c r="G36" s="869"/>
      <c r="H36" s="849"/>
      <c r="I36" s="849"/>
      <c r="J36" s="849"/>
      <c r="K36" s="849"/>
      <c r="L36" s="850"/>
    </row>
    <row r="37" spans="1:12">
      <c r="A37" s="879"/>
      <c r="B37" s="871"/>
      <c r="C37" s="872"/>
      <c r="D37" s="872"/>
      <c r="E37" s="873"/>
      <c r="F37" s="46"/>
      <c r="G37" s="869"/>
      <c r="H37" s="849"/>
      <c r="I37" s="849"/>
      <c r="J37" s="849"/>
      <c r="K37" s="849"/>
      <c r="L37" s="850"/>
    </row>
    <row r="38" spans="1:12">
      <c r="A38" s="879"/>
      <c r="B38" s="871"/>
      <c r="C38" s="872"/>
      <c r="D38" s="872"/>
      <c r="E38" s="873"/>
      <c r="F38" s="46"/>
      <c r="G38" s="869"/>
      <c r="H38" s="849"/>
      <c r="I38" s="849"/>
      <c r="J38" s="849"/>
      <c r="K38" s="849"/>
      <c r="L38" s="850"/>
    </row>
    <row r="39" spans="1:12">
      <c r="A39" s="879"/>
      <c r="B39" s="871"/>
      <c r="C39" s="872"/>
      <c r="D39" s="872"/>
      <c r="E39" s="873"/>
      <c r="F39" s="46"/>
      <c r="G39" s="869"/>
      <c r="H39" s="849"/>
      <c r="I39" s="849"/>
      <c r="J39" s="849"/>
      <c r="K39" s="849"/>
      <c r="L39" s="850"/>
    </row>
    <row r="40" spans="1:12">
      <c r="A40" s="879"/>
      <c r="B40" s="871"/>
      <c r="C40" s="872"/>
      <c r="D40" s="872"/>
      <c r="E40" s="873"/>
      <c r="F40" s="46"/>
      <c r="G40" s="869"/>
      <c r="H40" s="849"/>
      <c r="I40" s="849"/>
      <c r="J40" s="849"/>
      <c r="K40" s="849"/>
      <c r="L40" s="850"/>
    </row>
    <row r="41" spans="1:12">
      <c r="A41" s="879"/>
      <c r="B41" s="871"/>
      <c r="C41" s="872"/>
      <c r="D41" s="872"/>
      <c r="E41" s="873"/>
      <c r="F41" s="46"/>
      <c r="G41" s="869"/>
      <c r="H41" s="849"/>
      <c r="I41" s="849"/>
      <c r="J41" s="849"/>
      <c r="K41" s="849"/>
      <c r="L41" s="850"/>
    </row>
    <row r="42" spans="1:12">
      <c r="A42" s="879"/>
      <c r="B42" s="871"/>
      <c r="C42" s="872"/>
      <c r="D42" s="872"/>
      <c r="E42" s="873"/>
      <c r="F42" s="46"/>
      <c r="G42" s="869"/>
      <c r="H42" s="849"/>
      <c r="I42" s="849"/>
      <c r="J42" s="849"/>
      <c r="K42" s="849"/>
      <c r="L42" s="850"/>
    </row>
    <row r="43" spans="1:12" ht="15.75" thickBot="1">
      <c r="A43" s="880"/>
      <c r="B43" s="897"/>
      <c r="C43" s="898"/>
      <c r="D43" s="898"/>
      <c r="E43" s="899"/>
      <c r="F43" s="46"/>
      <c r="G43" s="870"/>
      <c r="H43" s="851"/>
      <c r="I43" s="851"/>
      <c r="J43" s="851"/>
      <c r="K43" s="851"/>
      <c r="L43" s="852"/>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D1A7189D-6043-4BCC-A93B-7366B7BCBFA9}">
  <ds:schemaRefs>
    <ds:schemaRef ds:uri="http://purl.org/dc/elements/1.1/"/>
    <ds:schemaRef ds:uri="http://purl.org/dc/dcmitype/"/>
    <ds:schemaRef ds:uri="http://schemas.microsoft.com/office/2006/documentManagement/types"/>
    <ds:schemaRef ds:uri="http://schemas.microsoft.com/sharepoint/v3"/>
    <ds:schemaRef ds:uri="http://www.w3.org/XML/1998/namespace"/>
    <ds:schemaRef ds:uri="http://purl.org/dc/terms/"/>
    <ds:schemaRef ds:uri="http://schemas.openxmlformats.org/package/2006/metadata/core-properties"/>
    <ds:schemaRef ds:uri="f127e3a1-6a43-4b35-8211-dfdf2a8cace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Alexander Asatiani</cp:lastModifiedBy>
  <cp:lastPrinted>2015-03-11T10:26:05Z</cp:lastPrinted>
  <dcterms:created xsi:type="dcterms:W3CDTF">2008-11-20T16:06:13Z</dcterms:created>
  <dcterms:modified xsi:type="dcterms:W3CDTF">2018-11-29T09:03:23Z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