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C:\Users\n.vakhania\Dropbox\NCDC_Finance\Dashboard\"/>
    </mc:Choice>
  </mc:AlternateContent>
  <bookViews>
    <workbookView xWindow="0" yWindow="0" windowWidth="16815" windowHeight="7755" tabRatio="721" activeTab="2"/>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N97" i="29" l="1"/>
  <c r="N96" i="29"/>
  <c r="C53" i="29"/>
  <c r="D54" i="29"/>
  <c r="C54" i="29"/>
  <c r="C52" i="29"/>
  <c r="C32" i="29" l="1"/>
  <c r="M96" i="29" l="1"/>
  <c r="E32" i="29" l="1"/>
  <c r="F32" i="29"/>
  <c r="L96" i="29" l="1"/>
  <c r="K96" i="29" l="1"/>
  <c r="J97" i="29" l="1"/>
  <c r="C47" i="29"/>
  <c r="E53" i="29"/>
  <c r="E54" i="29"/>
  <c r="D47" i="29"/>
  <c r="E109" i="29"/>
  <c r="G96" i="29"/>
  <c r="F96" i="29"/>
  <c r="E96" i="29"/>
  <c r="D96" i="29"/>
  <c r="C96" i="29"/>
  <c r="C99" i="29" s="1"/>
  <c r="D99" i="29" s="1"/>
  <c r="E99" i="29" s="1"/>
  <c r="F99" i="29" s="1"/>
  <c r="G99" i="29" s="1"/>
  <c r="H99" i="29" s="1"/>
  <c r="I99" i="29" s="1"/>
  <c r="J99" i="29" s="1"/>
  <c r="K99" i="29" s="1"/>
  <c r="L99" i="29" s="1"/>
  <c r="M99" i="29" s="1"/>
  <c r="N99" i="29" s="1"/>
  <c r="H118" i="29"/>
  <c r="I118" i="29"/>
  <c r="J118" i="29"/>
  <c r="K118" i="29"/>
  <c r="K143" i="29" s="1"/>
  <c r="E55" i="29"/>
  <c r="E108" i="29"/>
  <c r="G108" i="29" s="1"/>
  <c r="I108" i="29" s="1"/>
  <c r="K108" i="29" s="1"/>
  <c r="L30" i="35" s="1"/>
  <c r="G109" i="29"/>
  <c r="I109" i="29" s="1"/>
  <c r="G110" i="29"/>
  <c r="I110" i="29" s="1"/>
  <c r="E111" i="29"/>
  <c r="G111" i="29"/>
  <c r="I111" i="29" s="1"/>
  <c r="J33" i="35" s="1"/>
  <c r="C33" i="29"/>
  <c r="C34" i="29"/>
  <c r="D34" i="29" s="1"/>
  <c r="E34" i="29" s="1"/>
  <c r="F34" i="29" s="1"/>
  <c r="G34" i="29" s="1"/>
  <c r="H34" i="29" s="1"/>
  <c r="I34" i="29" s="1"/>
  <c r="J34" i="29" s="1"/>
  <c r="K34" i="29" s="1"/>
  <c r="L34" i="29" s="1"/>
  <c r="M34" i="29" s="1"/>
  <c r="N34" i="29" s="1"/>
  <c r="E52" i="29"/>
  <c r="E20" i="37"/>
  <c r="B22" i="45"/>
  <c r="F29" i="37"/>
  <c r="F28" i="37"/>
  <c r="F27" i="37"/>
  <c r="F26" i="37"/>
  <c r="F25" i="37"/>
  <c r="E29" i="37"/>
  <c r="E28" i="37"/>
  <c r="E27" i="37"/>
  <c r="E26" i="37"/>
  <c r="E25" i="37"/>
  <c r="F24" i="37"/>
  <c r="E24" i="37"/>
  <c r="F23" i="37"/>
  <c r="E23" i="37"/>
  <c r="E22" i="37"/>
  <c r="E21" i="37"/>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3" i="32" s="1"/>
  <c r="B4" i="1"/>
  <c r="E90" i="29"/>
  <c r="E89" i="29"/>
  <c r="D11" i="42"/>
  <c r="J3" i="35"/>
  <c r="L3" i="35"/>
  <c r="H7" i="35" s="1"/>
  <c r="I3" i="30"/>
  <c r="K3" i="30"/>
  <c r="D33" i="42"/>
  <c r="D34" i="42"/>
  <c r="D35" i="42"/>
  <c r="D36" i="42"/>
  <c r="D37" i="42"/>
  <c r="D38" i="42"/>
  <c r="D39" i="42"/>
  <c r="D40" i="42"/>
  <c r="D41" i="42"/>
  <c r="D32" i="42"/>
  <c r="D31" i="42"/>
  <c r="D30" i="42"/>
  <c r="D29" i="42"/>
  <c r="K30" i="35"/>
  <c r="K31" i="35"/>
  <c r="K32" i="35"/>
  <c r="K33" i="35"/>
  <c r="L144" i="29"/>
  <c r="M144" i="29"/>
  <c r="N144" i="29"/>
  <c r="O144" i="29"/>
  <c r="P144" i="29"/>
  <c r="Q144" i="29"/>
  <c r="R144" i="29"/>
  <c r="S144" i="29"/>
  <c r="L145" i="29"/>
  <c r="M145" i="29"/>
  <c r="N145" i="29"/>
  <c r="O145" i="29"/>
  <c r="P145" i="29"/>
  <c r="Q145" i="29"/>
  <c r="R145" i="29"/>
  <c r="S145" i="29"/>
  <c r="L146" i="29"/>
  <c r="M146" i="29"/>
  <c r="N146" i="29"/>
  <c r="O146" i="29"/>
  <c r="P146" i="29"/>
  <c r="Q146" i="29"/>
  <c r="R146" i="29"/>
  <c r="S146" i="29"/>
  <c r="L147" i="29"/>
  <c r="M147" i="29"/>
  <c r="N147" i="29"/>
  <c r="O147" i="29"/>
  <c r="P147" i="29"/>
  <c r="Q147" i="29"/>
  <c r="R147" i="29"/>
  <c r="S147" i="29"/>
  <c r="L148" i="29"/>
  <c r="M148" i="29"/>
  <c r="N148" i="29"/>
  <c r="O148" i="29"/>
  <c r="P148" i="29"/>
  <c r="Q148" i="29"/>
  <c r="R148" i="29"/>
  <c r="S148" i="29"/>
  <c r="M143" i="29"/>
  <c r="N143" i="29"/>
  <c r="O143" i="29"/>
  <c r="P143" i="29"/>
  <c r="Q143" i="29"/>
  <c r="R143" i="29"/>
  <c r="S143" i="29"/>
  <c r="F145" i="29"/>
  <c r="F147" i="29"/>
  <c r="F143" i="29"/>
  <c r="E145" i="29"/>
  <c r="E147" i="29"/>
  <c r="E143" i="29"/>
  <c r="B145" i="29"/>
  <c r="B147" i="29"/>
  <c r="B143" i="29"/>
  <c r="B32" i="29"/>
  <c r="D38" i="29"/>
  <c r="C38" i="29"/>
  <c r="B31" i="29"/>
  <c r="E51" i="29"/>
  <c r="H29" i="30"/>
  <c r="H28" i="30"/>
  <c r="H27" i="30"/>
  <c r="D24" i="42"/>
  <c r="D23" i="42"/>
  <c r="D22" i="42"/>
  <c r="D21" i="42"/>
  <c r="D20" i="42"/>
  <c r="D19" i="42"/>
  <c r="D14" i="42"/>
  <c r="D13" i="42"/>
  <c r="D12" i="42"/>
  <c r="B25" i="45"/>
  <c r="B23" i="45"/>
  <c r="B21" i="45"/>
  <c r="B20" i="45"/>
  <c r="B19" i="45"/>
  <c r="B11" i="45"/>
  <c r="B10" i="45"/>
  <c r="B9" i="45"/>
  <c r="B8" i="45"/>
  <c r="B4" i="37"/>
  <c r="B4" i="35"/>
  <c r="B4" i="30"/>
  <c r="G73" i="29"/>
  <c r="E20" i="42"/>
  <c r="G12" i="27"/>
  <c r="H4" i="1"/>
  <c r="K148" i="29"/>
  <c r="K147" i="29"/>
  <c r="K146" i="29"/>
  <c r="K145" i="29"/>
  <c r="K144" i="29"/>
  <c r="C98" i="29"/>
  <c r="D98" i="29"/>
  <c r="E98" i="29" s="1"/>
  <c r="F98" i="29" s="1"/>
  <c r="G98" i="29" s="1"/>
  <c r="H98" i="29" s="1"/>
  <c r="I98" i="29" s="1"/>
  <c r="J98" i="29" s="1"/>
  <c r="K98" i="29" s="1"/>
  <c r="L98" i="29" s="1"/>
  <c r="M98" i="29" s="1"/>
  <c r="N98" i="29" s="1"/>
  <c r="K27" i="30"/>
  <c r="J27" i="30"/>
  <c r="K28" i="30"/>
  <c r="J28" i="30"/>
  <c r="K29" i="30"/>
  <c r="J29" i="30"/>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100" i="29"/>
  <c r="D100" i="29" s="1"/>
  <c r="E100" i="29" s="1"/>
  <c r="F100" i="29" s="1"/>
  <c r="G100" i="29" s="1"/>
  <c r="H100" i="29" s="1"/>
  <c r="I100" i="29" s="1"/>
  <c r="J100" i="29" s="1"/>
  <c r="K100" i="29" s="1"/>
  <c r="L100" i="29" s="1"/>
  <c r="M100" i="29" s="1"/>
  <c r="N100" i="29" s="1"/>
  <c r="E79" i="29"/>
  <c r="D5" i="35"/>
  <c r="E4" i="35"/>
  <c r="K5" i="35"/>
  <c r="J4" i="35"/>
  <c r="D5" i="37"/>
  <c r="P5" i="37"/>
  <c r="P4" i="37"/>
  <c r="O3" i="37"/>
  <c r="J5" i="30"/>
  <c r="D5" i="30"/>
  <c r="I4" i="30"/>
  <c r="E4" i="30"/>
  <c r="L8" i="37"/>
  <c r="F8" i="37"/>
  <c r="B8" i="37"/>
  <c r="L143" i="29"/>
  <c r="J148" i="29"/>
  <c r="J147" i="29"/>
  <c r="J146" i="29"/>
  <c r="J145" i="29"/>
  <c r="J144" i="29"/>
  <c r="J143" i="29"/>
  <c r="I148" i="29"/>
  <c r="I147" i="29"/>
  <c r="I146" i="29"/>
  <c r="I145" i="29"/>
  <c r="I144" i="29"/>
  <c r="I143" i="29"/>
  <c r="H148" i="29"/>
  <c r="H147" i="29"/>
  <c r="H146" i="29"/>
  <c r="H145" i="29"/>
  <c r="H144" i="29"/>
  <c r="H143" i="29"/>
  <c r="B26" i="37"/>
  <c r="B25" i="37"/>
  <c r="B24" i="37"/>
  <c r="B23" i="37"/>
  <c r="S142" i="29"/>
  <c r="R142" i="29"/>
  <c r="Q142" i="29"/>
  <c r="P142" i="29"/>
  <c r="O142" i="29"/>
  <c r="B22" i="37"/>
  <c r="B21" i="37"/>
  <c r="B20" i="37"/>
  <c r="B27" i="37"/>
  <c r="N142" i="29"/>
  <c r="M142" i="29"/>
  <c r="L142" i="29"/>
  <c r="K142" i="29"/>
  <c r="J142" i="29"/>
  <c r="I142" i="29"/>
  <c r="H142" i="29"/>
  <c r="B36" i="39"/>
  <c r="B34" i="39"/>
  <c r="B34" i="35"/>
  <c r="Z24" i="37"/>
  <c r="AA24" i="37"/>
  <c r="Z23" i="37"/>
  <c r="AA23" i="37"/>
  <c r="Z22" i="37"/>
  <c r="AA22" i="37"/>
  <c r="AF21" i="37"/>
  <c r="AE21" i="37"/>
  <c r="AD21" i="37"/>
  <c r="AC21" i="37"/>
  <c r="AB21" i="37"/>
  <c r="T21" i="37"/>
  <c r="U21" i="37"/>
  <c r="V21" i="37"/>
  <c r="W21" i="37"/>
  <c r="X21" i="37"/>
  <c r="T22" i="37"/>
  <c r="U22" i="37"/>
  <c r="V22" i="37"/>
  <c r="W22" i="37"/>
  <c r="X22" i="37"/>
  <c r="T23" i="37"/>
  <c r="U23" i="37"/>
  <c r="V23" i="37"/>
  <c r="W23" i="37"/>
  <c r="X23" i="37"/>
  <c r="T24" i="37"/>
  <c r="U24" i="37"/>
  <c r="V24" i="37"/>
  <c r="W24" i="37"/>
  <c r="X24" i="37"/>
  <c r="T25" i="37"/>
  <c r="U25" i="37"/>
  <c r="V25" i="37"/>
  <c r="W25" i="37"/>
  <c r="X25" i="37"/>
  <c r="U28" i="37"/>
  <c r="T26" i="37"/>
  <c r="U26" i="37"/>
  <c r="V26" i="37"/>
  <c r="W26" i="37"/>
  <c r="X26" i="37"/>
  <c r="T29" i="37"/>
  <c r="T27" i="37"/>
  <c r="U27" i="37"/>
  <c r="V27" i="37"/>
  <c r="W27" i="37"/>
  <c r="X27" i="37"/>
  <c r="B28" i="37"/>
  <c r="T28" i="37"/>
  <c r="V28" i="37"/>
  <c r="X28" i="37"/>
  <c r="B29"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AF23" i="37"/>
  <c r="AE23" i="37"/>
  <c r="AD23" i="37"/>
  <c r="AB23" i="37"/>
  <c r="AC23" i="37"/>
  <c r="F20" i="42"/>
  <c r="AF24" i="37"/>
  <c r="AE24" i="37"/>
  <c r="AB24" i="37"/>
  <c r="AF22" i="37"/>
  <c r="AE22" i="37"/>
  <c r="AD22" i="37"/>
  <c r="D33" i="29"/>
  <c r="D35" i="29" s="1"/>
  <c r="C35" i="29"/>
  <c r="R29" i="29"/>
  <c r="AC22" i="37"/>
  <c r="AC24" i="37"/>
  <c r="AB22" i="37"/>
  <c r="AD24" i="37"/>
  <c r="B15" i="35"/>
  <c r="E33" i="29" l="1"/>
  <c r="E35" i="29" s="1"/>
  <c r="H22" i="30"/>
  <c r="B8" i="30"/>
  <c r="B2" i="1"/>
  <c r="H26" i="35"/>
  <c r="B22" i="30"/>
  <c r="F33" i="29"/>
  <c r="F35" i="29" s="1"/>
  <c r="R31" i="29"/>
  <c r="R30" i="29"/>
  <c r="H8" i="30"/>
  <c r="B7" i="35"/>
  <c r="K110" i="29"/>
  <c r="L32" i="35" s="1"/>
  <c r="J32" i="35"/>
  <c r="J31" i="35"/>
  <c r="K109" i="29"/>
  <c r="L31" i="35" s="1"/>
  <c r="G20" i="37"/>
  <c r="G24" i="37"/>
  <c r="G27" i="37"/>
  <c r="H15" i="35"/>
  <c r="K111" i="29"/>
  <c r="L33" i="35" s="1"/>
  <c r="J30" i="35"/>
  <c r="G21" i="37"/>
  <c r="G25" i="37"/>
  <c r="G26" i="37"/>
  <c r="G23" i="37"/>
  <c r="G29" i="37"/>
  <c r="G22" i="37"/>
  <c r="G28" i="37"/>
  <c r="R32" i="29" l="1"/>
  <c r="G33" i="29"/>
  <c r="R33" i="29" l="1"/>
  <c r="G35" i="29"/>
  <c r="H33" i="29"/>
  <c r="R34" i="29" l="1"/>
  <c r="I33" i="29"/>
  <c r="H35" i="29"/>
  <c r="I35" i="29" l="1"/>
  <c r="J33" i="29"/>
  <c r="R35" i="29"/>
  <c r="R49" i="29" l="1"/>
  <c r="J35" i="29"/>
  <c r="K33" i="29"/>
  <c r="K35" i="29" l="1"/>
  <c r="L33" i="29"/>
  <c r="R50" i="29"/>
  <c r="M33" i="29" l="1"/>
  <c r="L35" i="29"/>
  <c r="M35" i="29" l="1"/>
  <c r="N33" i="29"/>
  <c r="N35" i="29" s="1"/>
  <c r="O31" i="29" s="1"/>
  <c r="Q51" i="29"/>
  <c r="F47" i="29"/>
</calcChain>
</file>

<file path=xl/comments1.xml><?xml version="1.0" encoding="utf-8"?>
<comments xmlns="http://schemas.openxmlformats.org/spreadsheetml/2006/main">
  <authors>
    <author>mgleixner</author>
    <author>molszak</author>
  </authors>
  <commentList>
    <comment ref="B30" authorId="0" shapeId="0">
      <text>
        <r>
          <rPr>
            <sz val="8"/>
            <color indexed="81"/>
            <rFont val="Tahoma"/>
            <family val="2"/>
            <charset val="204"/>
          </rPr>
          <t>To define your periods (eg. P1, P2, P3 etc or P9, P10, P11 etc) you need to unprotect the cells.</t>
        </r>
      </text>
    </comment>
    <comment ref="B72" authorId="1" shapeId="0">
      <text>
        <r>
          <rPr>
            <b/>
            <sz val="8"/>
            <color indexed="81"/>
            <rFont val="Tahoma"/>
            <family val="2"/>
          </rPr>
          <t xml:space="preserve">If data are not available, do not enter zeros; rather, leave the cells in the table blank. </t>
        </r>
      </text>
    </comment>
    <comment ref="B73" authorId="1" shapeId="0">
      <text>
        <r>
          <rPr>
            <b/>
            <sz val="8"/>
            <color indexed="81"/>
            <rFont val="Tahoma"/>
            <family val="2"/>
          </rPr>
          <t>If data are not available, do not enter zeros; rather, leave the cells in this table blank.</t>
        </r>
      </text>
    </comment>
    <comment ref="B79" authorId="0" shapeId="0">
      <text>
        <r>
          <rPr>
            <sz val="8"/>
            <color indexed="81"/>
            <rFont val="Tahoma"/>
            <family val="2"/>
            <charset val="204"/>
          </rPr>
          <t xml:space="preserve">If data are not available, do not enter zeros; rather, leave the cells in this table blank. </t>
        </r>
      </text>
    </comment>
    <comment ref="B94" authorId="0" shapeId="0">
      <text>
        <r>
          <rPr>
            <sz val="8"/>
            <color indexed="81"/>
            <rFont val="Tahoma"/>
            <family val="2"/>
            <charset val="204"/>
          </rPr>
          <t>To define your periods (eg. P1, P2, P3 etc or P9, P10, P11 etc) you need to unprotect the cells.</t>
        </r>
      </text>
    </comment>
  </commentList>
</comments>
</file>

<file path=xl/sharedStrings.xml><?xml version="1.0" encoding="utf-8"?>
<sst xmlns="http://schemas.openxmlformats.org/spreadsheetml/2006/main" count="569" uniqueCount="448">
  <si>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</si>
  <si>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</si>
  <si>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</si>
  <si>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</si>
  <si>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</si>
  <si>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</si>
  <si>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</si>
  <si>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</si>
  <si>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</si>
  <si>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</si>
  <si>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</si>
  <si>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</si>
  <si>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</si>
  <si>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</si>
  <si>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</si>
  <si>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</si>
  <si>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</si>
  <si>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</si>
  <si>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</si>
  <si>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</si>
  <si>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</si>
  <si>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</si>
  <si>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</si>
  <si>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</si>
  <si>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</si>
  <si>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</si>
  <si>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</si>
  <si>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</si>
  <si>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</si>
  <si>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</si>
  <si>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</si>
  <si>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</si>
  <si>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</si>
  <si>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</si>
  <si>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</si>
  <si>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</si>
  <si>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</si>
  <si>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</si>
  <si>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</si>
  <si>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</si>
  <si>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</si>
  <si>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</si>
  <si>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</si>
  <si>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</si>
  <si>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</si>
  <si>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</si>
  <si>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</si>
  <si>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</si>
  <si>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</si>
  <si>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</si>
  <si>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</si>
  <si>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</si>
  <si>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</si>
  <si>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</si>
  <si>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</si>
  <si>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</si>
  <si>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</si>
  <si>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</si>
  <si>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</si>
  <si>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</si>
  <si>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</si>
  <si>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</si>
  <si>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</si>
  <si>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</si>
  <si>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</si>
  <si>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</si>
  <si>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</si>
  <si>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</si>
  <si>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</si>
  <si>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</si>
  <si>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</si>
  <si>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</si>
  <si>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</si>
  <si>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</si>
  <si>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</si>
  <si>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</si>
  <si>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</si>
  <si>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</si>
  <si>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</si>
  <si>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</si>
  <si>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</si>
  <si>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</si>
  <si>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</si>
  <si>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</si>
  <si>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</si>
  <si>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</si>
  <si>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</si>
  <si>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</si>
  <si>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</si>
  <si>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</si>
  <si>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</si>
  <si>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</si>
  <si>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</si>
  <si>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</si>
  <si>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</si>
  <si>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</si>
  <si>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</si>
  <si>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</si>
  <si>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</si>
  <si>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</si>
  <si>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</si>
  <si>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</si>
  <si>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</si>
  <si>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</si>
  <si>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</si>
  <si>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</si>
  <si>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</si>
  <si>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</si>
  <si>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</si>
  <si>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</si>
  <si>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</si>
  <si>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</si>
  <si>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</si>
  <si>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</si>
  <si>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</si>
  <si>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</si>
  <si>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</si>
  <si>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</si>
  <si>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</si>
  <si>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</si>
  <si>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</si>
  <si>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</si>
  <si>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</si>
  <si>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</si>
  <si>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</si>
  <si>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</si>
  <si>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</si>
  <si>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</si>
  <si>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</si>
  <si>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</si>
  <si>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</si>
  <si>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</si>
  <si>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</si>
  <si>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</si>
  <si>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</si>
  <si>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</si>
  <si>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</si>
  <si>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</si>
  <si>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</si>
  <si>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</si>
  <si>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</si>
  <si>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</si>
  <si>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</si>
  <si>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</si>
  <si>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</si>
  <si>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</si>
  <si>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</si>
  <si>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</si>
  <si>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</si>
  <si>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</si>
  <si>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</si>
  <si>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</si>
  <si>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</si>
  <si>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</si>
  <si>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</si>
  <si>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</si>
  <si>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</si>
  <si>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</si>
  <si>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</si>
  <si>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</si>
  <si>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</si>
  <si>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</si>
  <si>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</si>
  <si>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</si>
  <si>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</si>
  <si>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</si>
  <si>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</si>
  <si>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</si>
  <si>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</si>
  <si>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</si>
  <si>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</si>
  <si>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</si>
  <si>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</si>
  <si>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</si>
  <si>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</si>
  <si>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</si>
  <si>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</si>
  <si>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</si>
  <si>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</si>
  <si>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</si>
  <si>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</si>
  <si>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</si>
  <si>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</si>
  <si>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</si>
  <si>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</si>
  <si>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</si>
  <si>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</si>
  <si>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</si>
  <si>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</si>
  <si>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</si>
  <si>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</si>
  <si>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</si>
  <si>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</si>
  <si>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</si>
  <si>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</si>
  <si>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</si>
  <si>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</si>
  <si>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</si>
  <si>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</si>
  <si>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</si>
  <si>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</si>
  <si>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</si>
  <si>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</si>
  <si>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</si>
  <si>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</si>
  <si>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</si>
  <si>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</si>
  <si>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</si>
  <si>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</si>
  <si>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</si>
  <si>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</si>
  <si>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</si>
  <si>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</si>
  <si>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</si>
  <si>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</si>
  <si>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</si>
  <si>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</si>
  <si>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</si>
  <si>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</si>
  <si>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</si>
  <si>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</si>
  <si>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</si>
  <si>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</si>
  <si>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</si>
  <si>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</si>
  <si>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</si>
  <si>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</si>
  <si>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</si>
  <si>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</si>
  <si>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</si>
  <si>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</si>
  <si>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</si>
  <si>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</si>
  <si>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</si>
  <si>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</si>
  <si>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</si>
  <si>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</si>
  <si>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</si>
  <si>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</si>
  <si>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</si>
  <si>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</si>
  <si>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</si>
  <si>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</si>
  <si>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</si>
  <si>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</si>
  <si>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</si>
  <si>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</si>
  <si>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</si>
  <si>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</si>
  <si>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</si>
  <si>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</si>
  <si>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</si>
  <si>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</si>
  <si>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</si>
  <si>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</si>
  <si>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</si>
  <si>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</si>
  <si>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</si>
  <si>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</si>
  <si>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</si>
  <si>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</si>
  <si>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</si>
  <si>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</si>
  <si>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</si>
  <si>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</si>
  <si>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</si>
  <si>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</si>
  <si>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</si>
  <si>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</si>
  <si>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</si>
  <si>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</si>
  <si>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</si>
  <si>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</si>
  <si>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</si>
  <si>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</si>
  <si>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</si>
  <si>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</si>
  <si>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</si>
  <si>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</si>
  <si>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</si>
  <si>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</si>
  <si>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</si>
  <si>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</si>
  <si>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</si>
  <si>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</si>
  <si>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</si>
  <si>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</si>
  <si>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</si>
  <si>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</si>
  <si>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</si>
  <si>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</si>
  <si>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</si>
  <si>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</si>
  <si>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</si>
  <si>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</si>
  <si>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</si>
  <si>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</si>
  <si>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</si>
  <si>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</si>
  <si>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</si>
  <si>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</si>
  <si>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</si>
  <si>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</si>
  <si>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</si>
  <si>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</si>
  <si>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</si>
  <si>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</si>
  <si>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</si>
  <si>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</si>
  <si>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</si>
  <si>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</si>
  <si>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</si>
  <si>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</si>
  <si>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</si>
  <si>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</si>
  <si>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</si>
  <si>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</si>
  <si>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</si>
  <si>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</si>
  <si>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</si>
  <si>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</si>
  <si>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</si>
  <si>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</si>
  <si>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</si>
  <si>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</si>
  <si>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</si>
  <si>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</si>
  <si>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</si>
  <si>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</si>
  <si>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</si>
  <si>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</si>
  <si>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</si>
  <si>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</si>
  <si>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</si>
  <si>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</si>
  <si>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</si>
  <si>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</si>
  <si>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</si>
  <si>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</si>
  <si>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</si>
  <si>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</si>
  <si>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</si>
  <si>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</si>
  <si>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</si>
  <si>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</si>
  <si>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</si>
  <si>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</si>
  <si>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</si>
  <si>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</si>
  <si>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</si>
  <si>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</si>
  <si>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</si>
  <si>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</si>
  <si>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</si>
  <si>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</si>
  <si>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</si>
  <si>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</si>
  <si>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</si>
  <si>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</si>
  <si>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</si>
  <si>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</si>
  <si>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</si>
  <si>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</si>
  <si>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</si>
  <si>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</si>
  <si>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</si>
  <si>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</si>
  <si>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</si>
  <si>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</si>
  <si>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</si>
  <si>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</si>
  <si>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</si>
  <si>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</si>
  <si>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</si>
  <si>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</si>
  <si>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</si>
  <si>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</si>
  <si>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</si>
  <si>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</si>
  <si>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</si>
  <si>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</si>
  <si>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</si>
  <si>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</si>
  <si>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</si>
  <si>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</si>
  <si>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</si>
  <si>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</si>
  <si>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</si>
  <si>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</si>
  <si>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</si>
  <si>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</si>
  <si>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</si>
  <si>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</si>
  <si>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</si>
  <si>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</si>
  <si>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</si>
  <si>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</si>
  <si>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</si>
  <si>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</si>
  <si>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</si>
  <si>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</si>
  <si>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</si>
  <si>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</si>
  <si>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</si>
  <si>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</si>
  <si>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</si>
  <si>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</si>
  <si>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</si>
  <si>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</si>
  <si>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</si>
  <si>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</si>
  <si>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</si>
  <si>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</si>
  <si>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</si>
  <si>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</si>
  <si>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</si>
  <si>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Cycloserine</t>
  </si>
  <si>
    <t xml:space="preserve">
</t>
  </si>
  <si>
    <t xml:space="preserve">
</t>
  </si>
  <si>
    <t>Clofazimine</t>
  </si>
  <si>
    <t>NCDC</t>
  </si>
  <si>
    <t>GEO-T-NCDC</t>
  </si>
  <si>
    <t xml:space="preserve">The relatively low indicator relates to the actual (decreased) number of TB patients in the country. </t>
  </si>
  <si>
    <t>N/A</t>
  </si>
  <si>
    <t>NFM</t>
  </si>
  <si>
    <t>Linezolid</t>
  </si>
  <si>
    <t>MDR TB-3: Number of cases with drug resistant TB (RR-TB and/or MDR-TB) that began second-line treatment</t>
  </si>
  <si>
    <t>MDR TB-8: Number of cases of XDR TB enrolled on treatment</t>
  </si>
  <si>
    <t>MDR TB other -1: Percentage  of new and relapse TB patients tested using WHO recommended rapid tests at the time of diagnosis</t>
  </si>
  <si>
    <t xml:space="preserve">Numerator: New and relapse TB cases enrolled in the TB program who underwent GeneXpert testing at the time of diagnosis
Denominator: New and relapse TB cases enrolled in the TB program </t>
  </si>
  <si>
    <t>Sustaining Universal Access to Quality Diagnosis and Treatment of all forms of TB</t>
  </si>
  <si>
    <t>TB-3</t>
  </si>
  <si>
    <t>TB-8</t>
  </si>
  <si>
    <t>TB other 1</t>
  </si>
  <si>
    <t>MDR-TB</t>
  </si>
  <si>
    <t>HSS - Health information systems and M&amp;E</t>
  </si>
  <si>
    <t>HSS - Service delivery</t>
  </si>
  <si>
    <t>HSS - Policy and governance</t>
  </si>
  <si>
    <t>Community systems strengthening</t>
  </si>
  <si>
    <t>Program management</t>
  </si>
  <si>
    <t>Results-based Financing</t>
  </si>
  <si>
    <t>Moxifloxacin</t>
  </si>
  <si>
    <t>Maka Danelia, Nino Vakhania</t>
  </si>
  <si>
    <t xml:space="preserve">The number includes bacteriologically confirmed XDR TB cases.
See comments above.
</t>
  </si>
  <si>
    <t xml:space="preserve">MDR Patients that began second line treatment include:
1. Bacteriologically confirmed RR-TB and/or MDR-TB cases
2. Clinically diagnosed MDR TB Cases
The decreasing trend in case notification does not appear to be a result of a decline in the number of individuals screened or diagnostic tests performed. During the reporting period active case finding was used and 95% of new and relapse TB patients were tested with rapid diagnostic methods (GeneXpert), which significantly exceeded the target. WHO reduced estimated MDR/RR incidence among notified cases for 2018 from 400 to 310. The reduced numbers are also reflected in NSP 2019-2022. </t>
  </si>
  <si>
    <t xml:space="preserve">In central warehouse there was a stockout for Cycloserine but TB facilities had enough  stock for patients on treatment at that time.  The stock has been already refilled in central warehouse with the amount enough for more than 5 months. </t>
  </si>
  <si>
    <t>&lt;April</t>
  </si>
  <si>
    <t>&lt;From Procurement Remaining Contract value column it is reduced the 2020 year payments of the Contract #712 and dicided to 03/31/2020 FX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</si>
</sst>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0.00_);_(&quot;$&quot;* \(#,##0.00\);_(&quot;$&quot;* &quot;-&quot;??_);_(@_)"/>
    <numFmt numFmtId="43" formatCode="_(* #,##0.00_);_(* \(#,##0.00\);_(* &quot;-&quot;??_);_(@_)"/>
    <numFmt numFmtId="164" formatCode="_-* #,##0.00_-;\-* #,##0.00_-;_-* &quot;-&quot;??_-;_-@_-"/>
    <numFmt numFmtId="165" formatCode="_-* #,##0.00\ _L_a_r_i_-;\-* #,##0.00\ _L_a_r_i_-;_-* &quot;-&quot;??\ _L_a_r_i_-;_-@_-"/>
    <numFmt numFmtId="166" formatCode="&quot;Q&quot;#,##0_);[Red]\(&quot;Q&quot;#,##0\)"/>
    <numFmt numFmtId="167" formatCode="_(* #,##0_);_(* \(#,##0\);_(* &quot;-&quot;??_);_(@_)"/>
    <numFmt numFmtId="168" formatCode=";;;"/>
    <numFmt numFmtId="169" formatCode="0.0"/>
    <numFmt numFmtId="170" formatCode=";;;&quot;Financial Variance in %&quot;"/>
    <numFmt numFmtId="171" formatCode="_([$€]* #,##0.00_);_([$€]* \(#,##0.00\);_([$€]* &quot;-&quot;??_);_(@_)"/>
    <numFmt numFmtId="172" formatCode="[$$-409]#,##0"/>
    <numFmt numFmtId="173" formatCode="[$-409]d/mmm/yyyy;@"/>
    <numFmt numFmtId="174" formatCode="[$$-409]#,##0_);\([$$-409]#,##0\)"/>
    <numFmt numFmtId="175" formatCode="0.0%"/>
    <numFmt numFmtId="176" formatCode="_(* #,##0.00000_);_(* \(#,##0.00000\);_(* &quot;-&quot;??_);_(@_)"/>
    <numFmt numFmtId="177" formatCode="_(* #,##0.0000000_);_(* \(#,##0.0000000\);_(* &quot;-&quot;??_);_(@_)"/>
    <numFmt numFmtId="178" formatCode="#,##0.000"/>
  </numFmts>
  <fonts count="164">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charset val="204"/>
    </font>
    <font>
      <b/>
      <sz val="10"/>
      <color indexed="53"/>
      <name val="Calibri"/>
      <family val="2"/>
    </font>
    <font>
      <b/>
      <sz val="12"/>
      <name val="Arial"/>
      <family val="2"/>
    </font>
    <font>
      <sz val="11"/>
      <color indexed="8"/>
      <name val="Arial Black"/>
      <family val="2"/>
    </font>
    <font>
      <sz val="11"/>
      <color indexed="8"/>
      <name val="Calibri"/>
      <family val="2"/>
    </font>
    <font>
      <sz val="11"/>
      <color indexed="8"/>
      <name val="Calibri"/>
      <family val="2"/>
    </font>
    <font>
      <i/>
      <sz val="11"/>
      <color indexed="8"/>
      <name val="Calibri"/>
      <family val="2"/>
      <charset val="204"/>
    </font>
    <font>
      <b/>
      <sz val="11"/>
      <color indexed="60"/>
      <name val="Calibri"/>
      <family val="2"/>
      <charset val="204"/>
    </font>
    <font>
      <b/>
      <sz val="11"/>
      <color indexed="14"/>
      <name val="Calibri"/>
      <family val="2"/>
    </font>
    <font>
      <sz val="22"/>
      <color indexed="9"/>
      <name val="Calibri"/>
      <family val="2"/>
    </font>
    <font>
      <sz val="11"/>
      <color indexed="12"/>
      <name val="Calibri"/>
      <family val="2"/>
    </font>
    <font>
      <i/>
      <sz val="11"/>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charset val="204"/>
    </font>
    <font>
      <b/>
      <sz val="14"/>
      <color indexed="44"/>
      <name val="Calibri"/>
      <family val="2"/>
      <charset val="204"/>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charset val="204"/>
    </font>
    <font>
      <b/>
      <sz val="20"/>
      <color indexed="8"/>
      <name val="Calibri"/>
      <family val="2"/>
    </font>
    <font>
      <sz val="20"/>
      <color indexed="8"/>
      <name val="Calibri"/>
      <family val="2"/>
    </font>
    <font>
      <sz val="8"/>
      <name val="Arial"/>
      <family val="2"/>
    </font>
    <font>
      <sz val="8"/>
      <color indexed="12"/>
      <name val="Arial"/>
      <family val="2"/>
    </font>
    <font>
      <b/>
      <i/>
      <sz val="8"/>
      <name val="Arial"/>
      <family val="2"/>
    </font>
    <font>
      <sz val="11"/>
      <color indexed="8"/>
      <name val="Calibri"/>
      <family val="2"/>
    </font>
    <font>
      <sz val="11"/>
      <color indexed="9"/>
      <name val="Calibri"/>
      <family val="2"/>
    </font>
    <font>
      <sz val="10"/>
      <name val="Arial"/>
      <family val="2"/>
    </font>
    <font>
      <sz val="10"/>
      <name val="Arial"/>
      <family val="2"/>
    </font>
    <font>
      <u/>
      <sz val="10"/>
      <color indexed="12"/>
      <name val="Arial"/>
      <family val="2"/>
    </font>
    <font>
      <u/>
      <sz val="10"/>
      <color indexed="12"/>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scheme val="minor"/>
    </font>
    <font>
      <sz val="12"/>
      <color theme="1"/>
      <name val="Times New Roman"/>
      <family val="2"/>
    </font>
    <font>
      <u/>
      <sz val="11"/>
      <color theme="10"/>
      <name val="Calibri"/>
      <family val="2"/>
      <scheme val="minor"/>
    </font>
    <font>
      <u/>
      <sz val="11"/>
      <color theme="11"/>
      <name val="Calibri"/>
      <family val="2"/>
      <scheme val="minor"/>
    </font>
    <font>
      <sz val="11"/>
      <name val="Calibri"/>
      <family val="2"/>
      <scheme val="minor"/>
    </font>
    <font>
      <sz val="11"/>
      <color rgb="FFFF0000"/>
      <name val="Calibri"/>
      <family val="2"/>
    </font>
    <font>
      <sz val="10"/>
      <color theme="0"/>
      <name val="Calibri"/>
      <family val="2"/>
      <charset val="204"/>
    </font>
    <font>
      <sz val="11"/>
      <color theme="0"/>
      <name val="Calibri"/>
      <family val="2"/>
      <charset val="204"/>
    </font>
    <font>
      <b/>
      <sz val="10"/>
      <color theme="0"/>
      <name val="Calibri"/>
      <family val="2"/>
      <charset val="204"/>
    </font>
    <font>
      <sz val="11"/>
      <color rgb="FFFF0000"/>
      <name val="Calibri"/>
      <family val="2"/>
      <scheme val="minor"/>
    </font>
  </fonts>
  <fills count="50">
    <fill>
      <patternFill patternType="none"/>
    </fill>
    <fill>
      <patternFill patternType="gray125"/>
    </fill>
    <fill>
      <patternFill patternType="solid">
        <fgColor indexed="3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10"/>
      </patternFill>
    </fill>
    <fill>
      <patternFill patternType="solid">
        <fgColor indexed="30"/>
      </patternFill>
    </fill>
    <fill>
      <patternFill patternType="solid">
        <fgColor indexed="36"/>
      </patternFill>
    </fill>
    <fill>
      <patternFill patternType="solid">
        <fgColor indexed="52"/>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6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8"/>
        <bgColor indexed="64"/>
      </patternFill>
    </fill>
    <fill>
      <patternFill patternType="solid">
        <fgColor indexed="62"/>
        <bgColor indexed="64"/>
      </patternFill>
    </fill>
    <fill>
      <patternFill patternType="solid">
        <fgColor indexed="43"/>
        <bgColor indexed="51"/>
      </patternFill>
    </fill>
    <fill>
      <patternFill patternType="solid">
        <fgColor indexed="57"/>
        <bgColor indexed="64"/>
      </patternFill>
    </fill>
    <fill>
      <patternFill patternType="solid">
        <fgColor indexed="14"/>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
      <patternFill patternType="solid">
        <fgColor rgb="FFFF0000"/>
        <bgColor indexed="64"/>
      </patternFill>
    </fill>
    <fill>
      <patternFill patternType="solid">
        <fgColor rgb="FFFFFF00"/>
        <bgColor indexed="64"/>
      </patternFill>
    </fill>
  </fills>
  <borders count="2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medium">
        <color indexed="48"/>
      </left>
      <right style="thin">
        <color auto="1"/>
      </right>
      <top style="thin">
        <color auto="1"/>
      </top>
      <bottom style="thin">
        <color auto="1"/>
      </bottom>
      <diagonal/>
    </border>
    <border>
      <left style="thin">
        <color auto="1"/>
      </left>
      <right style="medium">
        <color indexed="48"/>
      </right>
      <top style="thin">
        <color auto="1"/>
      </top>
      <bottom style="thin">
        <color auto="1"/>
      </bottom>
      <diagonal/>
    </border>
    <border>
      <left style="medium">
        <color indexed="48"/>
      </left>
      <right style="thin">
        <color auto="1"/>
      </right>
      <top style="thin">
        <color auto="1"/>
      </top>
      <bottom style="medium">
        <color indexed="48"/>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thin">
        <color auto="1"/>
      </left>
      <right style="medium">
        <color indexed="51"/>
      </right>
      <top style="thin">
        <color auto="1"/>
      </top>
      <bottom style="thin">
        <color auto="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thin">
        <color auto="1"/>
      </right>
      <top style="thin">
        <color auto="1"/>
      </top>
      <bottom style="medium">
        <color indexed="16"/>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16"/>
      </left>
      <right style="medium">
        <color indexed="51"/>
      </right>
      <top style="medium">
        <color indexed="51"/>
      </top>
      <bottom style="thin">
        <color auto="1"/>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right style="medium">
        <color auto="1"/>
      </right>
      <top style="thin">
        <color auto="1"/>
      </top>
      <bottom style="thin">
        <color auto="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style="thin">
        <color auto="1"/>
      </left>
      <right style="medium">
        <color indexed="51"/>
      </right>
      <top style="thin">
        <color auto="1"/>
      </top>
      <bottom style="medium">
        <color indexed="5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bottom style="thin">
        <color auto="1"/>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indexed="51"/>
      </left>
      <right style="thin">
        <color auto="1"/>
      </right>
      <top style="thin">
        <color auto="1"/>
      </top>
      <bottom/>
      <diagonal/>
    </border>
    <border>
      <left style="medium">
        <color indexed="51"/>
      </left>
      <right style="medium">
        <color indexed="51"/>
      </right>
      <top style="thin">
        <color auto="1"/>
      </top>
      <bottom style="thin">
        <color auto="1"/>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right style="thin">
        <color auto="1"/>
      </right>
      <top/>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style="thin">
        <color auto="1"/>
      </right>
      <top style="thin">
        <color auto="1"/>
      </top>
      <bottom style="medium">
        <color indexed="5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indexed="5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ck">
        <color indexed="9"/>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hair">
        <color indexed="23"/>
      </bottom>
      <diagonal/>
    </border>
    <border>
      <left/>
      <right style="medium">
        <color indexed="62"/>
      </right>
      <top style="hair">
        <color indexed="23"/>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right style="medium">
        <color indexed="52"/>
      </right>
      <top/>
      <bottom style="medium">
        <color indexed="52"/>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style="medium">
        <color indexed="60"/>
      </right>
      <top style="hair">
        <color indexed="23"/>
      </top>
      <bottom style="hair">
        <color indexed="23"/>
      </bottom>
      <diagonal/>
    </border>
    <border>
      <left style="medium">
        <color indexed="60"/>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right/>
      <top/>
      <bottom style="medium">
        <color indexed="52"/>
      </bottom>
      <diagonal/>
    </border>
    <border>
      <left style="medium">
        <color indexed="60"/>
      </left>
      <right/>
      <top/>
      <bottom style="medium">
        <color indexed="60"/>
      </bottom>
      <diagonal/>
    </border>
    <border>
      <left/>
      <right style="medium">
        <color indexed="60"/>
      </right>
      <top/>
      <bottom style="medium">
        <color indexed="60"/>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hair">
        <color indexed="57"/>
      </left>
      <right style="medium">
        <color indexed="57"/>
      </right>
      <top style="medium">
        <color indexed="57"/>
      </top>
      <bottom style="medium">
        <color indexed="57"/>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medium">
        <color auto="1"/>
      </right>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thin">
        <color auto="1"/>
      </left>
      <right style="thin">
        <color auto="1"/>
      </right>
      <top style="thin">
        <color auto="1"/>
      </top>
      <bottom/>
      <diagonal/>
    </border>
    <border>
      <left style="medium">
        <color auto="1"/>
      </left>
      <right style="hair">
        <color auto="1"/>
      </right>
      <top/>
      <bottom style="hair">
        <color auto="1"/>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style="hair">
        <color indexed="57"/>
      </right>
      <top style="medium">
        <color indexed="57"/>
      </top>
      <bottom style="medium">
        <color indexed="57"/>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style="hair">
        <color auto="1"/>
      </bottom>
      <diagonal/>
    </border>
    <border>
      <left/>
      <right/>
      <top style="medium">
        <color rgb="FFFFC000"/>
      </top>
      <bottom/>
      <diagonal/>
    </border>
    <border>
      <left style="thin">
        <color auto="1"/>
      </left>
      <right style="medium">
        <color indexed="51"/>
      </right>
      <top style="thin">
        <color auto="1"/>
      </top>
      <bottom style="medium">
        <color rgb="FFFFC000"/>
      </bottom>
      <diagonal/>
    </border>
  </borders>
  <cellStyleXfs count="153">
    <xf numFmtId="0" fontId="0" fillId="0" borderId="0"/>
    <xf numFmtId="3" fontId="130" fillId="2" borderId="0">
      <alignment horizontal="center"/>
    </xf>
    <xf numFmtId="9" fontId="130" fillId="2" borderId="0">
      <alignment horizontal="center"/>
    </xf>
    <xf numFmtId="3" fontId="131" fillId="0" borderId="0">
      <alignment horizontal="center" vertical="center"/>
      <protection locked="0"/>
    </xf>
    <xf numFmtId="175" fontId="131" fillId="0" borderId="0">
      <alignment horizontal="center" vertical="center"/>
      <protection locked="0"/>
    </xf>
    <xf numFmtId="49" fontId="132" fillId="0" borderId="0">
      <alignment horizontal="left"/>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33" fillId="7" borderId="0" applyNumberFormat="0" applyBorder="0" applyAlignment="0" applyProtection="0"/>
    <xf numFmtId="0" fontId="133" fillId="8" borderId="0" applyNumberFormat="0" applyBorder="0" applyAlignment="0" applyProtection="0"/>
    <xf numFmtId="0" fontId="133" fillId="9" borderId="0" applyNumberFormat="0" applyBorder="0" applyAlignment="0" applyProtection="0"/>
    <xf numFmtId="0" fontId="133" fillId="10" borderId="0" applyNumberFormat="0" applyBorder="0" applyAlignment="0" applyProtection="0"/>
    <xf numFmtId="0" fontId="133" fillId="6" borderId="0" applyNumberFormat="0" applyBorder="0" applyAlignment="0" applyProtection="0"/>
    <xf numFmtId="0" fontId="133" fillId="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33" fillId="14" borderId="0" applyNumberFormat="0" applyBorder="0" applyAlignment="0" applyProtection="0"/>
    <xf numFmtId="0" fontId="133" fillId="12" borderId="0" applyNumberFormat="0" applyBorder="0" applyAlignment="0" applyProtection="0"/>
    <xf numFmtId="0" fontId="133" fillId="15" borderId="0" applyNumberFormat="0" applyBorder="0" applyAlignment="0" applyProtection="0"/>
    <xf numFmtId="0" fontId="133" fillId="10" borderId="0" applyNumberFormat="0" applyBorder="0" applyAlignment="0" applyProtection="0"/>
    <xf numFmtId="0" fontId="133" fillId="14" borderId="0" applyNumberFormat="0" applyBorder="0" applyAlignment="0" applyProtection="0"/>
    <xf numFmtId="0" fontId="133"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17" borderId="0" applyNumberFormat="0" applyBorder="0" applyAlignment="0" applyProtection="0"/>
    <xf numFmtId="0" fontId="15" fillId="4" borderId="0" applyNumberFormat="0" applyBorder="0" applyAlignment="0" applyProtection="0"/>
    <xf numFmtId="0" fontId="134" fillId="19" borderId="0" applyNumberFormat="0" applyBorder="0" applyAlignment="0" applyProtection="0"/>
    <xf numFmtId="0" fontId="134" fillId="12" borderId="0" applyNumberFormat="0" applyBorder="0" applyAlignment="0" applyProtection="0"/>
    <xf numFmtId="0" fontId="134" fillId="15" borderId="0" applyNumberFormat="0" applyBorder="0" applyAlignment="0" applyProtection="0"/>
    <xf numFmtId="0" fontId="134" fillId="20" borderId="0" applyNumberFormat="0" applyBorder="0" applyAlignment="0" applyProtection="0"/>
    <xf numFmtId="0" fontId="134" fillId="17" borderId="0" applyNumberFormat="0" applyBorder="0" applyAlignment="0" applyProtection="0"/>
    <xf numFmtId="0" fontId="134" fillId="21"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17" borderId="0" applyNumberFormat="0" applyBorder="0" applyAlignment="0" applyProtection="0"/>
    <xf numFmtId="0" fontId="15" fillId="25" borderId="0" applyNumberFormat="0" applyBorder="0" applyAlignment="0" applyProtection="0"/>
    <xf numFmtId="0" fontId="5" fillId="8" borderId="0" applyNumberFormat="0" applyBorder="0" applyAlignment="0" applyProtection="0"/>
    <xf numFmtId="0" fontId="9" fillId="3" borderId="1" applyNumberFormat="0" applyAlignment="0" applyProtection="0"/>
    <xf numFmtId="0" fontId="11" fillId="26" borderId="2" applyNumberFormat="0" applyAlignment="0" applyProtection="0"/>
    <xf numFmtId="43" fontId="3" fillId="0" borderId="0" applyFont="0" applyFill="0" applyBorder="0" applyAlignment="0" applyProtection="0"/>
    <xf numFmtId="164" fontId="2" fillId="0" borderId="0" applyFont="0" applyFill="0" applyBorder="0" applyAlignment="0" applyProtection="0"/>
    <xf numFmtId="164" fontId="135" fillId="0" borderId="0" applyFont="0" applyFill="0" applyBorder="0" applyAlignment="0" applyProtection="0"/>
    <xf numFmtId="165" fontId="136" fillId="0" borderId="0" applyFont="0" applyFill="0" applyBorder="0" applyAlignment="0" applyProtection="0"/>
    <xf numFmtId="43" fontId="154" fillId="0" borderId="0" applyFont="0" applyFill="0" applyBorder="0" applyAlignment="0" applyProtection="0"/>
    <xf numFmtId="165" fontId="2" fillId="0" borderId="0" applyFont="0" applyFill="0" applyBorder="0" applyAlignment="0" applyProtection="0"/>
    <xf numFmtId="43" fontId="154"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54" fillId="0" borderId="0" applyFont="0" applyFill="0" applyBorder="0" applyAlignment="0" applyProtection="0"/>
    <xf numFmtId="43" fontId="15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1" fontId="2" fillId="0" borderId="0" applyFont="0" applyFill="0" applyBorder="0" applyAlignment="0" applyProtection="0"/>
    <xf numFmtId="0" fontId="13" fillId="0" borderId="0" applyNumberFormat="0" applyFill="0" applyBorder="0" applyAlignment="0" applyProtection="0"/>
    <xf numFmtId="0" fontId="4" fillId="9"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137" fillId="0" borderId="0" applyNumberFormat="0" applyFill="0" applyBorder="0" applyAlignment="0" applyProtection="0"/>
    <xf numFmtId="0" fontId="138" fillId="0" borderId="0" applyNumberFormat="0" applyFill="0" applyBorder="0" applyAlignment="0" applyProtection="0">
      <alignment vertical="top"/>
      <protection locked="0"/>
    </xf>
    <xf numFmtId="0" fontId="7" fillId="4" borderId="1" applyNumberFormat="0" applyAlignment="0" applyProtection="0"/>
    <xf numFmtId="0" fontId="10" fillId="0" borderId="3" applyNumberFormat="0" applyFill="0" applyAlignment="0" applyProtection="0"/>
    <xf numFmtId="43" fontId="2" fillId="0" borderId="0" applyFill="0" applyBorder="0" applyAlignment="0" applyProtection="0"/>
    <xf numFmtId="0" fontId="154" fillId="0" borderId="0"/>
    <xf numFmtId="0" fontId="154" fillId="0" borderId="0"/>
    <xf numFmtId="0" fontId="155" fillId="0" borderId="0"/>
    <xf numFmtId="43" fontId="154" fillId="0" borderId="0"/>
    <xf numFmtId="0" fontId="2" fillId="0" borderId="0"/>
    <xf numFmtId="0" fontId="154" fillId="0" borderId="0"/>
    <xf numFmtId="0" fontId="2" fillId="0" borderId="0"/>
    <xf numFmtId="0" fontId="136" fillId="0" borderId="0"/>
    <xf numFmtId="0" fontId="2" fillId="0" borderId="0"/>
    <xf numFmtId="0" fontId="130" fillId="0" borderId="0"/>
    <xf numFmtId="0" fontId="2" fillId="0" borderId="0"/>
    <xf numFmtId="0" fontId="2" fillId="0" borderId="0"/>
    <xf numFmtId="0" fontId="2" fillId="0" borderId="0"/>
    <xf numFmtId="0" fontId="2" fillId="0" borderId="0"/>
    <xf numFmtId="43" fontId="1" fillId="0" borderId="0"/>
    <xf numFmtId="43" fontId="1" fillId="0" borderId="0"/>
    <xf numFmtId="43" fontId="154" fillId="0" borderId="0"/>
    <xf numFmtId="0" fontId="2" fillId="0" borderId="0"/>
    <xf numFmtId="0" fontId="154" fillId="0" borderId="0"/>
    <xf numFmtId="43" fontId="154" fillId="0" borderId="0"/>
    <xf numFmtId="0" fontId="154" fillId="0" borderId="0"/>
    <xf numFmtId="43" fontId="154" fillId="0" borderId="0"/>
    <xf numFmtId="0" fontId="154" fillId="0" borderId="0"/>
    <xf numFmtId="0" fontId="2" fillId="0" borderId="0"/>
    <xf numFmtId="0" fontId="154" fillId="0" borderId="0"/>
    <xf numFmtId="43" fontId="154" fillId="0" borderId="0"/>
    <xf numFmtId="0" fontId="154" fillId="0" borderId="0"/>
    <xf numFmtId="0" fontId="154" fillId="0" borderId="0"/>
    <xf numFmtId="0" fontId="135" fillId="0" borderId="0"/>
    <xf numFmtId="0" fontId="154" fillId="0" borderId="0"/>
    <xf numFmtId="0" fontId="154" fillId="0" borderId="0"/>
    <xf numFmtId="0" fontId="67" fillId="0" borderId="0"/>
    <xf numFmtId="0" fontId="2" fillId="5" borderId="7" applyNumberFormat="0" applyFont="0" applyAlignment="0" applyProtection="0"/>
    <xf numFmtId="0" fontId="8" fillId="3" borderId="8" applyNumberFormat="0" applyAlignment="0" applyProtection="0"/>
    <xf numFmtId="9" fontId="3" fillId="0" borderId="0" applyFont="0" applyFill="0" applyBorder="0" applyAlignment="0" applyProtection="0"/>
    <xf numFmtId="9" fontId="2" fillId="0" borderId="0" applyFont="0" applyFill="0" applyBorder="0" applyAlignment="0" applyProtection="0"/>
    <xf numFmtId="9" fontId="135" fillId="0" borderId="0" applyFont="0" applyFill="0" applyBorder="0" applyAlignment="0" applyProtection="0"/>
    <xf numFmtId="9" fontId="154" fillId="0" borderId="0" applyFont="0" applyFill="0" applyBorder="0" applyAlignment="0" applyProtection="0"/>
    <xf numFmtId="0" fontId="42" fillId="0" borderId="0" applyNumberFormat="0" applyFill="0" applyBorder="0" applyAlignment="0" applyProtection="0"/>
    <xf numFmtId="43" fontId="154" fillId="0" borderId="10" applyNumberFormat="0" applyFill="0" applyAlignment="0" applyProtection="0"/>
    <xf numFmtId="43" fontId="1" fillId="0" borderId="10" applyNumberFormat="0" applyFill="0" applyAlignment="0" applyProtection="0"/>
    <xf numFmtId="43" fontId="1" fillId="0" borderId="10" applyNumberFormat="0" applyFill="0" applyAlignment="0" applyProtection="0"/>
    <xf numFmtId="43" fontId="154" fillId="0" borderId="10" applyNumberFormat="0" applyFill="0" applyAlignment="0" applyProtection="0"/>
    <xf numFmtId="0" fontId="76" fillId="0" borderId="0" applyNumberFormat="0" applyFill="0" applyBorder="0" applyAlignment="0" applyProtection="0"/>
    <xf numFmtId="0" fontId="134" fillId="27" borderId="0" applyNumberFormat="0" applyBorder="0" applyAlignment="0" applyProtection="0"/>
    <xf numFmtId="0" fontId="134" fillId="18" borderId="0" applyNumberFormat="0" applyBorder="0" applyAlignment="0" applyProtection="0"/>
    <xf numFmtId="0" fontId="134" fillId="23" borderId="0" applyNumberFormat="0" applyBorder="0" applyAlignment="0" applyProtection="0"/>
    <xf numFmtId="0" fontId="134" fillId="20" borderId="0" applyNumberFormat="0" applyBorder="0" applyAlignment="0" applyProtection="0"/>
    <xf numFmtId="0" fontId="134" fillId="17" borderId="0" applyNumberFormat="0" applyBorder="0" applyAlignment="0" applyProtection="0"/>
    <xf numFmtId="0" fontId="134" fillId="22" borderId="0" applyNumberFormat="0" applyBorder="0" applyAlignment="0" applyProtection="0"/>
    <xf numFmtId="0" fontId="139" fillId="4" borderId="1" applyNumberFormat="0" applyAlignment="0" applyProtection="0"/>
    <xf numFmtId="0" fontId="140" fillId="11" borderId="8" applyNumberFormat="0" applyAlignment="0" applyProtection="0"/>
    <xf numFmtId="0" fontId="141" fillId="11" borderId="1" applyNumberFormat="0" applyAlignment="0" applyProtection="0"/>
    <xf numFmtId="0" fontId="142" fillId="0" borderId="9" applyNumberFormat="0" applyFill="0" applyAlignment="0" applyProtection="0"/>
    <xf numFmtId="0" fontId="143" fillId="0" borderId="5" applyNumberFormat="0" applyFill="0" applyAlignment="0" applyProtection="0"/>
    <xf numFmtId="0" fontId="144" fillId="0" borderId="10" applyNumberFormat="0" applyFill="0" applyAlignment="0" applyProtection="0"/>
    <xf numFmtId="0" fontId="144" fillId="0" borderId="0" applyNumberFormat="0" applyFill="0" applyBorder="0" applyAlignment="0" applyProtection="0"/>
    <xf numFmtId="0" fontId="145" fillId="0" borderId="11" applyNumberFormat="0" applyFill="0" applyAlignment="0" applyProtection="0"/>
    <xf numFmtId="0" fontId="146" fillId="26" borderId="2" applyNumberFormat="0" applyAlignment="0" applyProtection="0"/>
    <xf numFmtId="0" fontId="147" fillId="0" borderId="0" applyNumberFormat="0" applyFill="0" applyBorder="0" applyAlignment="0" applyProtection="0"/>
    <xf numFmtId="0" fontId="148" fillId="13" borderId="0" applyNumberFormat="0" applyBorder="0" applyAlignment="0" applyProtection="0"/>
    <xf numFmtId="0" fontId="136" fillId="0" borderId="0"/>
    <xf numFmtId="0" fontId="136" fillId="0" borderId="0"/>
    <xf numFmtId="0" fontId="135" fillId="0" borderId="0"/>
    <xf numFmtId="0" fontId="149" fillId="8" borderId="0" applyNumberFormat="0" applyBorder="0" applyAlignment="0" applyProtection="0"/>
    <xf numFmtId="0" fontId="150" fillId="0" borderId="0" applyNumberFormat="0" applyFill="0" applyBorder="0" applyAlignment="0" applyProtection="0"/>
    <xf numFmtId="0" fontId="135" fillId="5" borderId="7" applyNumberFormat="0" applyFont="0" applyAlignment="0" applyProtection="0"/>
    <xf numFmtId="0" fontId="151" fillId="0" borderId="3" applyNumberFormat="0" applyFill="0" applyAlignment="0" applyProtection="0"/>
    <xf numFmtId="0" fontId="152" fillId="0" borderId="0" applyNumberFormat="0" applyFill="0" applyBorder="0" applyAlignment="0" applyProtection="0"/>
    <xf numFmtId="164" fontId="2" fillId="0" borderId="0" applyFont="0" applyFill="0" applyBorder="0" applyAlignment="0" applyProtection="0"/>
    <xf numFmtId="0" fontId="153" fillId="9" borderId="0" applyNumberFormat="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cellStyleXfs>
  <cellXfs count="912">
    <xf numFmtId="0" fontId="0" fillId="0" borderId="0" xfId="0"/>
    <xf numFmtId="43" fontId="16" fillId="0" borderId="0" xfId="81" applyFont="1" applyFill="1" applyAlignment="1">
      <alignment vertical="center"/>
    </xf>
    <xf numFmtId="0" fontId="0" fillId="0" borderId="0" xfId="0" applyBorder="1" applyProtection="1"/>
    <xf numFmtId="0" fontId="0" fillId="0" borderId="0" xfId="0" applyProtection="1"/>
    <xf numFmtId="43" fontId="22" fillId="0" borderId="0" xfId="81" applyFont="1" applyFill="1" applyAlignment="1" applyProtection="1">
      <alignment vertical="center"/>
    </xf>
    <xf numFmtId="0" fontId="21" fillId="0" borderId="0" xfId="0" applyFont="1" applyProtection="1"/>
    <xf numFmtId="43" fontId="19" fillId="0" borderId="0" xfId="97" applyFont="1" applyFill="1" applyAlignment="1" applyProtection="1"/>
    <xf numFmtId="43" fontId="19" fillId="0" borderId="0" xfId="97" applyFont="1" applyFill="1" applyAlignment="1" applyProtection="1">
      <alignment horizontal="center"/>
    </xf>
    <xf numFmtId="43" fontId="19" fillId="0" borderId="0" xfId="97" applyFont="1" applyFill="1" applyAlignment="1" applyProtection="1">
      <alignment horizontal="right"/>
    </xf>
    <xf numFmtId="43" fontId="19" fillId="0" borderId="0" xfId="97" applyFont="1" applyFill="1" applyBorder="1" applyAlignment="1" applyProtection="1">
      <alignment horizontal="center"/>
    </xf>
    <xf numFmtId="43" fontId="154" fillId="0" borderId="0" xfId="94" applyProtection="1"/>
    <xf numFmtId="43" fontId="15" fillId="0" borderId="0" xfId="94" applyFont="1" applyProtection="1"/>
    <xf numFmtId="0" fontId="18" fillId="0" borderId="0" xfId="94" applyNumberFormat="1" applyFont="1" applyBorder="1" applyProtection="1"/>
    <xf numFmtId="43" fontId="154" fillId="0" borderId="0" xfId="99" applyProtection="1"/>
    <xf numFmtId="43" fontId="154" fillId="0" borderId="0" xfId="99" applyFill="1" applyBorder="1" applyAlignment="1" applyProtection="1">
      <alignment horizontal="left"/>
    </xf>
    <xf numFmtId="0" fontId="0" fillId="0" borderId="0" xfId="0" applyFill="1" applyBorder="1" applyProtection="1"/>
    <xf numFmtId="43" fontId="154" fillId="0" borderId="0" xfId="99" applyFill="1" applyBorder="1" applyProtection="1"/>
    <xf numFmtId="0" fontId="15" fillId="0" borderId="0" xfId="0" applyFont="1" applyProtection="1"/>
    <xf numFmtId="43" fontId="15" fillId="0" borderId="0" xfId="99"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43" fontId="28" fillId="0" borderId="0" xfId="0" applyNumberFormat="1" applyFont="1"/>
    <xf numFmtId="43" fontId="28" fillId="0" borderId="0" xfId="0" applyNumberFormat="1" applyFont="1" applyAlignment="1">
      <alignment horizontal="right"/>
    </xf>
    <xf numFmtId="167" fontId="28" fillId="0" borderId="0" xfId="51" applyNumberFormat="1" applyFont="1" applyAlignment="1">
      <alignment horizontal="left"/>
    </xf>
    <xf numFmtId="43" fontId="16" fillId="0" borderId="0" xfId="93" applyFont="1" applyFill="1" applyAlignment="1">
      <alignment vertical="center"/>
    </xf>
    <xf numFmtId="0" fontId="0" fillId="0" borderId="12"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112" applyNumberFormat="1" applyFont="1" applyFill="1" applyBorder="1" applyAlignment="1">
      <alignment horizontal="center"/>
    </xf>
    <xf numFmtId="10" fontId="6" fillId="0" borderId="0" xfId="112" applyNumberFormat="1" applyFont="1" applyFill="1" applyBorder="1" applyAlignment="1" applyProtection="1">
      <alignment horizontal="center"/>
      <protection locked="0"/>
    </xf>
    <xf numFmtId="43" fontId="28" fillId="0" borderId="0" xfId="0" applyNumberFormat="1" applyFont="1" applyFill="1" applyBorder="1" applyAlignment="1"/>
    <xf numFmtId="43" fontId="154" fillId="0" borderId="0" xfId="120" applyFill="1" applyBorder="1" applyAlignment="1" applyProtection="1">
      <alignment vertical="center"/>
      <protection locked="0"/>
    </xf>
    <xf numFmtId="166"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43" fontId="39" fillId="0" borderId="0" xfId="120" applyFont="1" applyFill="1" applyBorder="1" applyAlignment="1" applyProtection="1">
      <alignment vertical="center"/>
      <protection locked="0"/>
    </xf>
    <xf numFmtId="0" fontId="0" fillId="0" borderId="12"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54" fillId="0" borderId="0" xfId="117"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43" fontId="69" fillId="0" borderId="0" xfId="94" applyFont="1" applyProtection="1"/>
    <xf numFmtId="43" fontId="69" fillId="0" borderId="0" xfId="99" applyFont="1" applyProtection="1"/>
    <xf numFmtId="0" fontId="69" fillId="0" borderId="12" xfId="0" applyFont="1" applyFill="1" applyBorder="1" applyAlignment="1" applyProtection="1">
      <alignment horizontal="center"/>
    </xf>
    <xf numFmtId="0" fontId="69" fillId="0" borderId="12" xfId="0" applyFont="1" applyFill="1" applyBorder="1" applyProtection="1"/>
    <xf numFmtId="43" fontId="69" fillId="0" borderId="12" xfId="99" applyFont="1" applyBorder="1" applyProtection="1"/>
    <xf numFmtId="0" fontId="70" fillId="0" borderId="12" xfId="0" applyFont="1" applyBorder="1" applyAlignment="1" applyProtection="1">
      <alignment horizontal="left" indent="1"/>
    </xf>
    <xf numFmtId="0" fontId="71" fillId="0" borderId="12" xfId="0" applyFont="1" applyBorder="1"/>
    <xf numFmtId="0" fontId="72" fillId="28" borderId="12" xfId="0" applyFont="1" applyFill="1" applyBorder="1" applyAlignment="1" applyProtection="1">
      <alignment horizontal="center"/>
    </xf>
    <xf numFmtId="0" fontId="72" fillId="28" borderId="12" xfId="0" applyFont="1" applyFill="1" applyBorder="1" applyAlignment="1">
      <alignment horizontal="center"/>
    </xf>
    <xf numFmtId="0" fontId="21" fillId="0" borderId="0" xfId="0" applyFont="1"/>
    <xf numFmtId="3" fontId="15" fillId="29" borderId="13" xfId="0" applyNumberFormat="1" applyFont="1" applyFill="1" applyBorder="1" applyAlignment="1">
      <alignment horizontal="right"/>
    </xf>
    <xf numFmtId="3" fontId="15" fillId="29" borderId="13" xfId="51" applyNumberFormat="1" applyFont="1" applyFill="1" applyBorder="1"/>
    <xf numFmtId="9" fontId="15" fillId="29" borderId="13" xfId="112" applyFont="1" applyFill="1" applyBorder="1"/>
    <xf numFmtId="9" fontId="15" fillId="29" borderId="13" xfId="112" applyNumberFormat="1" applyFont="1" applyFill="1" applyBorder="1"/>
    <xf numFmtId="0" fontId="15" fillId="29" borderId="13" xfId="0" applyFont="1" applyFill="1" applyBorder="1"/>
    <xf numFmtId="9" fontId="15" fillId="29" borderId="13" xfId="112" applyFont="1" applyFill="1" applyBorder="1" applyAlignment="1">
      <alignment horizontal="center"/>
    </xf>
    <xf numFmtId="0" fontId="15" fillId="0" borderId="0" xfId="0" applyFont="1"/>
    <xf numFmtId="0" fontId="33" fillId="0" borderId="0" xfId="0" applyFont="1" applyAlignment="1">
      <alignment horizontal="center"/>
    </xf>
    <xf numFmtId="43" fontId="61" fillId="0" borderId="0" xfId="93" applyFont="1" applyFill="1" applyAlignment="1">
      <alignment vertical="center"/>
    </xf>
    <xf numFmtId="0" fontId="14" fillId="0" borderId="0" xfId="0" applyFont="1"/>
    <xf numFmtId="0" fontId="46" fillId="0" borderId="0" xfId="0" applyFont="1" applyFill="1"/>
    <xf numFmtId="0" fontId="79" fillId="28" borderId="14" xfId="0" applyFont="1" applyFill="1" applyBorder="1" applyAlignment="1">
      <alignment vertical="center"/>
    </xf>
    <xf numFmtId="0" fontId="77" fillId="0" borderId="0" xfId="109" applyNumberFormat="1" applyFont="1" applyFill="1" applyBorder="1" applyAlignment="1">
      <alignment horizontal="center" vertical="center" wrapText="1"/>
    </xf>
    <xf numFmtId="0" fontId="77" fillId="30" borderId="15" xfId="109"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9"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43" fontId="39" fillId="0" borderId="0" xfId="120" applyFont="1" applyFill="1" applyBorder="1" applyAlignment="1" applyProtection="1">
      <alignment horizontal="center" vertical="center"/>
      <protection locked="0"/>
    </xf>
    <xf numFmtId="15" fontId="0" fillId="0" borderId="0" xfId="0" applyNumberFormat="1"/>
    <xf numFmtId="0" fontId="0" fillId="0" borderId="12" xfId="0" quotePrefix="1" applyNumberFormat="1" applyBorder="1"/>
    <xf numFmtId="43" fontId="31" fillId="0" borderId="16" xfId="120" applyFont="1" applyBorder="1" applyAlignment="1" applyProtection="1"/>
    <xf numFmtId="43" fontId="154" fillId="0" borderId="16" xfId="120" applyFill="1" applyBorder="1" applyAlignment="1" applyProtection="1">
      <alignment vertical="center"/>
    </xf>
    <xf numFmtId="43" fontId="3" fillId="0" borderId="16" xfId="120" applyFont="1" applyFill="1" applyBorder="1" applyAlignment="1" applyProtection="1">
      <alignment vertical="center"/>
    </xf>
    <xf numFmtId="43" fontId="31" fillId="0" borderId="0" xfId="120" applyFont="1" applyBorder="1" applyAlignment="1" applyProtection="1"/>
    <xf numFmtId="43" fontId="154" fillId="0" borderId="0" xfId="120" applyFill="1" applyBorder="1" applyAlignment="1" applyProtection="1">
      <alignment vertical="center"/>
    </xf>
    <xf numFmtId="43" fontId="3" fillId="0" borderId="0" xfId="120" applyFont="1" applyFill="1" applyBorder="1" applyAlignment="1" applyProtection="1">
      <alignment vertical="center"/>
    </xf>
    <xf numFmtId="0" fontId="32" fillId="0" borderId="17" xfId="0" applyFont="1" applyBorder="1" applyAlignment="1" applyProtection="1">
      <alignment horizontal="center"/>
    </xf>
    <xf numFmtId="15" fontId="32" fillId="0" borderId="18" xfId="0" applyNumberFormat="1" applyFont="1" applyBorder="1" applyAlignment="1" applyProtection="1">
      <alignment horizontal="center"/>
    </xf>
    <xf numFmtId="0" fontId="32" fillId="0" borderId="19" xfId="0" applyFont="1" applyBorder="1" applyAlignment="1" applyProtection="1">
      <alignment horizontal="center"/>
    </xf>
    <xf numFmtId="167"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112"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20" xfId="0" applyNumberFormat="1" applyFont="1" applyFill="1" applyBorder="1" applyAlignment="1" applyProtection="1"/>
    <xf numFmtId="0" fontId="26" fillId="0" borderId="20" xfId="0" applyFont="1" applyFill="1" applyBorder="1" applyProtection="1"/>
    <xf numFmtId="0" fontId="26" fillId="0" borderId="21" xfId="0" applyFont="1" applyFill="1" applyBorder="1" applyProtection="1"/>
    <xf numFmtId="43" fontId="38" fillId="0" borderId="22" xfId="120" applyFont="1" applyBorder="1" applyAlignment="1" applyProtection="1"/>
    <xf numFmtId="43" fontId="39" fillId="0" borderId="22" xfId="120" applyFont="1" applyFill="1" applyBorder="1" applyAlignment="1" applyProtection="1">
      <alignment vertical="center"/>
    </xf>
    <xf numFmtId="43" fontId="39" fillId="0" borderId="22" xfId="120" applyFont="1" applyFill="1" applyBorder="1" applyAlignment="1" applyProtection="1">
      <alignment horizontal="center" vertical="center"/>
    </xf>
    <xf numFmtId="43" fontId="39" fillId="0" borderId="0" xfId="120" applyFont="1" applyFill="1" applyBorder="1" applyAlignment="1" applyProtection="1">
      <alignment vertical="center"/>
    </xf>
    <xf numFmtId="43" fontId="38" fillId="0" borderId="0" xfId="120" applyFont="1" applyBorder="1" applyAlignment="1" applyProtection="1"/>
    <xf numFmtId="43" fontId="40" fillId="0" borderId="0" xfId="120" applyFont="1" applyFill="1" applyBorder="1" applyAlignment="1" applyProtection="1">
      <alignment vertical="center"/>
    </xf>
    <xf numFmtId="0" fontId="14" fillId="0" borderId="0" xfId="0" applyFont="1" applyBorder="1" applyAlignment="1" applyProtection="1">
      <alignment horizontal="center"/>
    </xf>
    <xf numFmtId="0" fontId="0" fillId="0" borderId="23" xfId="0" applyBorder="1" applyAlignment="1" applyProtection="1">
      <alignment horizontal="center"/>
    </xf>
    <xf numFmtId="0" fontId="14" fillId="0" borderId="23" xfId="0" applyFont="1" applyBorder="1" applyAlignment="1" applyProtection="1">
      <alignment horizontal="center"/>
    </xf>
    <xf numFmtId="0" fontId="14" fillId="0" borderId="23" xfId="0" applyFont="1" applyBorder="1" applyAlignment="1" applyProtection="1">
      <alignment horizontal="center" wrapText="1"/>
    </xf>
    <xf numFmtId="0" fontId="14" fillId="0" borderId="24" xfId="0" applyFont="1" applyBorder="1" applyAlignment="1" applyProtection="1">
      <alignment horizontal="center"/>
    </xf>
    <xf numFmtId="0" fontId="14" fillId="0" borderId="25" xfId="0" applyFont="1" applyBorder="1" applyAlignment="1" applyProtection="1">
      <alignment horizontal="center"/>
    </xf>
    <xf numFmtId="1" fontId="21" fillId="29" borderId="26" xfId="0" applyNumberFormat="1" applyFont="1" applyFill="1" applyBorder="1" applyAlignment="1" applyProtection="1">
      <alignment horizontal="center"/>
    </xf>
    <xf numFmtId="0" fontId="14" fillId="0" borderId="27" xfId="0" applyFont="1" applyBorder="1" applyAlignment="1" applyProtection="1">
      <alignment horizontal="center"/>
    </xf>
    <xf numFmtId="1" fontId="21" fillId="29" borderId="28" xfId="0" applyNumberFormat="1" applyFont="1" applyFill="1" applyBorder="1" applyAlignment="1" applyProtection="1">
      <alignment horizontal="center"/>
    </xf>
    <xf numFmtId="0" fontId="0" fillId="0" borderId="29" xfId="0" applyBorder="1" applyProtection="1"/>
    <xf numFmtId="0" fontId="0" fillId="0" borderId="24" xfId="0" applyBorder="1" applyAlignment="1" applyProtection="1">
      <alignment horizontal="center"/>
    </xf>
    <xf numFmtId="0" fontId="0" fillId="0" borderId="27" xfId="0" applyBorder="1" applyAlignment="1" applyProtection="1">
      <alignment horizontal="center"/>
    </xf>
    <xf numFmtId="0" fontId="32" fillId="0" borderId="23" xfId="0" applyFont="1" applyBorder="1" applyAlignment="1" applyProtection="1">
      <alignment horizontal="center"/>
    </xf>
    <xf numFmtId="0" fontId="32" fillId="0" borderId="24" xfId="0" applyFont="1" applyBorder="1" applyAlignment="1" applyProtection="1">
      <alignment horizontal="center"/>
    </xf>
    <xf numFmtId="0" fontId="0" fillId="0" borderId="0" xfId="0" applyFill="1" applyBorder="1" applyAlignment="1" applyProtection="1">
      <alignment horizontal="center" wrapText="1"/>
    </xf>
    <xf numFmtId="43" fontId="100" fillId="0" borderId="0" xfId="51" applyFont="1" applyFill="1" applyBorder="1" applyProtection="1"/>
    <xf numFmtId="43" fontId="0" fillId="0" borderId="0" xfId="0" applyNumberFormat="1" applyFill="1" applyBorder="1" applyProtection="1"/>
    <xf numFmtId="43" fontId="68" fillId="0" borderId="30" xfId="120" applyFont="1" applyFill="1" applyBorder="1" applyAlignment="1" applyProtection="1"/>
    <xf numFmtId="43" fontId="39" fillId="0" borderId="30" xfId="120" applyFont="1" applyFill="1" applyBorder="1" applyAlignment="1" applyProtection="1">
      <alignment vertical="center"/>
    </xf>
    <xf numFmtId="0" fontId="67" fillId="0" borderId="31" xfId="0" applyFont="1" applyFill="1" applyBorder="1" applyProtection="1"/>
    <xf numFmtId="0" fontId="67" fillId="0" borderId="32" xfId="0" applyFont="1" applyFill="1" applyBorder="1" applyProtection="1"/>
    <xf numFmtId="3" fontId="67" fillId="31" borderId="12" xfId="0" applyNumberFormat="1" applyFont="1" applyFill="1" applyBorder="1" applyAlignment="1" applyProtection="1">
      <alignment vertical="center"/>
      <protection locked="0"/>
    </xf>
    <xf numFmtId="3" fontId="67" fillId="31" borderId="33" xfId="0" applyNumberFormat="1" applyFont="1" applyFill="1" applyBorder="1" applyAlignment="1" applyProtection="1">
      <alignment vertical="center"/>
      <protection locked="0"/>
    </xf>
    <xf numFmtId="43" fontId="28" fillId="0" borderId="0" xfId="0" applyNumberFormat="1" applyFont="1" applyAlignment="1" applyProtection="1">
      <alignment horizontal="right"/>
    </xf>
    <xf numFmtId="167" fontId="28" fillId="0" borderId="0" xfId="51"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43" fontId="28" fillId="0" borderId="0" xfId="0" applyNumberFormat="1" applyFont="1" applyProtection="1"/>
    <xf numFmtId="43" fontId="28" fillId="0" borderId="0" xfId="0" applyNumberFormat="1" applyFont="1" applyBorder="1" applyProtection="1"/>
    <xf numFmtId="43" fontId="28" fillId="0" borderId="0" xfId="0" applyNumberFormat="1" applyFont="1" applyBorder="1" applyAlignment="1" applyProtection="1">
      <alignment horizontal="right"/>
    </xf>
    <xf numFmtId="167" fontId="28" fillId="0" borderId="0" xfId="51"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2" xfId="0" applyFont="1" applyBorder="1" applyAlignment="1" applyProtection="1">
      <alignment horizontal="center" vertical="center" wrapText="1"/>
    </xf>
    <xf numFmtId="3" fontId="28" fillId="0" borderId="12" xfId="0" applyNumberFormat="1" applyFont="1" applyBorder="1" applyAlignment="1" applyProtection="1">
      <alignment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4"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8"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9"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9" borderId="0" xfId="0" applyFont="1" applyFill="1" applyBorder="1" applyAlignment="1" applyProtection="1">
      <alignment horizontal="left" vertical="center"/>
    </xf>
    <xf numFmtId="170" fontId="52" fillId="29" borderId="0" xfId="0" applyNumberFormat="1" applyFont="1" applyFill="1" applyBorder="1" applyAlignment="1" applyProtection="1">
      <alignment vertical="center"/>
    </xf>
    <xf numFmtId="0" fontId="53" fillId="29" borderId="0" xfId="0" applyNumberFormat="1" applyFont="1" applyFill="1" applyBorder="1" applyAlignment="1" applyProtection="1">
      <alignment horizontal="right"/>
    </xf>
    <xf numFmtId="0" fontId="63" fillId="29" borderId="0" xfId="0" applyFont="1" applyFill="1" applyBorder="1" applyAlignment="1" applyProtection="1">
      <alignment horizontal="center" vertical="center"/>
    </xf>
    <xf numFmtId="0" fontId="54" fillId="29" borderId="0" xfId="0" applyFont="1" applyFill="1" applyBorder="1" applyAlignment="1" applyProtection="1">
      <alignment horizontal="center" vertical="center"/>
    </xf>
    <xf numFmtId="169" fontId="52" fillId="29" borderId="0" xfId="112" applyNumberFormat="1" applyFont="1" applyFill="1" applyBorder="1" applyAlignment="1" applyProtection="1">
      <alignment horizontal="right"/>
    </xf>
    <xf numFmtId="9" fontId="55" fillId="29" borderId="0" xfId="0" applyNumberFormat="1" applyFont="1" applyFill="1" applyBorder="1" applyProtection="1"/>
    <xf numFmtId="0" fontId="56" fillId="29" borderId="0" xfId="0" applyFont="1" applyFill="1" applyBorder="1" applyAlignment="1" applyProtection="1">
      <alignment horizontal="center" vertical="center"/>
    </xf>
    <xf numFmtId="9" fontId="55" fillId="29"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4" xfId="0" applyNumberFormat="1" applyFont="1" applyFill="1" applyBorder="1" applyAlignment="1" applyProtection="1">
      <alignment horizontal="right"/>
    </xf>
    <xf numFmtId="0" fontId="53" fillId="0" borderId="35" xfId="0" applyNumberFormat="1" applyFont="1" applyFill="1" applyBorder="1" applyAlignment="1" applyProtection="1">
      <alignment horizontal="right"/>
    </xf>
    <xf numFmtId="0" fontId="53" fillId="0" borderId="36"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7" xfId="0" applyNumberFormat="1" applyFont="1" applyFill="1" applyBorder="1" applyAlignment="1" applyProtection="1">
      <alignment horizontal="right"/>
    </xf>
    <xf numFmtId="9" fontId="55" fillId="0" borderId="0" xfId="0" applyNumberFormat="1" applyFont="1" applyFill="1" applyBorder="1" applyProtection="1"/>
    <xf numFmtId="0" fontId="53" fillId="0" borderId="38" xfId="0" applyNumberFormat="1" applyFont="1" applyFill="1" applyBorder="1" applyAlignment="1" applyProtection="1">
      <alignment horizontal="right"/>
    </xf>
    <xf numFmtId="0" fontId="53" fillId="0" borderId="39" xfId="0" applyNumberFormat="1" applyFont="1" applyFill="1" applyBorder="1" applyAlignment="1" applyProtection="1">
      <alignment horizontal="right"/>
    </xf>
    <xf numFmtId="0" fontId="34" fillId="0" borderId="40" xfId="0" applyNumberFormat="1" applyFont="1" applyFill="1" applyBorder="1" applyAlignment="1" applyProtection="1">
      <alignment vertical="center"/>
    </xf>
    <xf numFmtId="0" fontId="34" fillId="0" borderId="41" xfId="0" applyNumberFormat="1" applyFont="1" applyFill="1" applyBorder="1" applyAlignment="1" applyProtection="1">
      <alignment vertical="center"/>
    </xf>
    <xf numFmtId="0" fontId="34" fillId="0" borderId="42"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43"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7" fillId="0" borderId="0" xfId="0" applyNumberFormat="1" applyFont="1" applyBorder="1" applyProtection="1"/>
    <xf numFmtId="43" fontId="37" fillId="0" borderId="0" xfId="0" applyNumberFormat="1" applyFont="1" applyProtection="1"/>
    <xf numFmtId="167" fontId="6" fillId="0" borderId="0" xfId="51" applyNumberFormat="1" applyFont="1" applyFill="1" applyBorder="1" applyAlignment="1" applyProtection="1">
      <protection locked="0"/>
    </xf>
    <xf numFmtId="167" fontId="6" fillId="0" borderId="0" xfId="51" applyNumberFormat="1" applyFont="1" applyFill="1" applyBorder="1" applyProtection="1">
      <protection locked="0"/>
    </xf>
    <xf numFmtId="0" fontId="0" fillId="0" borderId="0" xfId="0" applyBorder="1" applyAlignment="1">
      <alignment horizontal="center"/>
    </xf>
    <xf numFmtId="0" fontId="15" fillId="29" borderId="0" xfId="0" applyFont="1" applyFill="1"/>
    <xf numFmtId="166" fontId="15" fillId="29" borderId="0" xfId="0" applyNumberFormat="1" applyFont="1" applyFill="1"/>
    <xf numFmtId="167" fontId="15" fillId="29" borderId="0" xfId="0" applyNumberFormat="1" applyFont="1" applyFill="1"/>
    <xf numFmtId="3" fontId="15" fillId="29" borderId="0" xfId="0" applyNumberFormat="1" applyFont="1" applyFill="1" applyProtection="1"/>
    <xf numFmtId="166" fontId="15" fillId="29"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9" borderId="0" xfId="0" applyFill="1" applyBorder="1" applyAlignment="1">
      <alignment horizontal="center"/>
    </xf>
    <xf numFmtId="0" fontId="28" fillId="0" borderId="43" xfId="0" applyFont="1" applyFill="1" applyBorder="1" applyAlignment="1" applyProtection="1">
      <alignment horizontal="center" wrapText="1"/>
    </xf>
    <xf numFmtId="0" fontId="28" fillId="0" borderId="44" xfId="0" applyFont="1" applyFill="1" applyBorder="1" applyAlignment="1" applyProtection="1">
      <alignment horizontal="center" wrapText="1"/>
    </xf>
    <xf numFmtId="0" fontId="0" fillId="0" borderId="44" xfId="0" applyBorder="1" applyProtection="1"/>
    <xf numFmtId="43" fontId="17" fillId="0" borderId="0" xfId="92" applyFont="1" applyFill="1" applyAlignment="1" applyProtection="1">
      <alignment horizontal="center" vertical="center"/>
    </xf>
    <xf numFmtId="43" fontId="16" fillId="0" borderId="0" xfId="92" applyFont="1" applyFill="1" applyAlignment="1" applyProtection="1">
      <alignment vertical="center"/>
    </xf>
    <xf numFmtId="0" fontId="84" fillId="0" borderId="0" xfId="0" applyFont="1"/>
    <xf numFmtId="43" fontId="14" fillId="0" borderId="0" xfId="0" applyNumberFormat="1" applyFont="1" applyAlignment="1" applyProtection="1">
      <alignment horizontal="center"/>
    </xf>
    <xf numFmtId="43" fontId="20" fillId="0" borderId="45" xfId="117" applyFont="1" applyBorder="1" applyAlignment="1" applyProtection="1">
      <alignment horizontal="right"/>
    </xf>
    <xf numFmtId="0" fontId="12" fillId="0" borderId="0" xfId="0" applyFont="1"/>
    <xf numFmtId="0" fontId="0" fillId="29" borderId="0" xfId="0" applyFill="1" applyProtection="1"/>
    <xf numFmtId="0" fontId="0" fillId="29" borderId="46" xfId="0" applyFill="1" applyBorder="1" applyProtection="1"/>
    <xf numFmtId="43" fontId="90" fillId="0" borderId="0" xfId="0" applyNumberFormat="1" applyFont="1"/>
    <xf numFmtId="0" fontId="90" fillId="0" borderId="0" xfId="0" applyFont="1"/>
    <xf numFmtId="43" fontId="0" fillId="0" borderId="0" xfId="0" quotePrefix="1" applyNumberFormat="1"/>
    <xf numFmtId="43" fontId="0" fillId="0" borderId="0" xfId="0" applyNumberFormat="1"/>
    <xf numFmtId="0" fontId="34" fillId="0" borderId="47" xfId="0" applyNumberFormat="1" applyFont="1" applyFill="1" applyBorder="1" applyAlignment="1" applyProtection="1">
      <alignment vertical="center"/>
    </xf>
    <xf numFmtId="43" fontId="154" fillId="0" borderId="0" xfId="103" applyFill="1" applyBorder="1" applyAlignment="1" applyProtection="1">
      <alignment horizontal="center"/>
    </xf>
    <xf numFmtId="0" fontId="34" fillId="0" borderId="0" xfId="0" quotePrefix="1" applyFont="1" applyProtection="1"/>
    <xf numFmtId="0" fontId="63" fillId="0" borderId="31" xfId="0" applyFont="1" applyBorder="1" applyAlignment="1">
      <alignment horizontal="justify"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9" fillId="0" borderId="48" xfId="0" applyFont="1" applyBorder="1" applyAlignment="1">
      <alignment horizontal="justify" vertical="center" wrapText="1"/>
    </xf>
    <xf numFmtId="43" fontId="92" fillId="0" borderId="30" xfId="120" applyFont="1" applyFill="1" applyBorder="1" applyAlignment="1" applyProtection="1"/>
    <xf numFmtId="43" fontId="9" fillId="0" borderId="30" xfId="120" applyFont="1" applyFill="1" applyBorder="1" applyAlignment="1" applyProtection="1">
      <alignment vertical="center"/>
    </xf>
    <xf numFmtId="3" fontId="67" fillId="32" borderId="12" xfId="0" applyNumberFormat="1" applyFont="1" applyFill="1" applyBorder="1" applyAlignment="1" applyProtection="1">
      <alignment vertical="center"/>
      <protection locked="0"/>
    </xf>
    <xf numFmtId="0" fontId="88" fillId="0" borderId="31" xfId="0" applyFont="1" applyBorder="1" applyAlignment="1">
      <alignment vertical="center" wrapText="1"/>
    </xf>
    <xf numFmtId="0" fontId="88" fillId="0" borderId="48" xfId="0" applyFont="1" applyBorder="1" applyAlignment="1">
      <alignment vertical="center" wrapText="1"/>
    </xf>
    <xf numFmtId="0" fontId="2" fillId="0" borderId="50" xfId="0" applyFont="1" applyFill="1" applyBorder="1" applyAlignment="1" applyProtection="1">
      <alignment horizontal="center"/>
    </xf>
    <xf numFmtId="0" fontId="67" fillId="0" borderId="12" xfId="0" applyFont="1" applyFill="1" applyBorder="1" applyAlignment="1" applyProtection="1">
      <alignment horizontal="center"/>
    </xf>
    <xf numFmtId="0" fontId="1" fillId="0" borderId="0" xfId="0" applyFont="1"/>
    <xf numFmtId="0" fontId="95" fillId="0" borderId="0" xfId="0" applyFont="1"/>
    <xf numFmtId="0" fontId="63" fillId="31" borderId="31" xfId="0" applyFont="1" applyFill="1" applyBorder="1" applyAlignment="1">
      <alignment horizontal="justify" vertical="center" wrapText="1"/>
    </xf>
    <xf numFmtId="0" fontId="89" fillId="31" borderId="48" xfId="0" applyFont="1" applyFill="1" applyBorder="1" applyAlignment="1">
      <alignment horizontal="justify" vertical="center" wrapText="1"/>
    </xf>
    <xf numFmtId="0" fontId="89" fillId="31" borderId="49" xfId="0" applyFont="1" applyFill="1" applyBorder="1" applyAlignment="1">
      <alignment horizontal="justify" vertical="center" wrapText="1"/>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43" fontId="97" fillId="0" borderId="30" xfId="120" applyFont="1" applyFill="1" applyBorder="1" applyAlignment="1" applyProtection="1">
      <alignment vertical="center"/>
    </xf>
    <xf numFmtId="0" fontId="96" fillId="0" borderId="0" xfId="0" applyFont="1" applyFill="1"/>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33" borderId="12" xfId="0" applyNumberFormat="1" applyFont="1" applyFill="1" applyBorder="1" applyAlignment="1" applyProtection="1">
      <alignment horizontal="center"/>
      <protection locked="0"/>
    </xf>
    <xf numFmtId="1" fontId="21" fillId="33" borderId="51" xfId="0" applyNumberFormat="1" applyFont="1" applyFill="1" applyBorder="1" applyAlignment="1" applyProtection="1">
      <alignment horizontal="center"/>
      <protection locked="0"/>
    </xf>
    <xf numFmtId="1" fontId="0" fillId="33" borderId="12" xfId="0" applyNumberFormat="1" applyFill="1" applyBorder="1" applyAlignment="1" applyProtection="1">
      <alignment horizontal="center"/>
      <protection locked="0"/>
    </xf>
    <xf numFmtId="167" fontId="0" fillId="0" borderId="0" xfId="0" applyNumberFormat="1" applyProtection="1"/>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43" fontId="20" fillId="0" borderId="0" xfId="97" applyFont="1" applyFill="1" applyAlignment="1" applyProtection="1">
      <alignment horizontal="right" vertical="center"/>
    </xf>
    <xf numFmtId="0" fontId="102" fillId="0" borderId="0" xfId="0" applyFont="1" applyFill="1" applyBorder="1" applyAlignment="1" applyProtection="1">
      <alignment horizontal="right"/>
    </xf>
    <xf numFmtId="0" fontId="63" fillId="31" borderId="31" xfId="0" applyFont="1" applyFill="1" applyBorder="1" applyAlignment="1">
      <alignment horizontal="left" vertical="center" wrapText="1"/>
    </xf>
    <xf numFmtId="0" fontId="63" fillId="31" borderId="48" xfId="0" applyFont="1" applyFill="1" applyBorder="1" applyAlignment="1">
      <alignment horizontal="left" vertical="center" wrapText="1"/>
    </xf>
    <xf numFmtId="0" fontId="63" fillId="31" borderId="49" xfId="0" applyFont="1" applyFill="1" applyBorder="1" applyAlignment="1">
      <alignment horizontal="left" vertical="center" wrapText="1"/>
    </xf>
    <xf numFmtId="43" fontId="103" fillId="0" borderId="16" xfId="120" applyFont="1" applyFill="1" applyBorder="1" applyAlignment="1" applyProtection="1">
      <alignment horizontal="left" vertical="center"/>
    </xf>
    <xf numFmtId="0" fontId="104" fillId="0" borderId="0" xfId="0" applyFont="1" applyFill="1" applyBorder="1" applyProtection="1"/>
    <xf numFmtId="0" fontId="102" fillId="0" borderId="0" xfId="0" applyFont="1" applyBorder="1" applyProtection="1"/>
    <xf numFmtId="3" fontId="6" fillId="0" borderId="0" xfId="0" applyNumberFormat="1" applyFont="1" applyAlignment="1" applyProtection="1">
      <alignment horizontal="right"/>
    </xf>
    <xf numFmtId="15" fontId="101" fillId="0" borderId="0" xfId="0" applyNumberFormat="1" applyFont="1" applyFill="1" applyBorder="1" applyAlignment="1" applyProtection="1">
      <alignment horizontal="left"/>
    </xf>
    <xf numFmtId="0" fontId="107" fillId="0" borderId="0" xfId="0" applyFont="1" applyFill="1" applyBorder="1" applyAlignment="1" applyProtection="1">
      <alignment horizontal="center" wrapText="1"/>
    </xf>
    <xf numFmtId="0" fontId="102" fillId="0" borderId="0" xfId="0" applyFont="1" applyFill="1" applyBorder="1" applyAlignment="1" applyProtection="1">
      <alignment horizontal="center"/>
    </xf>
    <xf numFmtId="3" fontId="2" fillId="31"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0" fontId="0" fillId="0" borderId="0" xfId="0" quotePrefix="1" applyProtection="1"/>
    <xf numFmtId="15" fontId="32" fillId="0" borderId="52"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77" fillId="0" borderId="53" xfId="0" applyFont="1" applyFill="1" applyBorder="1" applyAlignment="1" applyProtection="1">
      <alignment horizontal="center" vertical="center"/>
    </xf>
    <xf numFmtId="0" fontId="113" fillId="0" borderId="0" xfId="0" applyFont="1" applyBorder="1" applyAlignment="1" applyProtection="1">
      <alignment horizontal="right"/>
    </xf>
    <xf numFmtId="0" fontId="113" fillId="0" borderId="0" xfId="0" applyFont="1" applyAlignment="1" applyProtection="1">
      <alignment horizontal="right"/>
    </xf>
    <xf numFmtId="0" fontId="113" fillId="0" borderId="54" xfId="0" applyFont="1" applyBorder="1" applyAlignment="1" applyProtection="1">
      <alignment horizontal="right"/>
    </xf>
    <xf numFmtId="43" fontId="112" fillId="0" borderId="0" xfId="81" applyFont="1" applyFill="1" applyAlignment="1" applyProtection="1">
      <alignment vertical="center"/>
    </xf>
    <xf numFmtId="0" fontId="113" fillId="0" borderId="0" xfId="0" applyFont="1" applyProtection="1"/>
    <xf numFmtId="0" fontId="113" fillId="0" borderId="0" xfId="0" applyFont="1" applyBorder="1" applyProtection="1"/>
    <xf numFmtId="15" fontId="1" fillId="0" borderId="12" xfId="117"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0" fontId="0" fillId="0" borderId="0" xfId="0" applyFill="1" applyBorder="1" applyProtection="1">
      <protection locked="0"/>
    </xf>
    <xf numFmtId="0" fontId="6" fillId="0" borderId="55" xfId="0" applyFont="1" applyBorder="1" applyAlignment="1" applyProtection="1"/>
    <xf numFmtId="0" fontId="6" fillId="0" borderId="56" xfId="0" applyFont="1" applyBorder="1" applyAlignment="1" applyProtection="1"/>
    <xf numFmtId="0" fontId="25" fillId="0" borderId="57" xfId="0" applyFont="1" applyBorder="1" applyAlignment="1" applyProtection="1">
      <alignment vertical="distributed"/>
    </xf>
    <xf numFmtId="15" fontId="27" fillId="0" borderId="58"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08" fillId="0" borderId="0" xfId="0" applyFont="1" applyFill="1" applyBorder="1" applyAlignment="1" applyProtection="1">
      <alignment horizontal="left"/>
      <protection locked="0"/>
    </xf>
    <xf numFmtId="0" fontId="26" fillId="0" borderId="59" xfId="0" applyFont="1" applyFill="1" applyBorder="1" applyAlignment="1" applyProtection="1"/>
    <xf numFmtId="15" fontId="26" fillId="0" borderId="12" xfId="0" applyNumberFormat="1" applyFont="1" applyFill="1" applyBorder="1" applyAlignment="1" applyProtection="1">
      <alignment horizontal="center"/>
    </xf>
    <xf numFmtId="15" fontId="26" fillId="0" borderId="60" xfId="0" applyNumberFormat="1" applyFont="1" applyFill="1" applyBorder="1" applyAlignment="1" applyProtection="1">
      <alignment horizontal="center"/>
    </xf>
    <xf numFmtId="0" fontId="32" fillId="34" borderId="61" xfId="0" applyFont="1" applyFill="1" applyBorder="1" applyAlignment="1" applyProtection="1">
      <alignment horizontal="centerContinuous"/>
    </xf>
    <xf numFmtId="15" fontId="109" fillId="0" borderId="44" xfId="0" applyNumberFormat="1" applyFont="1" applyFill="1" applyBorder="1" applyAlignment="1" applyProtection="1">
      <alignment horizontal="center" wrapText="1"/>
    </xf>
    <xf numFmtId="15" fontId="109" fillId="0" borderId="62" xfId="0" applyNumberFormat="1" applyFont="1" applyFill="1" applyBorder="1" applyAlignment="1" applyProtection="1">
      <alignment horizontal="center" wrapText="1"/>
    </xf>
    <xf numFmtId="0" fontId="37" fillId="0" borderId="59" xfId="0" applyFont="1" applyFill="1" applyBorder="1" applyAlignment="1" applyProtection="1">
      <alignment horizontal="center"/>
    </xf>
    <xf numFmtId="0" fontId="37" fillId="0" borderId="63" xfId="0" applyFont="1" applyFill="1" applyBorder="1" applyAlignment="1" applyProtection="1">
      <alignment horizontal="center"/>
    </xf>
    <xf numFmtId="0" fontId="32" fillId="34" borderId="64"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1" fillId="0" borderId="0" xfId="0" applyFont="1" applyFill="1" applyBorder="1" applyAlignment="1" applyProtection="1">
      <alignment horizontal="center"/>
    </xf>
    <xf numFmtId="0" fontId="106"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26" xfId="0" applyNumberFormat="1" applyFill="1" applyBorder="1" applyAlignment="1" applyProtection="1">
      <alignment horizontal="center"/>
    </xf>
    <xf numFmtId="1" fontId="0" fillId="33" borderId="51" xfId="0" applyNumberFormat="1" applyFill="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65" xfId="0" applyBorder="1" applyAlignment="1" applyProtection="1">
      <alignment horizontal="center"/>
    </xf>
    <xf numFmtId="0" fontId="0" fillId="0" borderId="44" xfId="0" applyFill="1" applyBorder="1" applyAlignment="1" applyProtection="1">
      <alignment horizontal="center"/>
    </xf>
    <xf numFmtId="0" fontId="1" fillId="0" borderId="43" xfId="0" applyFont="1" applyFill="1" applyBorder="1" applyAlignment="1" applyProtection="1">
      <alignment horizontal="center" wrapText="1"/>
    </xf>
    <xf numFmtId="0" fontId="0" fillId="0" borderId="43" xfId="0" applyBorder="1" applyAlignment="1">
      <alignment horizontal="center" wrapText="1"/>
    </xf>
    <xf numFmtId="0" fontId="28" fillId="0" borderId="43" xfId="0" applyFont="1" applyBorder="1" applyAlignment="1">
      <alignment horizontal="center" wrapText="1"/>
    </xf>
    <xf numFmtId="0" fontId="1" fillId="0" borderId="62" xfId="0" applyFont="1" applyFill="1" applyBorder="1" applyAlignment="1" applyProtection="1">
      <alignment horizontal="center" wrapText="1"/>
    </xf>
    <xf numFmtId="3" fontId="67" fillId="32" borderId="33" xfId="0" applyNumberFormat="1" applyFont="1" applyFill="1" applyBorder="1" applyAlignment="1" applyProtection="1">
      <alignment vertical="center"/>
      <protection locked="0"/>
    </xf>
    <xf numFmtId="3" fontId="67" fillId="32" borderId="12" xfId="0" applyNumberFormat="1" applyFont="1" applyFill="1" applyBorder="1" applyAlignment="1" applyProtection="1">
      <alignment horizontal="right" vertical="center"/>
      <protection locked="0"/>
    </xf>
    <xf numFmtId="3" fontId="2" fillId="32" borderId="12" xfId="0" applyNumberFormat="1" applyFont="1" applyFill="1" applyBorder="1" applyAlignment="1" applyProtection="1">
      <alignment horizontal="right" vertical="center"/>
      <protection locked="0"/>
    </xf>
    <xf numFmtId="0" fontId="77" fillId="0" borderId="66" xfId="0" applyFont="1" applyFill="1" applyBorder="1" applyAlignment="1" applyProtection="1">
      <alignment horizontal="center" vertical="center"/>
    </xf>
    <xf numFmtId="43" fontId="114" fillId="0" borderId="22" xfId="120" applyFont="1" applyFill="1" applyBorder="1" applyAlignment="1" applyProtection="1">
      <alignment vertical="center"/>
    </xf>
    <xf numFmtId="0" fontId="24" fillId="0" borderId="0" xfId="0" applyFont="1" applyProtection="1"/>
    <xf numFmtId="43" fontId="109" fillId="0" borderId="0" xfId="0" applyNumberFormat="1" applyFont="1" applyBorder="1" applyAlignment="1" applyProtection="1">
      <alignment vertical="center" wrapText="1"/>
    </xf>
    <xf numFmtId="0" fontId="109" fillId="0" borderId="0" xfId="0" applyFont="1" applyFill="1" applyBorder="1" applyAlignment="1" applyProtection="1">
      <alignment wrapText="1"/>
    </xf>
    <xf numFmtId="43" fontId="20" fillId="0" borderId="45" xfId="117" applyFont="1" applyFill="1" applyBorder="1" applyAlignment="1" applyProtection="1">
      <alignment horizontal="right"/>
    </xf>
    <xf numFmtId="0" fontId="28" fillId="0" borderId="67" xfId="0" applyFont="1" applyFill="1" applyBorder="1" applyAlignment="1" applyProtection="1">
      <alignment wrapText="1"/>
    </xf>
    <xf numFmtId="0" fontId="34" fillId="0" borderId="68" xfId="0" applyFont="1" applyFill="1" applyBorder="1" applyAlignment="1" applyProtection="1">
      <alignment horizontal="center" wrapText="1"/>
    </xf>
    <xf numFmtId="0" fontId="21" fillId="29" borderId="31" xfId="0" applyFont="1" applyFill="1" applyBorder="1" applyAlignment="1" applyProtection="1"/>
    <xf numFmtId="0" fontId="21" fillId="29" borderId="69" xfId="0" applyFont="1" applyFill="1" applyBorder="1" applyAlignment="1" applyProtection="1"/>
    <xf numFmtId="0" fontId="28" fillId="0" borderId="0" xfId="0" applyFont="1" applyFill="1" applyBorder="1" applyAlignment="1" applyProtection="1">
      <alignment wrapText="1"/>
    </xf>
    <xf numFmtId="9" fontId="111" fillId="35" borderId="12" xfId="112" applyFont="1" applyFill="1" applyBorder="1" applyAlignment="1" applyProtection="1">
      <alignment horizontal="center" vertical="center" wrapText="1"/>
    </xf>
    <xf numFmtId="43" fontId="28" fillId="0" borderId="0" xfId="0" applyNumberFormat="1" applyFont="1" applyAlignment="1" applyProtection="1"/>
    <xf numFmtId="15" fontId="28" fillId="0" borderId="0" xfId="0" applyNumberFormat="1" applyFont="1"/>
    <xf numFmtId="0" fontId="0" fillId="0" borderId="30" xfId="0" applyFill="1" applyBorder="1" applyProtection="1"/>
    <xf numFmtId="43" fontId="115" fillId="0" borderId="30" xfId="120" applyFont="1" applyFill="1" applyBorder="1" applyAlignment="1" applyProtection="1">
      <alignment vertical="center"/>
    </xf>
    <xf numFmtId="0" fontId="0" fillId="0" borderId="30" xfId="0" applyBorder="1" applyProtection="1"/>
    <xf numFmtId="0" fontId="0" fillId="0" borderId="30" xfId="0" applyBorder="1"/>
    <xf numFmtId="9" fontId="15" fillId="0" borderId="0" xfId="112" applyFont="1" applyProtection="1"/>
    <xf numFmtId="14" fontId="24" fillId="33" borderId="45" xfId="117" applyNumberFormat="1" applyFont="1" applyFill="1" applyBorder="1" applyAlignment="1" applyProtection="1">
      <alignment horizontal="center" vertical="center"/>
    </xf>
    <xf numFmtId="43" fontId="24" fillId="33" borderId="45" xfId="117" applyFont="1" applyFill="1" applyBorder="1" applyAlignment="1" applyProtection="1">
      <alignment horizontal="center" vertical="center"/>
    </xf>
    <xf numFmtId="15" fontId="24" fillId="33" borderId="45" xfId="117" applyNumberFormat="1" applyFont="1" applyFill="1" applyBorder="1" applyAlignment="1" applyProtection="1">
      <alignment horizontal="center" vertical="center"/>
    </xf>
    <xf numFmtId="173" fontId="24" fillId="33" borderId="45" xfId="117" applyNumberFormat="1" applyFont="1" applyFill="1" applyBorder="1" applyAlignment="1" applyProtection="1">
      <alignment horizontal="center"/>
    </xf>
    <xf numFmtId="3" fontId="24" fillId="33" borderId="45" xfId="117" applyNumberFormat="1" applyFont="1" applyFill="1" applyBorder="1" applyAlignment="1" applyProtection="1">
      <alignment horizontal="center"/>
    </xf>
    <xf numFmtId="43" fontId="24" fillId="33"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43" fontId="90" fillId="0" borderId="0" xfId="0" applyNumberFormat="1" applyFont="1" applyAlignment="1"/>
    <xf numFmtId="0" fontId="34" fillId="0" borderId="43" xfId="0" applyFont="1" applyFill="1" applyBorder="1" applyAlignment="1" applyProtection="1">
      <alignment horizontal="center" wrapText="1"/>
    </xf>
    <xf numFmtId="0" fontId="67" fillId="0" borderId="70" xfId="0" applyFont="1" applyFill="1" applyBorder="1" applyProtection="1"/>
    <xf numFmtId="0" fontId="30" fillId="31" borderId="0" xfId="0" applyFont="1" applyFill="1" applyBorder="1" applyAlignment="1" applyProtection="1">
      <alignment horizontal="left"/>
      <protection locked="0"/>
    </xf>
    <xf numFmtId="0" fontId="34" fillId="31" borderId="0" xfId="0" applyFont="1" applyFill="1" applyBorder="1" applyAlignment="1" applyProtection="1">
      <alignment horizontal="left"/>
      <protection locked="0"/>
    </xf>
    <xf numFmtId="0" fontId="34" fillId="31" borderId="0" xfId="0" applyFont="1" applyFill="1" applyAlignment="1" applyProtection="1">
      <alignment horizontal="left"/>
      <protection locked="0"/>
    </xf>
    <xf numFmtId="49" fontId="0" fillId="0" borderId="0" xfId="0" applyNumberFormat="1" applyProtection="1"/>
    <xf numFmtId="0" fontId="0" fillId="33" borderId="51" xfId="0" applyNumberFormat="1" applyFill="1" applyBorder="1" applyAlignment="1" applyProtection="1">
      <alignment horizontal="center"/>
      <protection locked="0"/>
    </xf>
    <xf numFmtId="0" fontId="0" fillId="0" borderId="28" xfId="0" applyNumberFormat="1" applyFill="1" applyBorder="1" applyAlignment="1" applyProtection="1">
      <alignment horizontal="center"/>
    </xf>
    <xf numFmtId="0" fontId="0" fillId="33" borderId="28" xfId="0" applyNumberFormat="1" applyFill="1" applyBorder="1" applyAlignment="1" applyProtection="1">
      <alignment horizontal="center"/>
      <protection locked="0"/>
    </xf>
    <xf numFmtId="3" fontId="0" fillId="33" borderId="12" xfId="0" applyNumberFormat="1" applyFill="1" applyBorder="1" applyAlignment="1" applyProtection="1">
      <alignment horizontal="right" wrapText="1"/>
      <protection locked="0"/>
    </xf>
    <xf numFmtId="3" fontId="0" fillId="0" borderId="12" xfId="0" applyNumberFormat="1" applyBorder="1" applyAlignment="1" applyProtection="1">
      <alignment horizontal="right" wrapText="1"/>
    </xf>
    <xf numFmtId="3" fontId="0" fillId="0" borderId="12" xfId="0" applyNumberFormat="1" applyFill="1" applyBorder="1" applyProtection="1"/>
    <xf numFmtId="172" fontId="21" fillId="29" borderId="0" xfId="0" applyNumberFormat="1" applyFont="1" applyFill="1"/>
    <xf numFmtId="4" fontId="0" fillId="0" borderId="0" xfId="0" applyNumberFormat="1" applyFill="1" applyBorder="1" applyProtection="1">
      <protection locked="0"/>
    </xf>
    <xf numFmtId="4" fontId="0" fillId="0" borderId="0" xfId="0" applyNumberFormat="1" applyProtection="1"/>
    <xf numFmtId="166" fontId="32" fillId="28" borderId="72" xfId="0" applyNumberFormat="1" applyFont="1" applyFill="1" applyBorder="1" applyAlignment="1" applyProtection="1">
      <alignment horizontal="center"/>
      <protection locked="0"/>
    </xf>
    <xf numFmtId="166" fontId="32" fillId="28" borderId="73" xfId="0" applyNumberFormat="1" applyFont="1" applyFill="1" applyBorder="1" applyAlignment="1" applyProtection="1">
      <alignment horizontal="center"/>
      <protection locked="0"/>
    </xf>
    <xf numFmtId="166" fontId="32" fillId="28" borderId="74" xfId="0" applyNumberFormat="1" applyFont="1" applyFill="1" applyBorder="1" applyAlignment="1" applyProtection="1">
      <alignment horizontal="center"/>
      <protection locked="0"/>
    </xf>
    <xf numFmtId="166" fontId="32" fillId="28" borderId="75" xfId="0" applyNumberFormat="1" applyFont="1" applyFill="1" applyBorder="1" applyAlignment="1" applyProtection="1">
      <alignment horizontal="center"/>
      <protection locked="0"/>
    </xf>
    <xf numFmtId="166" fontId="32" fillId="28" borderId="76" xfId="0" applyNumberFormat="1" applyFont="1" applyFill="1" applyBorder="1" applyAlignment="1" applyProtection="1">
      <alignment horizontal="center"/>
      <protection locked="0"/>
    </xf>
    <xf numFmtId="0" fontId="0" fillId="0" borderId="77" xfId="0" applyFill="1" applyBorder="1" applyAlignment="1" applyProtection="1">
      <alignment horizontal="center"/>
    </xf>
    <xf numFmtId="0" fontId="0" fillId="0" borderId="0" xfId="0" applyBorder="1" applyAlignment="1">
      <alignment horizontal="left" wrapText="1"/>
    </xf>
    <xf numFmtId="43" fontId="35" fillId="0" borderId="0" xfId="0" applyNumberFormat="1" applyFont="1"/>
    <xf numFmtId="0" fontId="0" fillId="0" borderId="0" xfId="0" applyBorder="1" applyAlignment="1">
      <alignment horizontal="left"/>
    </xf>
    <xf numFmtId="43" fontId="1" fillId="0" borderId="45" xfId="117" applyFont="1" applyBorder="1" applyAlignment="1" applyProtection="1">
      <alignment horizontal="right"/>
    </xf>
    <xf numFmtId="43" fontId="123" fillId="0" borderId="0" xfId="99" applyFont="1" applyFill="1" applyBorder="1" applyProtection="1"/>
    <xf numFmtId="3" fontId="28" fillId="34" borderId="72" xfId="0" applyNumberFormat="1" applyFont="1" applyFill="1" applyBorder="1" applyAlignment="1" applyProtection="1">
      <protection locked="0"/>
    </xf>
    <xf numFmtId="3" fontId="28" fillId="34" borderId="78" xfId="0" applyNumberFormat="1" applyFont="1" applyFill="1" applyBorder="1" applyAlignment="1" applyProtection="1">
      <protection locked="0"/>
    </xf>
    <xf numFmtId="3" fontId="28" fillId="0" borderId="12" xfId="0" applyNumberFormat="1" applyFont="1" applyFill="1" applyBorder="1" applyAlignment="1" applyProtection="1"/>
    <xf numFmtId="3" fontId="28" fillId="0" borderId="79" xfId="0" applyNumberFormat="1" applyFont="1" applyFill="1" applyBorder="1" applyAlignment="1" applyProtection="1"/>
    <xf numFmtId="3" fontId="6" fillId="0" borderId="80" xfId="51" applyNumberFormat="1" applyFont="1" applyFill="1" applyBorder="1" applyAlignment="1" applyProtection="1"/>
    <xf numFmtId="3" fontId="6" fillId="0" borderId="81" xfId="51" applyNumberFormat="1" applyFont="1" applyFill="1" applyBorder="1" applyAlignment="1" applyProtection="1"/>
    <xf numFmtId="166" fontId="14" fillId="28" borderId="82" xfId="0" applyNumberFormat="1" applyFont="1" applyFill="1" applyBorder="1" applyAlignment="1" applyProtection="1">
      <alignment horizontal="center"/>
      <protection locked="0"/>
    </xf>
    <xf numFmtId="166" fontId="14" fillId="28" borderId="83" xfId="0" applyNumberFormat="1" applyFont="1" applyFill="1" applyBorder="1" applyAlignment="1" applyProtection="1">
      <alignment horizontal="center"/>
      <protection locked="0"/>
    </xf>
    <xf numFmtId="0" fontId="0" fillId="34" borderId="12" xfId="0" applyFill="1" applyBorder="1" applyProtection="1"/>
    <xf numFmtId="0" fontId="0" fillId="33" borderId="12" xfId="0" applyFill="1" applyBorder="1" applyProtection="1"/>
    <xf numFmtId="3" fontId="1" fillId="34" borderId="84" xfId="51" applyNumberFormat="1" applyFont="1" applyFill="1" applyBorder="1" applyAlignment="1" applyProtection="1">
      <protection locked="0"/>
    </xf>
    <xf numFmtId="3" fontId="1" fillId="34" borderId="84" xfId="51" applyNumberFormat="1" applyFont="1" applyFill="1" applyBorder="1" applyProtection="1">
      <protection locked="0"/>
    </xf>
    <xf numFmtId="49" fontId="25" fillId="0" borderId="85" xfId="0" applyNumberFormat="1" applyFont="1" applyFill="1" applyBorder="1" applyAlignment="1" applyProtection="1">
      <alignment vertical="center" wrapText="1"/>
    </xf>
    <xf numFmtId="0" fontId="91" fillId="0" borderId="86" xfId="0" applyNumberFormat="1" applyFont="1" applyFill="1" applyBorder="1" applyAlignment="1" applyProtection="1">
      <alignment horizontal="center" vertical="center" wrapText="1"/>
    </xf>
    <xf numFmtId="0" fontId="91" fillId="0" borderId="87" xfId="0" applyNumberFormat="1" applyFont="1" applyFill="1" applyBorder="1" applyAlignment="1" applyProtection="1">
      <alignment horizontal="center" vertical="center" wrapText="1"/>
    </xf>
    <xf numFmtId="49" fontId="26" fillId="0" borderId="88" xfId="0" applyNumberFormat="1" applyFont="1" applyFill="1" applyBorder="1" applyAlignment="1" applyProtection="1">
      <alignment wrapText="1"/>
      <protection locked="0"/>
    </xf>
    <xf numFmtId="3" fontId="1" fillId="34" borderId="89" xfId="51" applyNumberFormat="1" applyFont="1" applyFill="1" applyBorder="1" applyProtection="1">
      <protection locked="0"/>
    </xf>
    <xf numFmtId="49" fontId="26" fillId="0" borderId="88" xfId="0" applyNumberFormat="1" applyFont="1" applyFill="1" applyBorder="1" applyAlignment="1" applyProtection="1">
      <protection locked="0"/>
    </xf>
    <xf numFmtId="0" fontId="26" fillId="0" borderId="88" xfId="0" applyFont="1" applyFill="1" applyBorder="1" applyAlignment="1" applyProtection="1">
      <alignment wrapText="1"/>
      <protection locked="0"/>
    </xf>
    <xf numFmtId="0" fontId="0" fillId="0" borderId="90" xfId="0" applyBorder="1" applyAlignment="1" applyProtection="1"/>
    <xf numFmtId="3" fontId="0" fillId="0" borderId="91" xfId="0" applyNumberFormat="1" applyBorder="1" applyProtection="1"/>
    <xf numFmtId="49" fontId="0" fillId="0" borderId="12" xfId="0" applyNumberFormat="1" applyBorder="1" applyAlignment="1" applyProtection="1">
      <alignment horizontal="center"/>
      <protection locked="0"/>
    </xf>
    <xf numFmtId="49" fontId="0" fillId="33" borderId="12" xfId="0" applyNumberFormat="1" applyFill="1" applyBorder="1" applyProtection="1">
      <protection locked="0"/>
    </xf>
    <xf numFmtId="0" fontId="0" fillId="33" borderId="12" xfId="0" applyNumberFormat="1" applyFill="1" applyBorder="1" applyProtection="1">
      <protection locked="0"/>
    </xf>
    <xf numFmtId="0" fontId="0" fillId="0" borderId="12" xfId="0" applyNumberFormat="1" applyFill="1" applyBorder="1" applyProtection="1"/>
    <xf numFmtId="0" fontId="0" fillId="33" borderId="12" xfId="0" applyNumberFormat="1" applyFill="1" applyBorder="1" applyAlignment="1" applyProtection="1">
      <alignment horizontal="center"/>
      <protection locked="0"/>
    </xf>
    <xf numFmtId="49" fontId="0" fillId="33" borderId="71" xfId="0" applyNumberFormat="1" applyFill="1" applyBorder="1" applyAlignment="1" applyProtection="1">
      <alignment horizontal="left"/>
      <protection locked="0"/>
    </xf>
    <xf numFmtId="0" fontId="0" fillId="33" borderId="71" xfId="0" applyNumberFormat="1" applyFill="1" applyBorder="1" applyProtection="1">
      <protection locked="0"/>
    </xf>
    <xf numFmtId="0" fontId="0" fillId="33" borderId="71" xfId="0" applyNumberFormat="1" applyFill="1" applyBorder="1" applyAlignment="1" applyProtection="1">
      <alignment horizontal="center"/>
      <protection locked="0"/>
    </xf>
    <xf numFmtId="43" fontId="154" fillId="34" borderId="92" xfId="120" applyFill="1" applyBorder="1" applyAlignment="1" applyProtection="1">
      <alignment vertical="center"/>
    </xf>
    <xf numFmtId="0" fontId="0" fillId="31" borderId="93" xfId="0" applyFill="1" applyBorder="1"/>
    <xf numFmtId="0" fontId="0" fillId="0" borderId="22" xfId="0" applyBorder="1" applyProtection="1"/>
    <xf numFmtId="43" fontId="39" fillId="33" borderId="94" xfId="120" applyFont="1" applyFill="1" applyBorder="1" applyAlignment="1" applyProtection="1">
      <alignment horizontal="center" vertical="center"/>
    </xf>
    <xf numFmtId="43" fontId="39" fillId="0" borderId="95" xfId="120" applyFont="1" applyFill="1" applyBorder="1" applyAlignment="1" applyProtection="1">
      <alignment vertical="center"/>
    </xf>
    <xf numFmtId="0" fontId="0" fillId="0" borderId="96" xfId="0" applyNumberFormat="1" applyFill="1" applyBorder="1"/>
    <xf numFmtId="15" fontId="27" fillId="0" borderId="97" xfId="0" applyNumberFormat="1" applyFont="1" applyFill="1" applyBorder="1" applyAlignment="1" applyProtection="1">
      <alignment horizontal="center" vertical="center" wrapText="1"/>
    </xf>
    <xf numFmtId="0" fontId="0" fillId="0" borderId="12" xfId="0" quotePrefix="1" applyNumberFormat="1" applyBorder="1" applyAlignment="1">
      <alignment horizontal="center"/>
    </xf>
    <xf numFmtId="3" fontId="67" fillId="0" borderId="12" xfId="0" applyNumberFormat="1" applyFont="1" applyFill="1" applyBorder="1" applyAlignment="1" applyProtection="1">
      <alignment vertical="center"/>
    </xf>
    <xf numFmtId="3" fontId="67" fillId="0" borderId="98" xfId="0" applyNumberFormat="1" applyFont="1" applyFill="1" applyBorder="1" applyAlignment="1" applyProtection="1">
      <alignment vertical="center"/>
    </xf>
    <xf numFmtId="169" fontId="0" fillId="0" borderId="12" xfId="0" applyNumberFormat="1" applyFill="1" applyBorder="1" applyAlignment="1" applyProtection="1">
      <alignment horizontal="center"/>
    </xf>
    <xf numFmtId="169" fontId="15" fillId="36" borderId="99" xfId="0" applyNumberFormat="1" applyFont="1" applyFill="1" applyBorder="1" applyAlignment="1" applyProtection="1">
      <alignment horizontal="center"/>
    </xf>
    <xf numFmtId="169" fontId="21" fillId="36" borderId="99" xfId="0" applyNumberFormat="1" applyFont="1" applyFill="1" applyBorder="1" applyAlignment="1" applyProtection="1">
      <alignment horizontal="center"/>
    </xf>
    <xf numFmtId="49" fontId="84" fillId="0" borderId="12" xfId="0" applyNumberFormat="1" applyFont="1" applyBorder="1" applyAlignment="1" applyProtection="1">
      <alignment horizontal="center"/>
      <protection locked="0"/>
    </xf>
    <xf numFmtId="43" fontId="69" fillId="0" borderId="12" xfId="99" applyFont="1" applyBorder="1" applyAlignment="1" applyProtection="1">
      <alignment horizontal="center"/>
    </xf>
    <xf numFmtId="0" fontId="69" fillId="0" borderId="12" xfId="0" applyFont="1" applyBorder="1" applyAlignment="1" applyProtection="1">
      <alignment horizontal="center"/>
    </xf>
    <xf numFmtId="0" fontId="77" fillId="0" borderId="100" xfId="0" applyFont="1" applyFill="1" applyBorder="1" applyAlignment="1" applyProtection="1">
      <alignment horizontal="center" vertical="center" wrapText="1"/>
    </xf>
    <xf numFmtId="0" fontId="77" fillId="0" borderId="101" xfId="0" applyFont="1" applyFill="1" applyBorder="1" applyAlignment="1" applyProtection="1">
      <alignment horizontal="center"/>
    </xf>
    <xf numFmtId="0" fontId="77" fillId="0" borderId="102" xfId="0" applyFont="1" applyFill="1" applyBorder="1" applyAlignment="1" applyProtection="1">
      <alignment horizontal="center"/>
    </xf>
    <xf numFmtId="0" fontId="77" fillId="0" borderId="103" xfId="0" applyNumberFormat="1" applyFont="1" applyFill="1" applyBorder="1" applyAlignment="1" applyProtection="1">
      <alignment horizontal="center"/>
    </xf>
    <xf numFmtId="0" fontId="77" fillId="0" borderId="104" xfId="0" applyNumberFormat="1" applyFont="1" applyFill="1" applyBorder="1" applyAlignment="1" applyProtection="1">
      <alignment horizontal="center"/>
    </xf>
    <xf numFmtId="0" fontId="77" fillId="0" borderId="104" xfId="0" applyNumberFormat="1" applyFont="1" applyFill="1" applyBorder="1" applyAlignment="1" applyProtection="1">
      <alignment horizontal="center" vertical="center"/>
    </xf>
    <xf numFmtId="0" fontId="77" fillId="0" borderId="105" xfId="0" applyNumberFormat="1" applyFont="1" applyFill="1" applyBorder="1" applyAlignment="1" applyProtection="1">
      <alignment horizontal="center" vertical="center"/>
    </xf>
    <xf numFmtId="0" fontId="81" fillId="0" borderId="106" xfId="0" applyNumberFormat="1" applyFont="1" applyFill="1" applyBorder="1" applyAlignment="1" applyProtection="1">
      <alignment horizontal="center" vertical="center"/>
    </xf>
    <xf numFmtId="0" fontId="81" fillId="0" borderId="107" xfId="0" applyNumberFormat="1" applyFont="1" applyFill="1" applyBorder="1" applyAlignment="1" applyProtection="1">
      <alignment horizontal="center" vertical="center"/>
    </xf>
    <xf numFmtId="0" fontId="81" fillId="0" borderId="108" xfId="0" applyNumberFormat="1" applyFont="1" applyFill="1" applyBorder="1" applyAlignment="1" applyProtection="1">
      <alignment horizontal="center" vertical="center"/>
    </xf>
    <xf numFmtId="0" fontId="77" fillId="0" borderId="109" xfId="0" applyFont="1" applyFill="1" applyBorder="1" applyAlignment="1" applyProtection="1">
      <alignment horizontal="center" vertical="center"/>
    </xf>
    <xf numFmtId="0" fontId="77" fillId="0" borderId="110" xfId="0" applyFont="1" applyFill="1" applyBorder="1" applyAlignment="1" applyProtection="1">
      <alignment horizontal="center" vertical="center"/>
    </xf>
    <xf numFmtId="0" fontId="77" fillId="0" borderId="111" xfId="0" applyFont="1" applyFill="1" applyBorder="1" applyAlignment="1" applyProtection="1">
      <alignment horizontal="center" vertical="center"/>
    </xf>
    <xf numFmtId="0" fontId="77" fillId="0" borderId="112" xfId="0" applyFont="1" applyFill="1" applyBorder="1" applyAlignment="1" applyProtection="1">
      <alignment horizontal="center" vertical="center"/>
    </xf>
    <xf numFmtId="0" fontId="2" fillId="0" borderId="113" xfId="0" applyFont="1" applyFill="1" applyBorder="1" applyAlignment="1" applyProtection="1">
      <alignment horizontal="center"/>
    </xf>
    <xf numFmtId="166" fontId="14" fillId="28" borderId="110" xfId="0" applyNumberFormat="1" applyFont="1" applyFill="1" applyBorder="1" applyAlignment="1" applyProtection="1">
      <alignment horizontal="center"/>
      <protection locked="0"/>
    </xf>
    <xf numFmtId="166" fontId="14" fillId="28" borderId="114" xfId="0" applyNumberFormat="1" applyFont="1" applyFill="1" applyBorder="1" applyAlignment="1" applyProtection="1">
      <alignment horizontal="center"/>
      <protection locked="0"/>
    </xf>
    <xf numFmtId="169" fontId="0" fillId="29" borderId="12" xfId="0" applyNumberFormat="1" applyFill="1" applyBorder="1" applyAlignment="1" applyProtection="1">
      <alignment horizontal="center"/>
    </xf>
    <xf numFmtId="169" fontId="0" fillId="0" borderId="12" xfId="0" applyNumberFormat="1" applyBorder="1" applyAlignment="1" applyProtection="1">
      <alignment horizontal="center"/>
    </xf>
    <xf numFmtId="169" fontId="0" fillId="29" borderId="71" xfId="0" applyNumberFormat="1" applyFill="1" applyBorder="1" applyAlignment="1" applyProtection="1">
      <alignment horizontal="center"/>
    </xf>
    <xf numFmtId="169" fontId="0" fillId="0" borderId="71" xfId="0" applyNumberFormat="1" applyBorder="1" applyAlignment="1" applyProtection="1">
      <alignment horizontal="center"/>
    </xf>
    <xf numFmtId="0" fontId="67" fillId="37" borderId="12" xfId="0" applyFont="1" applyFill="1" applyBorder="1" applyAlignment="1" applyProtection="1">
      <alignment horizontal="center"/>
    </xf>
    <xf numFmtId="0" fontId="67" fillId="38" borderId="12" xfId="0" applyFont="1" applyFill="1" applyBorder="1" applyAlignment="1" applyProtection="1">
      <alignment horizontal="center"/>
    </xf>
    <xf numFmtId="3" fontId="67" fillId="39" borderId="12" xfId="0" applyNumberFormat="1" applyFont="1" applyFill="1" applyBorder="1" applyAlignment="1" applyProtection="1">
      <alignment vertical="center"/>
      <protection locked="0"/>
    </xf>
    <xf numFmtId="3" fontId="2" fillId="39" borderId="12" xfId="0" applyNumberFormat="1" applyFont="1" applyFill="1" applyBorder="1" applyAlignment="1" applyProtection="1">
      <alignment vertical="center"/>
      <protection locked="0"/>
    </xf>
    <xf numFmtId="3" fontId="67" fillId="39" borderId="33" xfId="0" applyNumberFormat="1" applyFont="1" applyFill="1" applyBorder="1" applyAlignment="1" applyProtection="1">
      <alignment vertical="center"/>
      <protection locked="0"/>
    </xf>
    <xf numFmtId="3" fontId="67" fillId="32" borderId="33" xfId="0" applyNumberFormat="1" applyFont="1" applyFill="1" applyBorder="1" applyAlignment="1" applyProtection="1">
      <alignment horizontal="right" vertical="center"/>
      <protection locked="0"/>
    </xf>
    <xf numFmtId="0" fontId="67" fillId="37" borderId="98" xfId="0" applyFont="1" applyFill="1" applyBorder="1" applyAlignment="1" applyProtection="1">
      <alignment horizontal="center"/>
    </xf>
    <xf numFmtId="3" fontId="67" fillId="32" borderId="98" xfId="0" applyNumberFormat="1" applyFont="1" applyFill="1" applyBorder="1" applyAlignment="1" applyProtection="1">
      <alignment horizontal="right" vertical="center"/>
      <protection locked="0"/>
    </xf>
    <xf numFmtId="3" fontId="67" fillId="32" borderId="115" xfId="0" applyNumberFormat="1" applyFont="1" applyFill="1" applyBorder="1" applyAlignment="1" applyProtection="1">
      <alignment horizontal="right" vertical="center"/>
      <protection locked="0"/>
    </xf>
    <xf numFmtId="0" fontId="67" fillId="37" borderId="12" xfId="0" applyFont="1" applyFill="1" applyBorder="1" applyProtection="1"/>
    <xf numFmtId="3" fontId="67" fillId="37" borderId="12" xfId="0" applyNumberFormat="1" applyFont="1" applyFill="1" applyBorder="1" applyAlignment="1" applyProtection="1">
      <alignment vertical="center"/>
    </xf>
    <xf numFmtId="0" fontId="0" fillId="0" borderId="239" xfId="0" applyBorder="1"/>
    <xf numFmtId="0" fontId="0" fillId="0" borderId="71" xfId="0" applyNumberFormat="1" applyFill="1" applyBorder="1" applyProtection="1"/>
    <xf numFmtId="3" fontId="0" fillId="0" borderId="71" xfId="0" applyNumberFormat="1" applyFill="1" applyBorder="1" applyProtection="1"/>
    <xf numFmtId="169" fontId="0" fillId="0" borderId="71" xfId="0" applyNumberFormat="1" applyFill="1" applyBorder="1" applyAlignment="1" applyProtection="1">
      <alignment horizontal="center"/>
    </xf>
    <xf numFmtId="0" fontId="0" fillId="0" borderId="63" xfId="0" applyBorder="1" applyAlignment="1" applyProtection="1">
      <alignment horizontal="center" wrapText="1"/>
    </xf>
    <xf numFmtId="3" fontId="1" fillId="0" borderId="71" xfId="51" applyNumberFormat="1" applyFont="1" applyFill="1" applyBorder="1" applyAlignment="1" applyProtection="1">
      <alignment horizontal="right"/>
    </xf>
    <xf numFmtId="3" fontId="0" fillId="0" borderId="71" xfId="0" applyNumberFormat="1" applyBorder="1" applyAlignment="1" applyProtection="1">
      <alignment horizontal="right" wrapText="1"/>
    </xf>
    <xf numFmtId="0" fontId="0" fillId="46" borderId="28" xfId="0" applyNumberFormat="1" applyFill="1" applyBorder="1" applyAlignment="1" applyProtection="1">
      <alignment horizontal="center"/>
      <protection locked="0"/>
    </xf>
    <xf numFmtId="3" fontId="0" fillId="33" borderId="61" xfId="0" applyNumberFormat="1" applyFill="1" applyBorder="1" applyAlignment="1" applyProtection="1">
      <alignment horizontal="right" wrapText="1"/>
      <protection locked="0"/>
    </xf>
    <xf numFmtId="3" fontId="0" fillId="0" borderId="61" xfId="0" applyNumberFormat="1" applyBorder="1" applyAlignment="1" applyProtection="1">
      <alignment horizontal="right" wrapText="1"/>
    </xf>
    <xf numFmtId="3" fontId="0" fillId="0" borderId="64" xfId="0" applyNumberFormat="1" applyBorder="1" applyAlignment="1" applyProtection="1">
      <alignment horizontal="right" wrapText="1"/>
    </xf>
    <xf numFmtId="169" fontId="0" fillId="0" borderId="61" xfId="0" applyNumberFormat="1" applyFill="1" applyBorder="1" applyProtection="1"/>
    <xf numFmtId="169" fontId="0" fillId="0" borderId="64" xfId="0" applyNumberFormat="1" applyFill="1" applyBorder="1" applyProtection="1"/>
    <xf numFmtId="3" fontId="67" fillId="0" borderId="33" xfId="0" applyNumberFormat="1" applyFont="1" applyFill="1" applyBorder="1" applyAlignment="1" applyProtection="1">
      <alignment vertical="center"/>
    </xf>
    <xf numFmtId="3" fontId="67" fillId="37" borderId="33" xfId="0" applyNumberFormat="1" applyFont="1" applyFill="1" applyBorder="1" applyAlignment="1" applyProtection="1">
      <alignment vertical="center"/>
    </xf>
    <xf numFmtId="3" fontId="67" fillId="0" borderId="240" xfId="0" applyNumberFormat="1" applyFont="1" applyFill="1" applyBorder="1" applyAlignment="1" applyProtection="1">
      <alignment vertical="center"/>
    </xf>
    <xf numFmtId="0" fontId="34" fillId="31" borderId="0" xfId="0" applyFont="1" applyFill="1" applyBorder="1" applyAlignment="1" applyProtection="1">
      <alignment horizontal="left" vertical="top" wrapText="1"/>
      <protection locked="0"/>
    </xf>
    <xf numFmtId="0" fontId="0" fillId="0" borderId="0" xfId="0" applyAlignment="1" applyProtection="1">
      <alignment wrapText="1"/>
    </xf>
    <xf numFmtId="2" fontId="67" fillId="31" borderId="12" xfId="112" applyNumberFormat="1" applyFont="1" applyFill="1" applyBorder="1" applyAlignment="1" applyProtection="1">
      <alignment vertical="center"/>
      <protection locked="0"/>
    </xf>
    <xf numFmtId="177" fontId="6" fillId="0" borderId="0" xfId="51" applyNumberFormat="1" applyFont="1" applyFill="1" applyBorder="1" applyAlignment="1" applyProtection="1">
      <protection locked="0"/>
    </xf>
    <xf numFmtId="178" fontId="67" fillId="31" borderId="12" xfId="0" applyNumberFormat="1" applyFont="1" applyFill="1" applyBorder="1" applyAlignment="1" applyProtection="1">
      <alignment vertical="center"/>
      <protection locked="0"/>
    </xf>
    <xf numFmtId="3" fontId="1" fillId="34" borderId="89" xfId="51" applyNumberFormat="1" applyFont="1" applyFill="1" applyBorder="1" applyAlignment="1" applyProtection="1">
      <alignment horizontal="right"/>
      <protection locked="0"/>
    </xf>
    <xf numFmtId="15" fontId="1" fillId="48" borderId="12" xfId="117" applyNumberFormat="1" applyFont="1" applyFill="1" applyBorder="1" applyAlignment="1" applyProtection="1">
      <alignment horizontal="center"/>
      <protection locked="0"/>
    </xf>
    <xf numFmtId="3" fontId="28" fillId="49" borderId="12" xfId="0" applyNumberFormat="1" applyFont="1" applyFill="1" applyBorder="1" applyAlignment="1" applyProtection="1">
      <alignment vertical="center" wrapText="1"/>
    </xf>
    <xf numFmtId="3" fontId="0" fillId="0" borderId="12" xfId="0" applyNumberFormat="1" applyFill="1" applyBorder="1" applyProtection="1">
      <protection locked="0"/>
    </xf>
    <xf numFmtId="3" fontId="0" fillId="0" borderId="71" xfId="0" applyNumberFormat="1" applyFill="1" applyBorder="1" applyProtection="1">
      <protection locked="0"/>
    </xf>
    <xf numFmtId="43" fontId="0" fillId="0" borderId="0" xfId="51" applyFont="1" applyFill="1" applyBorder="1" applyProtection="1">
      <protection locked="0"/>
    </xf>
    <xf numFmtId="167" fontId="0" fillId="0" borderId="0" xfId="51" applyNumberFormat="1" applyFont="1" applyProtection="1"/>
    <xf numFmtId="167" fontId="6" fillId="0" borderId="0" xfId="51" applyNumberFormat="1" applyFont="1" applyFill="1" applyBorder="1" applyAlignment="1" applyProtection="1">
      <alignment horizontal="centerContinuous"/>
    </xf>
    <xf numFmtId="167" fontId="159" fillId="0" borderId="0" xfId="0" applyNumberFormat="1" applyFont="1" applyFill="1" applyBorder="1" applyAlignment="1" applyProtection="1"/>
    <xf numFmtId="3" fontId="21" fillId="34" borderId="89" xfId="51" applyNumberFormat="1" applyFont="1" applyFill="1" applyBorder="1" applyProtection="1">
      <protection locked="0"/>
    </xf>
    <xf numFmtId="0" fontId="153" fillId="9" borderId="7" xfId="148" applyBorder="1" applyProtection="1"/>
    <xf numFmtId="3" fontId="6" fillId="0" borderId="0" xfId="0" applyNumberFormat="1" applyFont="1" applyFill="1" applyBorder="1" applyAlignment="1" applyProtection="1">
      <alignment horizontal="center" vertical="center"/>
    </xf>
    <xf numFmtId="43" fontId="6" fillId="0" borderId="0" xfId="51" applyNumberFormat="1" applyFont="1" applyFill="1" applyBorder="1" applyAlignment="1" applyProtection="1">
      <protection locked="0"/>
    </xf>
    <xf numFmtId="176" fontId="160" fillId="0" borderId="0" xfId="51" applyNumberFormat="1" applyFont="1" applyFill="1" applyBorder="1" applyAlignment="1" applyProtection="1">
      <alignment horizontal="center" vertical="center"/>
    </xf>
    <xf numFmtId="0" fontId="161" fillId="0" borderId="0" xfId="0" applyFont="1" applyFill="1" applyBorder="1" applyAlignment="1" applyProtection="1">
      <alignment horizontal="center" vertical="center"/>
    </xf>
    <xf numFmtId="15" fontId="162" fillId="0" borderId="0" xfId="0" applyNumberFormat="1" applyFont="1" applyFill="1" applyBorder="1" applyAlignment="1" applyProtection="1">
      <alignment horizontal="center" vertical="center" wrapText="1"/>
    </xf>
    <xf numFmtId="43" fontId="0" fillId="0" borderId="0" xfId="0" applyNumberFormat="1" applyProtection="1"/>
    <xf numFmtId="0" fontId="163" fillId="0" borderId="0" xfId="0" applyFont="1" applyFill="1" applyBorder="1" applyAlignment="1"/>
    <xf numFmtId="43" fontId="0" fillId="33" borderId="61" xfId="51" applyFont="1" applyFill="1" applyBorder="1" applyAlignment="1" applyProtection="1">
      <alignment horizontal="right" wrapText="1"/>
      <protection locked="0"/>
    </xf>
    <xf numFmtId="43" fontId="17" fillId="40" borderId="0" xfId="81" applyFont="1" applyFill="1" applyBorder="1" applyAlignment="1">
      <alignment horizontal="center" vertical="center"/>
    </xf>
    <xf numFmtId="43" fontId="33" fillId="0" borderId="0" xfId="0" applyNumberFormat="1" applyFont="1" applyAlignment="1">
      <alignment horizontal="center"/>
    </xf>
    <xf numFmtId="0" fontId="0" fillId="0" borderId="0" xfId="0" applyAlignment="1"/>
    <xf numFmtId="0" fontId="128" fillId="0" borderId="0" xfId="0" applyFont="1" applyAlignment="1">
      <alignment horizontal="center"/>
    </xf>
    <xf numFmtId="0" fontId="129" fillId="0" borderId="0" xfId="0" applyFont="1" applyAlignment="1">
      <alignment horizontal="center"/>
    </xf>
    <xf numFmtId="0" fontId="63" fillId="0" borderId="31" xfId="0" applyFont="1" applyBorder="1" applyAlignment="1">
      <alignment horizontal="left" vertical="center" wrapText="1"/>
    </xf>
    <xf numFmtId="0" fontId="63" fillId="0" borderId="48" xfId="0" applyFont="1" applyBorder="1" applyAlignment="1">
      <alignment horizontal="left" vertical="center" wrapText="1"/>
    </xf>
    <xf numFmtId="0" fontId="63" fillId="0" borderId="49" xfId="0" applyFont="1" applyBorder="1" applyAlignment="1">
      <alignment horizontal="left" vertical="center" wrapText="1"/>
    </xf>
    <xf numFmtId="0" fontId="0" fillId="0" borderId="117" xfId="0" applyBorder="1" applyAlignment="1">
      <alignment horizontal="center" wrapText="1"/>
    </xf>
    <xf numFmtId="43" fontId="17" fillId="41" borderId="0" xfId="92" applyFont="1" applyFill="1" applyAlignment="1" applyProtection="1">
      <alignment horizontal="center" vertical="center"/>
    </xf>
    <xf numFmtId="0" fontId="86" fillId="0" borderId="0" xfId="0" applyFont="1" applyAlignment="1">
      <alignment horizontal="center"/>
    </xf>
    <xf numFmtId="0" fontId="87" fillId="34" borderId="31" xfId="0" applyFont="1" applyFill="1" applyBorder="1" applyAlignment="1">
      <alignment horizontal="center"/>
    </xf>
    <xf numFmtId="0" fontId="87" fillId="34" borderId="48" xfId="0" applyFont="1" applyFill="1" applyBorder="1" applyAlignment="1">
      <alignment horizontal="center"/>
    </xf>
    <xf numFmtId="0" fontId="87" fillId="34" borderId="49" xfId="0" applyFont="1" applyFill="1" applyBorder="1" applyAlignment="1">
      <alignment horizontal="center"/>
    </xf>
    <xf numFmtId="9" fontId="89" fillId="0" borderId="31" xfId="112" applyFont="1" applyBorder="1" applyAlignment="1">
      <alignment horizontal="justify" vertical="center" wrapText="1"/>
    </xf>
    <xf numFmtId="9" fontId="89" fillId="0" borderId="48" xfId="112" applyFont="1" applyBorder="1" applyAlignment="1">
      <alignment horizontal="justify" vertical="center" wrapText="1"/>
    </xf>
    <xf numFmtId="9" fontId="89" fillId="0" borderId="49" xfId="112" applyFont="1" applyBorder="1" applyAlignment="1">
      <alignment horizontal="justify" vertical="center" wrapText="1"/>
    </xf>
    <xf numFmtId="43" fontId="88" fillId="0" borderId="31" xfId="0" applyNumberFormat="1" applyFont="1" applyBorder="1" applyAlignment="1">
      <alignment horizontal="left" vertical="center" wrapText="1"/>
    </xf>
    <xf numFmtId="0" fontId="88" fillId="0" borderId="48" xfId="0" applyFont="1" applyBorder="1" applyAlignment="1">
      <alignment horizontal="left" vertical="center" wrapText="1"/>
    </xf>
    <xf numFmtId="0" fontId="88" fillId="0" borderId="49" xfId="0" applyFont="1" applyBorder="1" applyAlignment="1">
      <alignment horizontal="left" vertical="center" wrapText="1"/>
    </xf>
    <xf numFmtId="0" fontId="88" fillId="0" borderId="48" xfId="0" applyFont="1" applyBorder="1" applyAlignment="1">
      <alignment horizontal="left" vertical="center"/>
    </xf>
    <xf numFmtId="0" fontId="88" fillId="0" borderId="49" xfId="0" applyFont="1" applyBorder="1" applyAlignment="1">
      <alignment horizontal="left" vertical="center"/>
    </xf>
    <xf numFmtId="0" fontId="89" fillId="0" borderId="31" xfId="0" applyFont="1" applyBorder="1" applyAlignment="1">
      <alignment horizontal="justify" vertical="center" wrapText="1"/>
    </xf>
    <xf numFmtId="0" fontId="89" fillId="0" borderId="48" xfId="0" applyFont="1" applyBorder="1" applyAlignment="1">
      <alignment horizontal="justify" vertical="center" wrapText="1"/>
    </xf>
    <xf numFmtId="0" fontId="89" fillId="0" borderId="49" xfId="0" applyFont="1" applyBorder="1" applyAlignment="1">
      <alignment horizontal="justify" vertical="center" wrapText="1"/>
    </xf>
    <xf numFmtId="43" fontId="88" fillId="0" borderId="31" xfId="0" applyNumberFormat="1" applyFont="1" applyBorder="1" applyAlignment="1">
      <alignment horizontal="justify" vertical="center" wrapText="1"/>
    </xf>
    <xf numFmtId="0" fontId="88" fillId="0" borderId="48" xfId="0" applyFont="1" applyBorder="1" applyAlignment="1">
      <alignment horizontal="justify" vertical="center"/>
    </xf>
    <xf numFmtId="0" fontId="88" fillId="0" borderId="49" xfId="0" applyFont="1" applyBorder="1" applyAlignment="1">
      <alignment horizontal="justify" vertical="center"/>
    </xf>
    <xf numFmtId="0" fontId="98" fillId="0" borderId="31" xfId="0" applyFont="1" applyFill="1" applyBorder="1" applyAlignment="1" applyProtection="1">
      <alignment vertical="center" wrapText="1"/>
      <protection locked="0"/>
    </xf>
    <xf numFmtId="0" fontId="98" fillId="0" borderId="48" xfId="0" applyFont="1" applyFill="1" applyBorder="1" applyAlignment="1" applyProtection="1">
      <alignment vertical="center" wrapText="1"/>
      <protection locked="0"/>
    </xf>
    <xf numFmtId="0" fontId="98" fillId="0" borderId="49" xfId="0" applyFont="1" applyFill="1" applyBorder="1" applyAlignment="1" applyProtection="1">
      <alignment vertical="center" wrapText="1"/>
      <protection locked="0"/>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0" fontId="87" fillId="33" borderId="31" xfId="0" applyFont="1" applyFill="1" applyBorder="1" applyAlignment="1">
      <alignment horizontal="center"/>
    </xf>
    <xf numFmtId="0" fontId="87" fillId="33" borderId="48" xfId="0" applyFont="1" applyFill="1" applyBorder="1" applyAlignment="1">
      <alignment horizontal="center"/>
    </xf>
    <xf numFmtId="0" fontId="87" fillId="33" borderId="49"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88" fillId="0" borderId="48" xfId="0" applyFont="1" applyBorder="1" applyAlignment="1">
      <alignment horizontal="justify" vertical="center" wrapText="1"/>
    </xf>
    <xf numFmtId="0" fontId="88" fillId="0" borderId="49" xfId="0" applyFont="1" applyBorder="1" applyAlignment="1">
      <alignment horizontal="justify" vertical="center" wrapText="1"/>
    </xf>
    <xf numFmtId="0" fontId="0" fillId="0" borderId="117" xfId="0" applyBorder="1" applyAlignment="1">
      <alignment horizontal="center"/>
    </xf>
    <xf numFmtId="0" fontId="0" fillId="0" borderId="31"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94" fillId="31" borderId="31" xfId="0" applyFont="1" applyFill="1" applyBorder="1" applyAlignment="1">
      <alignment horizontal="center" vertical="center" wrapText="1"/>
    </xf>
    <xf numFmtId="0" fontId="94" fillId="31" borderId="48" xfId="0" applyFont="1" applyFill="1" applyBorder="1" applyAlignment="1">
      <alignment horizontal="center" vertical="center"/>
    </xf>
    <xf numFmtId="0" fontId="94" fillId="31" borderId="49" xfId="0" applyFont="1" applyFill="1" applyBorder="1" applyAlignment="1">
      <alignment horizontal="center" vertical="center"/>
    </xf>
    <xf numFmtId="0" fontId="93" fillId="31" borderId="31" xfId="0" applyFont="1" applyFill="1" applyBorder="1" applyAlignment="1">
      <alignment horizontal="center" vertical="center"/>
    </xf>
    <xf numFmtId="0" fontId="93" fillId="31" borderId="48" xfId="0" applyFont="1" applyFill="1" applyBorder="1" applyAlignment="1">
      <alignment horizontal="center" vertical="center"/>
    </xf>
    <xf numFmtId="0" fontId="93" fillId="31" borderId="49" xfId="0" applyFont="1" applyFill="1" applyBorder="1" applyAlignment="1">
      <alignment horizontal="center" vertical="center"/>
    </xf>
    <xf numFmtId="0" fontId="24" fillId="0" borderId="31"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49" xfId="0" applyFont="1" applyBorder="1" applyAlignment="1">
      <alignment horizontal="center" vertical="center" wrapText="1"/>
    </xf>
    <xf numFmtId="0" fontId="93" fillId="31" borderId="31" xfId="0" applyFont="1" applyFill="1" applyBorder="1" applyAlignment="1">
      <alignment horizontal="center" wrapText="1"/>
    </xf>
    <xf numFmtId="0" fontId="93" fillId="31" borderId="48" xfId="0" applyFont="1" applyFill="1" applyBorder="1" applyAlignment="1">
      <alignment horizontal="center" wrapText="1"/>
    </xf>
    <xf numFmtId="0" fontId="93" fillId="31" borderId="49" xfId="0" applyFont="1" applyFill="1" applyBorder="1" applyAlignment="1">
      <alignment horizontal="center" wrapText="1"/>
    </xf>
    <xf numFmtId="0" fontId="93" fillId="31" borderId="31" xfId="0" applyFont="1" applyFill="1" applyBorder="1" applyAlignment="1">
      <alignment horizontal="center"/>
    </xf>
    <xf numFmtId="0" fontId="93" fillId="31" borderId="48" xfId="0" applyFont="1" applyFill="1" applyBorder="1" applyAlignment="1">
      <alignment horizontal="center"/>
    </xf>
    <xf numFmtId="0" fontId="93" fillId="31" borderId="49" xfId="0" applyFont="1" applyFill="1" applyBorder="1" applyAlignment="1">
      <alignment horizontal="center"/>
    </xf>
    <xf numFmtId="0" fontId="89" fillId="0" borderId="31" xfId="0" applyFont="1" applyFill="1" applyBorder="1" applyAlignment="1" applyProtection="1">
      <alignment vertical="center" wrapText="1"/>
      <protection locked="0"/>
    </xf>
    <xf numFmtId="0" fontId="89" fillId="0" borderId="48" xfId="0" applyFont="1" applyFill="1" applyBorder="1" applyAlignment="1" applyProtection="1">
      <alignment vertical="center" wrapText="1"/>
      <protection locked="0"/>
    </xf>
    <xf numFmtId="0" fontId="89" fillId="0" borderId="49" xfId="0" applyFont="1" applyFill="1" applyBorder="1" applyAlignment="1" applyProtection="1">
      <alignment vertical="center" wrapText="1"/>
      <protection locked="0"/>
    </xf>
    <xf numFmtId="0" fontId="63" fillId="0" borderId="31" xfId="0" applyNumberFormat="1" applyFont="1" applyBorder="1" applyAlignment="1" applyProtection="1">
      <alignment horizontal="left" vertical="center" wrapText="1"/>
      <protection locked="0"/>
    </xf>
    <xf numFmtId="0" fontId="63" fillId="0" borderId="48" xfId="0" applyNumberFormat="1" applyFont="1" applyBorder="1" applyAlignment="1" applyProtection="1">
      <alignment horizontal="left" vertical="center" wrapText="1"/>
      <protection locked="0"/>
    </xf>
    <xf numFmtId="0" fontId="63" fillId="0" borderId="49" xfId="0" applyNumberFormat="1" applyFont="1" applyBorder="1" applyAlignment="1" applyProtection="1">
      <alignment horizontal="left" vertical="center" wrapText="1"/>
      <protection locked="0"/>
    </xf>
    <xf numFmtId="0" fontId="63" fillId="0" borderId="31" xfId="0" applyFont="1" applyBorder="1" applyAlignment="1">
      <alignment horizontal="justify"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8" fillId="0" borderId="31" xfId="0" applyFont="1" applyBorder="1" applyAlignment="1" applyProtection="1">
      <alignment vertical="center" wrapText="1"/>
      <protection locked="0"/>
    </xf>
    <xf numFmtId="0" fontId="88" fillId="0" borderId="48" xfId="0" applyFont="1" applyBorder="1" applyAlignment="1" applyProtection="1">
      <alignment vertical="center" wrapText="1"/>
      <protection locked="0"/>
    </xf>
    <xf numFmtId="0" fontId="88" fillId="0" borderId="49" xfId="0" applyFont="1" applyBorder="1" applyAlignment="1" applyProtection="1">
      <alignment vertical="center" wrapText="1"/>
      <protection locked="0"/>
    </xf>
    <xf numFmtId="0" fontId="63" fillId="0" borderId="116" xfId="0" applyFont="1" applyBorder="1" applyAlignment="1">
      <alignment horizontal="left" vertical="center" wrapText="1"/>
    </xf>
    <xf numFmtId="0" fontId="63" fillId="0" borderId="117" xfId="0" applyFont="1" applyBorder="1" applyAlignment="1">
      <alignment horizontal="left" vertical="center" wrapText="1"/>
    </xf>
    <xf numFmtId="0" fontId="63" fillId="0" borderId="118" xfId="0" applyFont="1" applyBorder="1" applyAlignment="1">
      <alignment horizontal="left" vertical="center" wrapText="1"/>
    </xf>
    <xf numFmtId="0" fontId="63" fillId="0" borderId="70" xfId="0" applyFont="1" applyBorder="1" applyAlignment="1">
      <alignment horizontal="left" vertical="center" wrapText="1"/>
    </xf>
    <xf numFmtId="0" fontId="63" fillId="0" borderId="110" xfId="0" applyFont="1" applyBorder="1" applyAlignment="1">
      <alignment horizontal="left" vertical="center" wrapText="1"/>
    </xf>
    <xf numFmtId="0" fontId="63" fillId="0" borderId="112" xfId="0" applyFont="1" applyBorder="1" applyAlignment="1">
      <alignment horizontal="left" vertical="center" wrapText="1"/>
    </xf>
    <xf numFmtId="0" fontId="63" fillId="0" borderId="116" xfId="0" applyFont="1" applyBorder="1" applyAlignment="1">
      <alignment horizontal="justify" wrapText="1"/>
    </xf>
    <xf numFmtId="0" fontId="63" fillId="0" borderId="117" xfId="0" applyFont="1" applyBorder="1" applyAlignment="1">
      <alignment horizontal="justify" wrapText="1"/>
    </xf>
    <xf numFmtId="0" fontId="63" fillId="0" borderId="118" xfId="0" applyFont="1" applyBorder="1" applyAlignment="1">
      <alignment horizontal="justify" wrapText="1"/>
    </xf>
    <xf numFmtId="0" fontId="89" fillId="0" borderId="70" xfId="0" applyFont="1" applyBorder="1" applyAlignment="1">
      <alignment horizontal="justify" vertical="center" wrapText="1"/>
    </xf>
    <xf numFmtId="0" fontId="89" fillId="0" borderId="110" xfId="0" applyFont="1" applyBorder="1" applyAlignment="1">
      <alignment horizontal="justify" vertical="center" wrapText="1"/>
    </xf>
    <xf numFmtId="0" fontId="89" fillId="0" borderId="112" xfId="0" applyFont="1" applyBorder="1" applyAlignment="1">
      <alignment horizontal="justify" vertical="center" wrapText="1"/>
    </xf>
    <xf numFmtId="0" fontId="121" fillId="0" borderId="70" xfId="0" applyFont="1" applyBorder="1" applyAlignment="1">
      <alignment horizontal="justify" vertical="center" wrapText="1"/>
    </xf>
    <xf numFmtId="0" fontId="121" fillId="0" borderId="110" xfId="0" applyFont="1" applyBorder="1" applyAlignment="1">
      <alignment horizontal="justify" vertical="center" wrapText="1"/>
    </xf>
    <xf numFmtId="0" fontId="121" fillId="0" borderId="112" xfId="0" applyFont="1" applyBorder="1" applyAlignment="1">
      <alignment horizontal="justify" vertical="center" wrapText="1"/>
    </xf>
    <xf numFmtId="0" fontId="121" fillId="0" borderId="31" xfId="0" applyFont="1" applyBorder="1" applyAlignment="1">
      <alignment horizontal="justify" vertical="center" wrapText="1"/>
    </xf>
    <xf numFmtId="0" fontId="121" fillId="0" borderId="48" xfId="0" applyFont="1" applyBorder="1" applyAlignment="1">
      <alignment horizontal="justify" vertical="center" wrapText="1"/>
    </xf>
    <xf numFmtId="0" fontId="121" fillId="0" borderId="49" xfId="0" applyFont="1" applyBorder="1" applyAlignment="1">
      <alignment horizontal="justify" vertical="center" wrapText="1"/>
    </xf>
    <xf numFmtId="0" fontId="121" fillId="0" borderId="31" xfId="0" applyFont="1" applyBorder="1" applyAlignment="1">
      <alignment horizontal="left" vertical="center" wrapText="1"/>
    </xf>
    <xf numFmtId="0" fontId="118" fillId="0" borderId="48" xfId="0" applyFont="1" applyBorder="1" applyAlignment="1">
      <alignment horizontal="left" vertical="center" wrapText="1"/>
    </xf>
    <xf numFmtId="0" fontId="118" fillId="0" borderId="49" xfId="0" applyFont="1" applyBorder="1" applyAlignment="1">
      <alignment horizontal="left" vertical="center" wrapText="1"/>
    </xf>
    <xf numFmtId="0" fontId="89" fillId="0" borderId="31" xfId="0" applyFont="1" applyBorder="1" applyAlignment="1" applyProtection="1">
      <alignment vertical="center" wrapText="1"/>
      <protection locked="0"/>
    </xf>
    <xf numFmtId="0" fontId="89" fillId="0" borderId="48" xfId="0" applyFont="1" applyBorder="1" applyAlignment="1" applyProtection="1">
      <alignment vertical="center" wrapText="1"/>
      <protection locked="0"/>
    </xf>
    <xf numFmtId="0" fontId="89" fillId="0" borderId="49" xfId="0" applyFont="1" applyBorder="1" applyAlignment="1" applyProtection="1">
      <alignment vertical="center" wrapText="1"/>
      <protection locked="0"/>
    </xf>
    <xf numFmtId="0" fontId="89" fillId="31" borderId="31" xfId="0" applyFont="1" applyFill="1" applyBorder="1" applyAlignment="1">
      <alignment vertical="center" wrapText="1"/>
    </xf>
    <xf numFmtId="0" fontId="89" fillId="31" borderId="48" xfId="0" applyFont="1" applyFill="1" applyBorder="1" applyAlignment="1">
      <alignment vertical="center" wrapText="1"/>
    </xf>
    <xf numFmtId="0" fontId="89" fillId="31" borderId="49" xfId="0" applyFont="1" applyFill="1" applyBorder="1" applyAlignment="1">
      <alignment vertical="center" wrapText="1"/>
    </xf>
    <xf numFmtId="0" fontId="89" fillId="0" borderId="48" xfId="0" applyFont="1" applyBorder="1" applyAlignment="1" applyProtection="1">
      <alignment horizontal="left" vertical="center" wrapText="1"/>
      <protection locked="0"/>
    </xf>
    <xf numFmtId="0" fontId="89" fillId="0" borderId="49" xfId="0" applyFont="1" applyBorder="1" applyAlignment="1" applyProtection="1">
      <alignment horizontal="left" vertical="center" wrapText="1"/>
      <protection locked="0"/>
    </xf>
    <xf numFmtId="43" fontId="88" fillId="0" borderId="116" xfId="0" applyNumberFormat="1" applyFont="1" applyBorder="1" applyAlignment="1">
      <alignment horizontal="left" vertical="center" wrapText="1"/>
    </xf>
    <xf numFmtId="0" fontId="88" fillId="0" borderId="117" xfId="0" applyFont="1" applyBorder="1" applyAlignment="1">
      <alignment horizontal="left" vertical="center" wrapText="1"/>
    </xf>
    <xf numFmtId="0" fontId="88" fillId="0" borderId="118" xfId="0" applyFont="1" applyBorder="1" applyAlignment="1">
      <alignment horizontal="left" vertical="center" wrapText="1"/>
    </xf>
    <xf numFmtId="0" fontId="88" fillId="0" borderId="70" xfId="0" applyFont="1" applyBorder="1" applyAlignment="1">
      <alignment horizontal="left" vertical="center" wrapText="1"/>
    </xf>
    <xf numFmtId="0" fontId="88" fillId="0" borderId="110" xfId="0" applyFont="1" applyBorder="1" applyAlignment="1">
      <alignment horizontal="left" vertical="center" wrapText="1"/>
    </xf>
    <xf numFmtId="0" fontId="88" fillId="0" borderId="112" xfId="0" applyFont="1" applyBorder="1" applyAlignment="1">
      <alignment horizontal="left" vertical="center" wrapText="1"/>
    </xf>
    <xf numFmtId="9" fontId="33" fillId="0" borderId="146" xfId="112" applyFont="1" applyFill="1" applyBorder="1" applyAlignment="1" applyProtection="1">
      <alignment horizontal="center" vertical="center"/>
    </xf>
    <xf numFmtId="9" fontId="33" fillId="0" borderId="147" xfId="112" applyFont="1" applyFill="1" applyBorder="1" applyAlignment="1" applyProtection="1">
      <alignment horizontal="center" vertical="center"/>
    </xf>
    <xf numFmtId="9" fontId="33" fillId="0" borderId="148" xfId="112" applyFont="1" applyFill="1" applyBorder="1" applyAlignment="1" applyProtection="1">
      <alignment horizontal="center" vertical="center"/>
    </xf>
    <xf numFmtId="0" fontId="2" fillId="31" borderId="129" xfId="0" applyNumberFormat="1" applyFont="1" applyFill="1" applyBorder="1" applyAlignment="1" applyProtection="1">
      <alignment horizontal="center" vertical="center" wrapText="1"/>
      <protection locked="0"/>
    </xf>
    <xf numFmtId="0" fontId="67" fillId="31" borderId="129" xfId="0" applyNumberFormat="1" applyFont="1" applyFill="1" applyBorder="1" applyAlignment="1" applyProtection="1">
      <alignment horizontal="center" vertical="center" wrapText="1"/>
      <protection locked="0"/>
    </xf>
    <xf numFmtId="49" fontId="2" fillId="31" borderId="49" xfId="0" applyNumberFormat="1" applyFont="1" applyFill="1" applyBorder="1" applyAlignment="1" applyProtection="1">
      <alignment horizontal="center" vertical="center" wrapText="1"/>
      <protection locked="0"/>
    </xf>
    <xf numFmtId="49" fontId="2" fillId="32" borderId="128" xfId="0" applyNumberFormat="1" applyFont="1" applyFill="1" applyBorder="1" applyAlignment="1" applyProtection="1">
      <alignment horizontal="center" vertical="center" wrapText="1"/>
      <protection locked="0"/>
    </xf>
    <xf numFmtId="49" fontId="2" fillId="32" borderId="123" xfId="0" applyNumberFormat="1" applyFont="1" applyFill="1" applyBorder="1" applyAlignment="1" applyProtection="1">
      <alignment horizontal="center" vertical="center" wrapText="1"/>
      <protection locked="0"/>
    </xf>
    <xf numFmtId="0" fontId="2" fillId="32" borderId="129" xfId="0" applyNumberFormat="1" applyFont="1" applyFill="1" applyBorder="1" applyAlignment="1" applyProtection="1">
      <alignment horizontal="center" vertical="center" wrapText="1"/>
      <protection locked="0"/>
    </xf>
    <xf numFmtId="0" fontId="67" fillId="32" borderId="129" xfId="0" applyNumberFormat="1" applyFont="1" applyFill="1" applyBorder="1" applyAlignment="1" applyProtection="1">
      <alignment horizontal="center" vertical="center" wrapText="1"/>
      <protection locked="0"/>
    </xf>
    <xf numFmtId="0" fontId="0" fillId="44" borderId="149" xfId="0" applyFill="1" applyBorder="1" applyAlignment="1" applyProtection="1">
      <alignment horizontal="center"/>
    </xf>
    <xf numFmtId="0" fontId="0" fillId="44" borderId="150" xfId="0" applyFill="1" applyBorder="1" applyAlignment="1" applyProtection="1">
      <alignment horizontal="center"/>
    </xf>
    <xf numFmtId="0" fontId="0" fillId="44" borderId="151" xfId="0" applyFill="1" applyBorder="1" applyAlignment="1" applyProtection="1">
      <alignment horizontal="center"/>
    </xf>
    <xf numFmtId="0" fontId="67" fillId="0" borderId="109" xfId="0" applyFont="1" applyFill="1" applyBorder="1" applyAlignment="1" applyProtection="1">
      <alignment horizontal="left" vertical="center" wrapText="1"/>
    </xf>
    <xf numFmtId="0" fontId="67" fillId="0" borderId="110" xfId="0" applyFont="1" applyFill="1" applyBorder="1" applyAlignment="1" applyProtection="1">
      <alignment horizontal="left" vertical="center" wrapText="1"/>
    </xf>
    <xf numFmtId="0" fontId="67" fillId="0" borderId="114" xfId="0" applyFont="1" applyFill="1" applyBorder="1" applyAlignment="1" applyProtection="1">
      <alignment horizontal="left" vertical="center" wrapText="1"/>
    </xf>
    <xf numFmtId="0" fontId="67" fillId="0" borderId="141" xfId="0" applyFont="1" applyFill="1" applyBorder="1" applyAlignment="1" applyProtection="1">
      <alignment horizontal="left" vertical="center" wrapText="1"/>
    </xf>
    <xf numFmtId="0" fontId="67" fillId="0" borderId="142" xfId="0" applyFont="1" applyFill="1" applyBorder="1" applyAlignment="1" applyProtection="1">
      <alignment horizontal="left" vertical="center" wrapText="1"/>
    </xf>
    <xf numFmtId="0" fontId="67" fillId="0" borderId="143" xfId="0" applyFont="1" applyFill="1" applyBorder="1" applyAlignment="1" applyProtection="1">
      <alignment horizontal="left" vertical="center" wrapText="1"/>
    </xf>
    <xf numFmtId="49" fontId="2" fillId="32" borderId="124" xfId="0" applyNumberFormat="1" applyFont="1" applyFill="1" applyBorder="1" applyAlignment="1" applyProtection="1">
      <alignment horizontal="left" vertical="center" wrapText="1"/>
      <protection locked="0"/>
    </xf>
    <xf numFmtId="49" fontId="67" fillId="32" borderId="12" xfId="0" applyNumberFormat="1" applyFont="1" applyFill="1" applyBorder="1" applyAlignment="1" applyProtection="1">
      <alignment horizontal="left" vertical="center" wrapText="1"/>
      <protection locked="0"/>
    </xf>
    <xf numFmtId="49" fontId="67" fillId="32" borderId="31" xfId="0" applyNumberFormat="1" applyFont="1" applyFill="1" applyBorder="1" applyAlignment="1" applyProtection="1">
      <alignment horizontal="left" vertical="center" wrapText="1"/>
      <protection locked="0"/>
    </xf>
    <xf numFmtId="49" fontId="67" fillId="32" borderId="144" xfId="0" applyNumberFormat="1" applyFont="1" applyFill="1" applyBorder="1" applyAlignment="1" applyProtection="1">
      <alignment horizontal="left" vertical="center" wrapText="1"/>
      <protection locked="0"/>
    </xf>
    <xf numFmtId="49" fontId="67" fillId="32" borderId="98" xfId="0" applyNumberFormat="1" applyFont="1" applyFill="1" applyBorder="1" applyAlignment="1" applyProtection="1">
      <alignment horizontal="left" vertical="center" wrapText="1"/>
      <protection locked="0"/>
    </xf>
    <xf numFmtId="49" fontId="67" fillId="32" borderId="32" xfId="0" applyNumberFormat="1" applyFont="1" applyFill="1" applyBorder="1" applyAlignment="1" applyProtection="1">
      <alignment horizontal="left" vertical="center" wrapText="1"/>
      <protection locked="0"/>
    </xf>
    <xf numFmtId="0" fontId="67" fillId="37" borderId="129" xfId="0" applyFont="1" applyFill="1" applyBorder="1" applyAlignment="1" applyProtection="1">
      <alignment horizontal="center" vertical="center" wrapText="1"/>
    </xf>
    <xf numFmtId="0" fontId="67" fillId="37" borderId="49" xfId="0" applyFont="1" applyFill="1" applyBorder="1" applyAlignment="1" applyProtection="1">
      <alignment horizontal="center" vertical="center" wrapText="1"/>
    </xf>
    <xf numFmtId="0" fontId="67" fillId="0" borderId="129" xfId="0" applyFont="1" applyFill="1" applyBorder="1" applyAlignment="1" applyProtection="1">
      <alignment horizontal="center" vertical="center" wrapText="1"/>
    </xf>
    <xf numFmtId="0" fontId="67" fillId="0" borderId="145" xfId="0" applyFont="1" applyFill="1" applyBorder="1" applyAlignment="1" applyProtection="1">
      <alignment horizontal="center" vertical="center" wrapText="1"/>
    </xf>
    <xf numFmtId="0" fontId="67" fillId="0" borderId="49" xfId="0" applyFont="1" applyFill="1" applyBorder="1" applyAlignment="1" applyProtection="1">
      <alignment horizontal="center" vertical="center" wrapText="1"/>
    </xf>
    <xf numFmtId="0" fontId="67" fillId="0" borderId="152" xfId="0" applyFont="1" applyFill="1" applyBorder="1" applyAlignment="1" applyProtection="1">
      <alignment horizontal="center" vertical="center" wrapText="1"/>
    </xf>
    <xf numFmtId="0" fontId="67" fillId="31" borderId="49" xfId="0" applyNumberFormat="1" applyFont="1" applyFill="1" applyBorder="1" applyAlignment="1" applyProtection="1">
      <alignment horizontal="center" vertical="center" wrapText="1"/>
      <protection locked="0"/>
    </xf>
    <xf numFmtId="0" fontId="67" fillId="32" borderId="145" xfId="0" applyNumberFormat="1" applyFont="1" applyFill="1" applyBorder="1" applyAlignment="1" applyProtection="1">
      <alignment horizontal="center" vertical="center" wrapText="1"/>
      <protection locked="0"/>
    </xf>
    <xf numFmtId="49" fontId="67" fillId="32" borderId="49" xfId="0" applyNumberFormat="1" applyFont="1" applyFill="1" applyBorder="1" applyAlignment="1" applyProtection="1">
      <alignment horizontal="center" vertical="center" wrapText="1"/>
      <protection locked="0"/>
    </xf>
    <xf numFmtId="49" fontId="67" fillId="32" borderId="152" xfId="0" applyNumberFormat="1" applyFont="1" applyFill="1" applyBorder="1" applyAlignment="1" applyProtection="1">
      <alignment horizontal="center" vertical="center" wrapText="1"/>
      <protection locked="0"/>
    </xf>
    <xf numFmtId="49" fontId="2" fillId="42" borderId="124" xfId="0" applyNumberFormat="1" applyFont="1" applyFill="1" applyBorder="1" applyAlignment="1" applyProtection="1">
      <alignment horizontal="left" vertical="center" wrapText="1"/>
      <protection locked="0"/>
    </xf>
    <xf numFmtId="49" fontId="67" fillId="42" borderId="12" xfId="0" applyNumberFormat="1" applyFont="1" applyFill="1" applyBorder="1" applyAlignment="1" applyProtection="1">
      <alignment horizontal="left" vertical="center" wrapText="1"/>
      <protection locked="0"/>
    </xf>
    <xf numFmtId="49" fontId="67" fillId="42" borderId="31" xfId="0" applyNumberFormat="1" applyFont="1" applyFill="1" applyBorder="1" applyAlignment="1" applyProtection="1">
      <alignment horizontal="left" vertical="center" wrapText="1"/>
      <protection locked="0"/>
    </xf>
    <xf numFmtId="49" fontId="67" fillId="42" borderId="124" xfId="0" applyNumberFormat="1" applyFont="1" applyFill="1" applyBorder="1" applyAlignment="1" applyProtection="1">
      <alignment horizontal="left" vertical="center" wrapText="1"/>
      <protection locked="0"/>
    </xf>
    <xf numFmtId="0" fontId="67" fillId="0" borderId="130" xfId="0" applyFont="1" applyFill="1" applyBorder="1" applyAlignment="1" applyProtection="1">
      <alignment horizontal="left" vertical="center" wrapText="1"/>
    </xf>
    <xf numFmtId="0" fontId="67" fillId="0" borderId="131" xfId="0" applyFont="1" applyFill="1" applyBorder="1" applyAlignment="1" applyProtection="1">
      <alignment horizontal="left" vertical="center" wrapText="1"/>
    </xf>
    <xf numFmtId="0" fontId="67" fillId="0" borderId="132" xfId="0" applyFont="1" applyFill="1" applyBorder="1" applyAlignment="1" applyProtection="1">
      <alignment horizontal="left" vertical="center" wrapText="1"/>
    </xf>
    <xf numFmtId="0" fontId="67" fillId="0" borderId="134" xfId="0" applyFont="1" applyFill="1" applyBorder="1" applyAlignment="1" applyProtection="1">
      <alignment horizontal="left" vertical="center" wrapText="1"/>
    </xf>
    <xf numFmtId="0" fontId="67" fillId="0" borderId="48" xfId="0" applyFont="1" applyFill="1" applyBorder="1" applyAlignment="1" applyProtection="1">
      <alignment horizontal="left" vertical="center" wrapText="1"/>
    </xf>
    <xf numFmtId="0" fontId="67" fillId="0" borderId="135" xfId="0" applyFont="1" applyFill="1" applyBorder="1" applyAlignment="1" applyProtection="1">
      <alignment horizontal="left" vertical="center" wrapText="1"/>
    </xf>
    <xf numFmtId="49" fontId="67" fillId="32" borderId="124" xfId="0" applyNumberFormat="1" applyFont="1" applyFill="1" applyBorder="1" applyAlignment="1" applyProtection="1">
      <alignment horizontal="left" vertical="center" wrapText="1"/>
      <protection locked="0"/>
    </xf>
    <xf numFmtId="43" fontId="15" fillId="43" borderId="12" xfId="117" applyFont="1" applyFill="1" applyBorder="1" applyAlignment="1" applyProtection="1">
      <alignment horizontal="center"/>
      <protection locked="0"/>
    </xf>
    <xf numFmtId="49" fontId="0" fillId="0" borderId="12" xfId="0" applyNumberFormat="1" applyBorder="1" applyAlignment="1" applyProtection="1">
      <alignment horizontal="center"/>
      <protection locked="0"/>
    </xf>
    <xf numFmtId="49" fontId="67" fillId="31" borderId="128" xfId="0" applyNumberFormat="1" applyFont="1" applyFill="1" applyBorder="1" applyAlignment="1" applyProtection="1">
      <alignment horizontal="center" vertical="center" wrapText="1"/>
      <protection locked="0"/>
    </xf>
    <xf numFmtId="49" fontId="67" fillId="31" borderId="123" xfId="0" applyNumberFormat="1" applyFont="1" applyFill="1" applyBorder="1" applyAlignment="1" applyProtection="1">
      <alignment horizontal="center" vertical="center" wrapText="1"/>
      <protection locked="0"/>
    </xf>
    <xf numFmtId="0" fontId="0" fillId="0" borderId="136" xfId="0" applyBorder="1" applyAlignment="1" applyProtection="1">
      <alignment horizontal="center"/>
    </xf>
    <xf numFmtId="0" fontId="0" fillId="0" borderId="23" xfId="0" applyBorder="1" applyAlignment="1" applyProtection="1">
      <alignment horizontal="center"/>
    </xf>
    <xf numFmtId="0" fontId="84" fillId="0" borderId="137" xfId="0" applyFont="1" applyBorder="1" applyAlignment="1" applyProtection="1">
      <alignment horizontal="right"/>
    </xf>
    <xf numFmtId="0" fontId="122" fillId="0" borderId="137" xfId="0" applyFont="1" applyBorder="1" applyAlignment="1"/>
    <xf numFmtId="0" fontId="0" fillId="0" borderId="138" xfId="0" applyFill="1" applyBorder="1" applyAlignment="1" applyProtection="1">
      <alignment horizontal="center" vertical="center"/>
      <protection locked="0"/>
    </xf>
    <xf numFmtId="0" fontId="0" fillId="0" borderId="139" xfId="0" applyFill="1" applyBorder="1" applyAlignment="1" applyProtection="1">
      <alignment horizontal="center" vertical="center"/>
      <protection locked="0"/>
    </xf>
    <xf numFmtId="0" fontId="0" fillId="0" borderId="140" xfId="0" applyFill="1" applyBorder="1" applyAlignment="1" applyProtection="1">
      <alignment horizontal="center" vertical="center"/>
      <protection locked="0"/>
    </xf>
    <xf numFmtId="49" fontId="67" fillId="32" borderId="128" xfId="0" applyNumberFormat="1" applyFont="1" applyFill="1" applyBorder="1" applyAlignment="1" applyProtection="1">
      <alignment horizontal="center" vertical="center" wrapText="1"/>
      <protection locked="0"/>
    </xf>
    <xf numFmtId="49" fontId="67" fillId="32" borderId="123" xfId="0" applyNumberFormat="1" applyFont="1" applyFill="1" applyBorder="1" applyAlignment="1" applyProtection="1">
      <alignment horizontal="center" vertical="center" wrapText="1"/>
      <protection locked="0"/>
    </xf>
    <xf numFmtId="49" fontId="67" fillId="31" borderId="49" xfId="0" applyNumberFormat="1" applyFont="1" applyFill="1" applyBorder="1" applyAlignment="1" applyProtection="1">
      <alignment horizontal="center" vertical="center" wrapText="1"/>
      <protection locked="0"/>
    </xf>
    <xf numFmtId="43" fontId="61" fillId="41" borderId="0" xfId="81" applyFont="1" applyFill="1" applyAlignment="1" applyProtection="1">
      <alignment horizontal="center" vertical="center"/>
    </xf>
    <xf numFmtId="49" fontId="14" fillId="0" borderId="25" xfId="0" applyNumberFormat="1" applyFont="1" applyBorder="1" applyAlignment="1" applyProtection="1">
      <alignment horizontal="center"/>
    </xf>
    <xf numFmtId="49" fontId="14" fillId="0" borderId="12" xfId="0" applyNumberFormat="1" applyFont="1" applyBorder="1" applyAlignment="1" applyProtection="1">
      <alignment horizontal="center"/>
    </xf>
    <xf numFmtId="0" fontId="67" fillId="37" borderId="134" xfId="0" applyFont="1" applyFill="1" applyBorder="1" applyAlignment="1" applyProtection="1">
      <alignment horizontal="left" vertical="center" wrapText="1"/>
    </xf>
    <xf numFmtId="0" fontId="67" fillId="37" borderId="48" xfId="0" applyFont="1" applyFill="1" applyBorder="1" applyAlignment="1" applyProtection="1">
      <alignment horizontal="left" vertical="center" wrapText="1"/>
    </xf>
    <xf numFmtId="0" fontId="67" fillId="37" borderId="135" xfId="0" applyFont="1" applyFill="1" applyBorder="1" applyAlignment="1" applyProtection="1">
      <alignment horizontal="left" vertical="center" wrapText="1"/>
    </xf>
    <xf numFmtId="0" fontId="113" fillId="0" borderId="0" xfId="0" applyFont="1" applyBorder="1" applyAlignment="1" applyProtection="1">
      <alignment horizontal="right"/>
    </xf>
    <xf numFmtId="0" fontId="113" fillId="0" borderId="133" xfId="0" applyFont="1" applyBorder="1" applyAlignment="1" applyProtection="1">
      <alignment horizontal="right"/>
    </xf>
    <xf numFmtId="0" fontId="113" fillId="0" borderId="54" xfId="0" applyFont="1" applyBorder="1" applyAlignment="1" applyProtection="1">
      <alignment horizontal="right"/>
    </xf>
    <xf numFmtId="49" fontId="0" fillId="0" borderId="31" xfId="0" applyNumberFormat="1" applyBorder="1" applyAlignment="1" applyProtection="1">
      <alignment horizontal="center"/>
      <protection locked="0"/>
    </xf>
    <xf numFmtId="49" fontId="0" fillId="0" borderId="49" xfId="0" applyNumberFormat="1" applyBorder="1" applyAlignment="1" applyProtection="1">
      <alignment horizontal="center"/>
      <protection locked="0"/>
    </xf>
    <xf numFmtId="15" fontId="126" fillId="0" borderId="12" xfId="117" applyNumberFormat="1" applyFont="1" applyFill="1" applyBorder="1" applyAlignment="1" applyProtection="1">
      <alignment horizontal="center"/>
      <protection locked="0"/>
    </xf>
    <xf numFmtId="15" fontId="154" fillId="0" borderId="12" xfId="117" applyNumberFormat="1" applyFill="1" applyBorder="1" applyAlignment="1" applyProtection="1">
      <alignment horizontal="center"/>
      <protection locked="0"/>
    </xf>
    <xf numFmtId="0" fontId="113" fillId="0" borderId="0" xfId="0" applyFont="1" applyAlignment="1" applyProtection="1">
      <alignment horizontal="right"/>
    </xf>
    <xf numFmtId="49" fontId="0" fillId="0" borderId="31" xfId="0" applyNumberFormat="1" applyFill="1" applyBorder="1" applyAlignment="1" applyProtection="1">
      <alignment horizontal="center"/>
      <protection locked="0"/>
    </xf>
    <xf numFmtId="49" fontId="0" fillId="0" borderId="48" xfId="0" applyNumberFormat="1" applyFill="1" applyBorder="1" applyAlignment="1" applyProtection="1">
      <alignment horizontal="center"/>
      <protection locked="0"/>
    </xf>
    <xf numFmtId="49" fontId="0" fillId="0" borderId="49" xfId="0" applyNumberFormat="1" applyFill="1" applyBorder="1" applyAlignment="1" applyProtection="1">
      <alignment horizontal="center"/>
      <protection locked="0"/>
    </xf>
    <xf numFmtId="3" fontId="158" fillId="0" borderId="31" xfId="0" applyNumberFormat="1" applyFont="1" applyBorder="1" applyAlignment="1" applyProtection="1">
      <alignment horizontal="center"/>
      <protection locked="0"/>
    </xf>
    <xf numFmtId="3" fontId="158" fillId="0" borderId="49" xfId="0" applyNumberFormat="1" applyFon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49" fontId="0" fillId="0" borderId="48" xfId="0" applyNumberFormat="1" applyBorder="1" applyAlignment="1" applyProtection="1">
      <alignment horizontal="center"/>
      <protection locked="0"/>
    </xf>
    <xf numFmtId="0" fontId="0" fillId="31" borderId="31" xfId="0" applyFill="1" applyBorder="1" applyAlignment="1" applyProtection="1">
      <alignment horizontal="center"/>
    </xf>
    <xf numFmtId="0" fontId="0" fillId="31" borderId="49" xfId="0" applyFill="1" applyBorder="1" applyAlignment="1" applyProtection="1">
      <alignment horizontal="center"/>
    </xf>
    <xf numFmtId="0" fontId="0" fillId="28" borderId="119" xfId="0" applyFill="1" applyBorder="1" applyAlignment="1" applyProtection="1">
      <alignment horizontal="center" vertical="center" textRotation="90"/>
    </xf>
    <xf numFmtId="43" fontId="14" fillId="0" borderId="120" xfId="0" applyNumberFormat="1" applyFont="1" applyBorder="1" applyAlignment="1" applyProtection="1">
      <alignment horizontal="center"/>
    </xf>
    <xf numFmtId="0" fontId="14" fillId="0" borderId="121" xfId="0" applyFont="1" applyBorder="1" applyAlignment="1" applyProtection="1">
      <alignment horizontal="center"/>
    </xf>
    <xf numFmtId="0" fontId="14" fillId="0" borderId="122" xfId="0" applyFont="1" applyBorder="1" applyAlignment="1" applyProtection="1">
      <alignment horizontal="center"/>
    </xf>
    <xf numFmtId="49" fontId="2" fillId="31" borderId="123" xfId="0" applyNumberFormat="1" applyFont="1" applyFill="1" applyBorder="1" applyAlignment="1" applyProtection="1">
      <alignment horizontal="left" vertical="center" wrapText="1"/>
      <protection locked="0"/>
    </xf>
    <xf numFmtId="49" fontId="2" fillId="31" borderId="113" xfId="0" applyNumberFormat="1" applyFont="1" applyFill="1" applyBorder="1" applyAlignment="1" applyProtection="1">
      <alignment horizontal="left" vertical="center" wrapText="1"/>
      <protection locked="0"/>
    </xf>
    <xf numFmtId="49" fontId="2" fillId="31" borderId="70" xfId="0" applyNumberFormat="1" applyFont="1" applyFill="1" applyBorder="1" applyAlignment="1" applyProtection="1">
      <alignment horizontal="left" vertical="center" wrapText="1"/>
      <protection locked="0"/>
    </xf>
    <xf numFmtId="49" fontId="2" fillId="31" borderId="124" xfId="0" applyNumberFormat="1" applyFont="1" applyFill="1" applyBorder="1" applyAlignment="1" applyProtection="1">
      <alignment horizontal="left" vertical="center" wrapText="1"/>
      <protection locked="0"/>
    </xf>
    <xf numFmtId="49" fontId="2" fillId="31" borderId="12" xfId="0" applyNumberFormat="1" applyFont="1" applyFill="1" applyBorder="1" applyAlignment="1" applyProtection="1">
      <alignment horizontal="left" vertical="center" wrapText="1"/>
      <protection locked="0"/>
    </xf>
    <xf numFmtId="49" fontId="2" fillId="31" borderId="31" xfId="0" applyNumberFormat="1" applyFont="1" applyFill="1" applyBorder="1" applyAlignment="1" applyProtection="1">
      <alignment horizontal="left" vertical="center" wrapText="1"/>
      <protection locked="0"/>
    </xf>
    <xf numFmtId="0" fontId="26" fillId="0" borderId="125" xfId="0" applyFont="1" applyBorder="1" applyAlignment="1" applyProtection="1">
      <alignment horizontal="center" wrapText="1"/>
    </xf>
    <xf numFmtId="0" fontId="26" fillId="0" borderId="126" xfId="0" applyFont="1" applyBorder="1" applyAlignment="1" applyProtection="1">
      <alignment horizontal="center" wrapText="1"/>
    </xf>
    <xf numFmtId="0" fontId="26" fillId="0" borderId="127" xfId="0" applyFont="1" applyBorder="1" applyAlignment="1" applyProtection="1">
      <alignment horizontal="center" wrapText="1"/>
    </xf>
    <xf numFmtId="49" fontId="2" fillId="31" borderId="128" xfId="0" applyNumberFormat="1" applyFont="1" applyFill="1" applyBorder="1" applyAlignment="1" applyProtection="1">
      <alignment horizontal="center" vertical="center" wrapText="1"/>
      <protection locked="0"/>
    </xf>
    <xf numFmtId="49" fontId="2" fillId="31" borderId="123" xfId="0" applyNumberFormat="1" applyFont="1" applyFill="1" applyBorder="1" applyAlignment="1" applyProtection="1">
      <alignment horizontal="center" vertical="center" wrapText="1"/>
      <protection locked="0"/>
    </xf>
    <xf numFmtId="49" fontId="2" fillId="32" borderId="12" xfId="0" applyNumberFormat="1" applyFont="1" applyFill="1" applyBorder="1" applyAlignment="1" applyProtection="1">
      <alignment horizontal="left" vertical="center" wrapText="1"/>
      <protection locked="0"/>
    </xf>
    <xf numFmtId="49" fontId="2" fillId="32" borderId="31" xfId="0" applyNumberFormat="1" applyFont="1" applyFill="1" applyBorder="1" applyAlignment="1" applyProtection="1">
      <alignment horizontal="left" vertical="center" wrapText="1"/>
      <protection locked="0"/>
    </xf>
    <xf numFmtId="49" fontId="14" fillId="0" borderId="27" xfId="0" applyNumberFormat="1" applyFont="1" applyBorder="1" applyAlignment="1" applyProtection="1">
      <alignment horizontal="center"/>
    </xf>
    <xf numFmtId="49" fontId="14" fillId="0" borderId="51" xfId="0" applyNumberFormat="1" applyFont="1" applyBorder="1" applyAlignment="1" applyProtection="1">
      <alignment horizontal="center"/>
    </xf>
    <xf numFmtId="0" fontId="77" fillId="0" borderId="130" xfId="0" applyFont="1" applyFill="1" applyBorder="1" applyAlignment="1" applyProtection="1">
      <alignment horizontal="center" vertical="center"/>
    </xf>
    <xf numFmtId="0" fontId="77" fillId="0" borderId="131" xfId="0" applyFont="1" applyFill="1" applyBorder="1" applyAlignment="1" applyProtection="1">
      <alignment horizontal="center" vertical="center"/>
    </xf>
    <xf numFmtId="0" fontId="77" fillId="0" borderId="132" xfId="0" applyFont="1" applyFill="1" applyBorder="1" applyAlignment="1" applyProtection="1">
      <alignment horizontal="center" vertical="center"/>
    </xf>
    <xf numFmtId="43" fontId="24" fillId="33" borderId="45" xfId="117" applyFont="1" applyFill="1" applyBorder="1" applyAlignment="1" applyProtection="1">
      <alignment horizontal="center"/>
    </xf>
    <xf numFmtId="43" fontId="1" fillId="0" borderId="45" xfId="117" applyFont="1" applyFill="1" applyBorder="1" applyAlignment="1" applyProtection="1">
      <alignment horizontal="right"/>
    </xf>
    <xf numFmtId="43" fontId="116" fillId="40"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0" fontId="0" fillId="0" borderId="45" xfId="0" applyBorder="1" applyAlignment="1"/>
    <xf numFmtId="43" fontId="105" fillId="41" borderId="0" xfId="81" applyFont="1" applyFill="1" applyAlignment="1" applyProtection="1">
      <alignment horizontal="center" vertical="center"/>
    </xf>
    <xf numFmtId="43" fontId="33" fillId="33" borderId="0" xfId="97" applyFont="1" applyFill="1" applyAlignment="1" applyProtection="1">
      <alignment horizontal="center" vertical="center" wrapText="1"/>
    </xf>
    <xf numFmtId="174" fontId="24" fillId="33" borderId="45" xfId="117" applyNumberFormat="1" applyFont="1" applyFill="1" applyBorder="1" applyAlignment="1" applyProtection="1">
      <alignment horizontal="center" vertical="center"/>
    </xf>
    <xf numFmtId="43" fontId="1" fillId="0" borderId="45" xfId="117" applyFont="1" applyBorder="1" applyAlignment="1" applyProtection="1">
      <alignment horizontal="right"/>
    </xf>
    <xf numFmtId="43" fontId="20" fillId="0" borderId="0" xfId="97" applyFont="1" applyFill="1" applyAlignment="1" applyProtection="1">
      <alignment horizontal="right" vertical="center"/>
    </xf>
    <xf numFmtId="43" fontId="24" fillId="33" borderId="0" xfId="97" applyFont="1" applyFill="1" applyAlignment="1" applyProtection="1">
      <alignment horizontal="center" vertical="center" wrapText="1"/>
    </xf>
    <xf numFmtId="0" fontId="30" fillId="31" borderId="31" xfId="0" applyFont="1" applyFill="1" applyBorder="1" applyAlignment="1" applyProtection="1">
      <alignment horizontal="left" wrapText="1"/>
      <protection locked="0"/>
    </xf>
    <xf numFmtId="0" fontId="0" fillId="0" borderId="48" xfId="0" applyBorder="1" applyAlignment="1" applyProtection="1">
      <alignment horizontal="left" wrapText="1"/>
      <protection locked="0"/>
    </xf>
    <xf numFmtId="0" fontId="0" fillId="0" borderId="49" xfId="0" applyBorder="1" applyAlignment="1" applyProtection="1">
      <alignment horizontal="left" wrapText="1"/>
      <protection locked="0"/>
    </xf>
    <xf numFmtId="0" fontId="34" fillId="31" borderId="31" xfId="0" applyFont="1" applyFill="1" applyBorder="1" applyAlignment="1" applyProtection="1">
      <alignment horizontal="left" wrapText="1"/>
      <protection locked="0"/>
    </xf>
    <xf numFmtId="0" fontId="34" fillId="31" borderId="48" xfId="0" applyFont="1" applyFill="1" applyBorder="1" applyAlignment="1" applyProtection="1">
      <alignment horizontal="left" wrapText="1"/>
      <protection locked="0"/>
    </xf>
    <xf numFmtId="0" fontId="34" fillId="31" borderId="49" xfId="0" applyFont="1" applyFill="1" applyBorder="1" applyAlignment="1" applyProtection="1">
      <alignment horizontal="left" wrapText="1"/>
      <protection locked="0"/>
    </xf>
    <xf numFmtId="0" fontId="117" fillId="0" borderId="154" xfId="0" applyFont="1" applyFill="1" applyBorder="1" applyAlignment="1" applyProtection="1">
      <alignment horizontal="left" wrapText="1"/>
    </xf>
    <xf numFmtId="0" fontId="117" fillId="0" borderId="99" xfId="0" applyFont="1" applyFill="1" applyBorder="1" applyAlignment="1" applyProtection="1">
      <alignment horizontal="left" wrapText="1"/>
    </xf>
    <xf numFmtId="0" fontId="117" fillId="0" borderId="155" xfId="0" applyFont="1" applyFill="1" applyBorder="1" applyAlignment="1" applyProtection="1">
      <alignment horizontal="left" wrapText="1"/>
    </xf>
    <xf numFmtId="0" fontId="117" fillId="0" borderId="156" xfId="0" applyFont="1" applyFill="1" applyBorder="1" applyAlignment="1" applyProtection="1">
      <alignment horizontal="left" wrapText="1"/>
    </xf>
    <xf numFmtId="43" fontId="14" fillId="0" borderId="0" xfId="0" applyNumberFormat="1" applyFont="1" applyAlignment="1" applyProtection="1">
      <alignment horizontal="center" wrapText="1"/>
    </xf>
    <xf numFmtId="43" fontId="28" fillId="0" borderId="0" xfId="0" applyNumberFormat="1" applyFont="1" applyAlignment="1" applyProtection="1">
      <alignment horizontal="right"/>
    </xf>
    <xf numFmtId="15" fontId="28" fillId="0" borderId="0" xfId="0" applyNumberFormat="1" applyFont="1" applyAlignment="1" applyProtection="1">
      <alignment horizontal="right"/>
    </xf>
    <xf numFmtId="43" fontId="14" fillId="0" borderId="0" xfId="0" applyNumberFormat="1" applyFont="1" applyAlignment="1" applyProtection="1">
      <alignment horizontal="center"/>
    </xf>
    <xf numFmtId="43" fontId="28" fillId="0" borderId="0" xfId="0" applyNumberFormat="1" applyFont="1" applyAlignment="1" applyProtection="1">
      <alignment horizontal="left"/>
    </xf>
    <xf numFmtId="43" fontId="15" fillId="40" borderId="0" xfId="117" applyFont="1" applyFill="1" applyBorder="1" applyAlignment="1" applyProtection="1">
      <alignment horizontal="center"/>
    </xf>
    <xf numFmtId="0" fontId="110" fillId="0" borderId="0" xfId="0" applyFont="1" applyAlignment="1" applyProtection="1">
      <alignment horizontal="center"/>
    </xf>
    <xf numFmtId="43" fontId="109" fillId="0" borderId="149" xfId="0" applyNumberFormat="1" applyFont="1" applyBorder="1" applyAlignment="1" applyProtection="1">
      <alignment horizontal="center" vertical="center" wrapText="1"/>
    </xf>
    <xf numFmtId="43" fontId="109" fillId="0" borderId="150" xfId="0" applyNumberFormat="1" applyFont="1" applyBorder="1" applyAlignment="1" applyProtection="1">
      <alignment horizontal="center" vertical="center" wrapText="1"/>
    </xf>
    <xf numFmtId="43" fontId="109" fillId="0" borderId="151" xfId="0" applyNumberFormat="1" applyFont="1" applyBorder="1" applyAlignment="1" applyProtection="1">
      <alignment horizontal="center" vertical="center" wrapText="1"/>
    </xf>
    <xf numFmtId="0" fontId="0" fillId="0" borderId="153" xfId="0" applyBorder="1" applyAlignment="1" applyProtection="1">
      <alignment horizontal="center"/>
    </xf>
    <xf numFmtId="0" fontId="0" fillId="0" borderId="68" xfId="0" applyBorder="1" applyAlignment="1" applyProtection="1">
      <alignment horizontal="center"/>
    </xf>
    <xf numFmtId="0" fontId="0" fillId="0" borderId="138" xfId="0" applyFill="1" applyBorder="1" applyAlignment="1" applyProtection="1">
      <alignment horizontal="center" vertical="center"/>
    </xf>
    <xf numFmtId="0" fontId="0" fillId="0" borderId="139" xfId="0" applyFill="1" applyBorder="1" applyAlignment="1" applyProtection="1">
      <alignment horizontal="center" vertical="center"/>
    </xf>
    <xf numFmtId="0" fontId="0" fillId="0" borderId="140" xfId="0" applyFill="1" applyBorder="1" applyAlignment="1" applyProtection="1">
      <alignment horizontal="center" vertical="center"/>
    </xf>
    <xf numFmtId="43" fontId="28" fillId="0" borderId="0" xfId="0" applyNumberFormat="1" applyFont="1" applyAlignment="1">
      <alignment horizontal="right"/>
    </xf>
    <xf numFmtId="15" fontId="28" fillId="0" borderId="0" xfId="0" applyNumberFormat="1" applyFont="1" applyAlignment="1">
      <alignment horizontal="right"/>
    </xf>
    <xf numFmtId="0" fontId="0" fillId="0" borderId="48" xfId="0" applyBorder="1" applyAlignment="1">
      <alignment horizontal="left" wrapText="1"/>
    </xf>
    <xf numFmtId="0" fontId="0" fillId="0" borderId="49" xfId="0" applyBorder="1" applyAlignment="1">
      <alignment horizontal="left" wrapText="1"/>
    </xf>
    <xf numFmtId="43" fontId="14" fillId="0" borderId="0" xfId="0" applyNumberFormat="1" applyFont="1" applyAlignment="1">
      <alignment horizontal="center"/>
    </xf>
    <xf numFmtId="0" fontId="14" fillId="0" borderId="0" xfId="0" applyFont="1" applyBorder="1" applyAlignment="1">
      <alignment horizontal="center"/>
    </xf>
    <xf numFmtId="43" fontId="28" fillId="0" borderId="0" xfId="0" applyNumberFormat="1" applyFont="1" applyAlignment="1">
      <alignment horizontal="left"/>
    </xf>
    <xf numFmtId="43" fontId="61" fillId="41" borderId="0" xfId="93" applyFont="1" applyFill="1" applyAlignment="1">
      <alignment horizontal="center" vertical="center"/>
    </xf>
    <xf numFmtId="0" fontId="110" fillId="0" borderId="0" xfId="0" applyFont="1" applyAlignment="1">
      <alignment horizontal="center"/>
    </xf>
    <xf numFmtId="0" fontId="85" fillId="0" borderId="0" xfId="0" applyFont="1" applyAlignment="1">
      <alignment horizontal="left" wrapText="1"/>
    </xf>
    <xf numFmtId="43" fontId="61" fillId="41" borderId="0" xfId="93" applyFont="1" applyFill="1" applyAlignment="1" applyProtection="1">
      <alignment horizontal="center" vertical="center"/>
    </xf>
    <xf numFmtId="0" fontId="34" fillId="0" borderId="117" xfId="0" applyFont="1" applyBorder="1" applyAlignment="1" applyProtection="1">
      <alignment horizontal="left" vertical="center"/>
    </xf>
    <xf numFmtId="43" fontId="110" fillId="0" borderId="0" xfId="0" applyNumberFormat="1" applyFont="1" applyAlignment="1" applyProtection="1">
      <alignment horizontal="center"/>
    </xf>
    <xf numFmtId="43" fontId="33" fillId="0" borderId="0" xfId="0" applyNumberFormat="1" applyFont="1" applyAlignment="1" applyProtection="1">
      <alignment horizontal="center"/>
    </xf>
    <xf numFmtId="43" fontId="15" fillId="40" borderId="0" xfId="118" applyFont="1" applyFill="1" applyBorder="1" applyAlignment="1" applyProtection="1">
      <alignment horizontal="center"/>
    </xf>
    <xf numFmtId="0" fontId="34" fillId="0" borderId="31"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49" xfId="0" applyFont="1" applyBorder="1" applyAlignment="1" applyProtection="1">
      <alignment horizontal="center" vertical="center"/>
    </xf>
    <xf numFmtId="9" fontId="34" fillId="31" borderId="12" xfId="112" applyFont="1" applyFill="1" applyBorder="1" applyAlignment="1" applyProtection="1">
      <alignment horizontal="left" vertical="center" wrapText="1"/>
      <protection locked="0"/>
    </xf>
    <xf numFmtId="9" fontId="28" fillId="0" borderId="31" xfId="112" applyFont="1" applyBorder="1" applyAlignment="1" applyProtection="1">
      <alignment horizontal="center" vertical="center" wrapText="1"/>
    </xf>
    <xf numFmtId="9" fontId="28" fillId="0" borderId="48" xfId="112" applyFont="1" applyBorder="1" applyAlignment="1" applyProtection="1">
      <alignment horizontal="center" vertical="center" wrapText="1"/>
    </xf>
    <xf numFmtId="9" fontId="28" fillId="0" borderId="49" xfId="112" applyFont="1" applyBorder="1" applyAlignment="1" applyProtection="1">
      <alignment horizontal="center" vertical="center" wrapText="1"/>
    </xf>
    <xf numFmtId="9" fontId="37" fillId="44" borderId="31" xfId="112" applyFont="1" applyFill="1" applyBorder="1" applyAlignment="1" applyProtection="1">
      <alignment horizontal="center" vertical="center" wrapText="1"/>
    </xf>
    <xf numFmtId="9" fontId="37" fillId="44" borderId="49" xfId="112" applyFont="1" applyFill="1" applyBorder="1" applyAlignment="1" applyProtection="1">
      <alignment horizontal="center" vertical="center" wrapText="1"/>
    </xf>
    <xf numFmtId="9" fontId="37" fillId="45" borderId="31" xfId="112" applyFont="1" applyFill="1" applyBorder="1" applyAlignment="1" applyProtection="1">
      <alignment horizontal="center" vertical="center" wrapText="1"/>
    </xf>
    <xf numFmtId="9" fontId="37" fillId="45" borderId="49" xfId="112" applyFont="1" applyFill="1" applyBorder="1" applyAlignment="1" applyProtection="1">
      <alignment horizontal="center" vertical="center" wrapText="1"/>
    </xf>
    <xf numFmtId="0" fontId="33" fillId="0" borderId="110" xfId="0" applyFont="1" applyBorder="1" applyAlignment="1" applyProtection="1">
      <alignment horizontal="center"/>
    </xf>
    <xf numFmtId="0" fontId="34" fillId="0" borderId="12" xfId="0" applyFont="1" applyBorder="1" applyAlignment="1" applyProtection="1">
      <alignment horizontal="center" vertical="center" wrapText="1"/>
    </xf>
    <xf numFmtId="0" fontId="34" fillId="47" borderId="12" xfId="0" applyFont="1" applyFill="1" applyBorder="1" applyAlignment="1" applyProtection="1">
      <alignment vertical="center" wrapText="1"/>
    </xf>
    <xf numFmtId="0" fontId="34" fillId="29" borderId="0" xfId="0" applyFont="1" applyFill="1" applyAlignment="1" applyProtection="1">
      <alignment horizontal="center" vertical="center" wrapText="1"/>
    </xf>
    <xf numFmtId="0" fontId="34" fillId="0" borderId="31" xfId="0" applyFont="1" applyBorder="1" applyAlignment="1" applyProtection="1">
      <alignment vertical="center" wrapText="1"/>
    </xf>
    <xf numFmtId="0" fontId="34" fillId="0" borderId="48" xfId="0" applyFont="1" applyBorder="1" applyAlignment="1" applyProtection="1">
      <alignment vertical="center" wrapText="1"/>
    </xf>
    <xf numFmtId="0" fontId="34" fillId="0" borderId="49" xfId="0" applyFont="1" applyBorder="1" applyAlignment="1" applyProtection="1">
      <alignment vertical="center" wrapText="1"/>
    </xf>
    <xf numFmtId="0" fontId="34" fillId="0" borderId="12" xfId="0" applyFont="1" applyBorder="1" applyAlignment="1" applyProtection="1">
      <alignment vertical="center" wrapText="1"/>
    </xf>
    <xf numFmtId="0" fontId="34" fillId="29" borderId="0" xfId="0" applyFont="1" applyFill="1" applyAlignment="1" applyProtection="1">
      <alignment horizontal="left"/>
      <protection locked="0"/>
    </xf>
    <xf numFmtId="0" fontId="34" fillId="29" borderId="46" xfId="0" applyFont="1" applyFill="1" applyBorder="1" applyAlignment="1" applyProtection="1">
      <alignment horizontal="left"/>
      <protection locked="0"/>
    </xf>
    <xf numFmtId="0" fontId="34" fillId="29" borderId="157" xfId="0" applyFont="1" applyFill="1" applyBorder="1" applyAlignment="1" applyProtection="1">
      <alignment horizontal="left"/>
      <protection locked="0"/>
    </xf>
    <xf numFmtId="0" fontId="34" fillId="29" borderId="0" xfId="0" applyFont="1" applyFill="1" applyBorder="1" applyAlignment="1" applyProtection="1">
      <alignment horizontal="left"/>
      <protection locked="0"/>
    </xf>
    <xf numFmtId="0" fontId="34" fillId="29" borderId="0" xfId="0" applyFont="1" applyFill="1" applyBorder="1" applyAlignment="1" applyProtection="1">
      <alignment horizontal="left"/>
    </xf>
    <xf numFmtId="0" fontId="34" fillId="29" borderId="117" xfId="0" applyFont="1" applyFill="1" applyBorder="1" applyAlignment="1" applyProtection="1">
      <alignment horizontal="left"/>
    </xf>
    <xf numFmtId="0" fontId="34" fillId="29" borderId="117" xfId="0" applyFont="1" applyFill="1" applyBorder="1" applyAlignment="1" applyProtection="1">
      <alignment horizontal="left" vertical="center" wrapText="1"/>
    </xf>
    <xf numFmtId="0" fontId="34" fillId="31" borderId="31" xfId="0" applyFont="1" applyFill="1" applyBorder="1" applyAlignment="1" applyProtection="1">
      <alignment horizontal="left" vertical="top" wrapText="1"/>
      <protection locked="0"/>
    </xf>
    <xf numFmtId="0" fontId="0" fillId="0" borderId="48" xfId="0" applyBorder="1" applyAlignment="1">
      <alignment horizontal="left" vertical="top" wrapText="1"/>
    </xf>
    <xf numFmtId="0" fontId="0" fillId="0" borderId="49" xfId="0" applyBorder="1" applyAlignment="1">
      <alignment horizontal="left" vertical="top" wrapText="1"/>
    </xf>
    <xf numFmtId="0" fontId="34" fillId="31" borderId="48" xfId="0" applyFont="1" applyFill="1" applyBorder="1" applyAlignment="1" applyProtection="1">
      <alignment horizontal="left" vertical="top" wrapText="1"/>
      <protection locked="0"/>
    </xf>
    <xf numFmtId="0" fontId="34" fillId="31" borderId="49" xfId="0" applyFont="1" applyFill="1" applyBorder="1" applyAlignment="1" applyProtection="1">
      <alignment horizontal="left" vertical="top" wrapText="1"/>
      <protection locked="0"/>
    </xf>
    <xf numFmtId="0" fontId="2" fillId="31" borderId="167" xfId="0" applyFont="1" applyFill="1" applyBorder="1" applyAlignment="1" applyProtection="1">
      <alignment horizontal="center" vertical="top" wrapText="1"/>
      <protection locked="0"/>
    </xf>
    <xf numFmtId="0" fontId="2" fillId="31" borderId="168" xfId="0" applyFont="1" applyFill="1" applyBorder="1" applyAlignment="1" applyProtection="1">
      <alignment horizontal="center" vertical="top" wrapText="1"/>
      <protection locked="0"/>
    </xf>
    <xf numFmtId="0" fontId="2" fillId="31" borderId="169" xfId="0" applyFont="1" applyFill="1" applyBorder="1" applyAlignment="1" applyProtection="1">
      <alignment horizontal="center" vertical="top" wrapText="1"/>
      <protection locked="0"/>
    </xf>
    <xf numFmtId="0" fontId="2" fillId="31" borderId="208" xfId="0" applyFont="1" applyFill="1" applyBorder="1" applyAlignment="1" applyProtection="1">
      <alignment horizontal="center" vertical="top" wrapText="1"/>
      <protection locked="0"/>
    </xf>
    <xf numFmtId="0" fontId="2" fillId="31" borderId="209" xfId="0" applyFont="1" applyFill="1" applyBorder="1" applyAlignment="1" applyProtection="1">
      <alignment horizontal="center" vertical="top" wrapText="1"/>
      <protection locked="0"/>
    </xf>
    <xf numFmtId="0" fontId="2" fillId="31" borderId="210" xfId="0" applyFont="1" applyFill="1" applyBorder="1" applyAlignment="1" applyProtection="1">
      <alignment horizontal="center" vertical="top" wrapText="1"/>
      <protection locked="0"/>
    </xf>
    <xf numFmtId="0" fontId="79" fillId="28" borderId="14" xfId="0" applyFont="1" applyFill="1" applyBorder="1" applyAlignment="1" applyProtection="1">
      <alignment horizontal="center" vertical="center"/>
    </xf>
    <xf numFmtId="0" fontId="60" fillId="34" borderId="196" xfId="0" applyFont="1" applyFill="1" applyBorder="1" applyAlignment="1" applyProtection="1">
      <alignment horizontal="center" vertical="center"/>
    </xf>
    <xf numFmtId="0" fontId="60" fillId="34" borderId="197" xfId="0" applyFont="1" applyFill="1" applyBorder="1" applyAlignment="1" applyProtection="1">
      <alignment horizontal="center" vertical="center"/>
    </xf>
    <xf numFmtId="0" fontId="60" fillId="34" borderId="198" xfId="0" applyFont="1" applyFill="1" applyBorder="1" applyAlignment="1" applyProtection="1">
      <alignment horizontal="center" vertical="center"/>
    </xf>
    <xf numFmtId="0" fontId="2" fillId="33" borderId="199" xfId="0" applyFont="1" applyFill="1" applyBorder="1" applyAlignment="1" applyProtection="1">
      <alignment horizontal="center" vertical="top" wrapText="1"/>
      <protection locked="0"/>
    </xf>
    <xf numFmtId="0" fontId="2" fillId="33" borderId="200" xfId="0" applyFont="1" applyFill="1" applyBorder="1" applyAlignment="1" applyProtection="1">
      <alignment horizontal="center" vertical="top" wrapText="1"/>
      <protection locked="0"/>
    </xf>
    <xf numFmtId="0" fontId="2" fillId="33" borderId="201" xfId="0" applyFont="1" applyFill="1" applyBorder="1" applyAlignment="1" applyProtection="1">
      <alignment horizontal="center" vertical="top" wrapText="1"/>
      <protection locked="0"/>
    </xf>
    <xf numFmtId="0" fontId="2" fillId="33" borderId="202" xfId="0" applyFont="1" applyFill="1" applyBorder="1" applyAlignment="1" applyProtection="1">
      <alignment horizontal="center" vertical="top" wrapText="1"/>
      <protection locked="0"/>
    </xf>
    <xf numFmtId="0" fontId="2" fillId="33" borderId="203" xfId="0" applyFont="1" applyFill="1" applyBorder="1" applyAlignment="1" applyProtection="1">
      <alignment horizontal="center" vertical="top" wrapText="1"/>
      <protection locked="0"/>
    </xf>
    <xf numFmtId="0" fontId="2" fillId="33" borderId="204" xfId="0" applyFont="1" applyFill="1" applyBorder="1" applyAlignment="1" applyProtection="1">
      <alignment horizontal="center" vertical="top" wrapText="1"/>
      <protection locked="0"/>
    </xf>
    <xf numFmtId="0" fontId="2" fillId="33" borderId="182" xfId="0" applyFont="1" applyFill="1" applyBorder="1" applyAlignment="1" applyProtection="1">
      <alignment horizontal="center" vertical="top" wrapText="1"/>
      <protection locked="0"/>
    </xf>
    <xf numFmtId="0" fontId="2" fillId="33" borderId="183" xfId="0" applyFont="1" applyFill="1" applyBorder="1" applyAlignment="1" applyProtection="1">
      <alignment horizontal="center" vertical="top" wrapText="1"/>
      <protection locked="0"/>
    </xf>
    <xf numFmtId="0" fontId="2" fillId="33" borderId="184" xfId="0" applyFont="1" applyFill="1" applyBorder="1" applyAlignment="1" applyProtection="1">
      <alignment horizontal="center" vertical="top" wrapText="1"/>
      <protection locked="0"/>
    </xf>
    <xf numFmtId="0" fontId="78" fillId="0" borderId="205" xfId="0" applyFont="1" applyFill="1" applyBorder="1" applyAlignment="1" applyProtection="1">
      <alignment horizontal="center"/>
    </xf>
    <xf numFmtId="0" fontId="78" fillId="0" borderId="176" xfId="0" applyFont="1" applyFill="1" applyBorder="1" applyAlignment="1" applyProtection="1">
      <alignment horizontal="center"/>
    </xf>
    <xf numFmtId="49" fontId="2" fillId="34" borderId="191" xfId="0" applyNumberFormat="1" applyFont="1" applyFill="1" applyBorder="1" applyAlignment="1" applyProtection="1">
      <alignment horizontal="center" vertical="center"/>
      <protection locked="0"/>
    </xf>
    <xf numFmtId="49" fontId="2" fillId="34" borderId="159" xfId="0" applyNumberFormat="1" applyFont="1" applyFill="1" applyBorder="1" applyAlignment="1" applyProtection="1">
      <alignment horizontal="center" vertical="center"/>
      <protection locked="0"/>
    </xf>
    <xf numFmtId="49" fontId="2" fillId="34" borderId="192" xfId="0" applyNumberFormat="1" applyFont="1" applyFill="1" applyBorder="1" applyAlignment="1" applyProtection="1">
      <alignment horizontal="center" vertical="center"/>
      <protection locked="0"/>
    </xf>
    <xf numFmtId="49" fontId="2" fillId="34" borderId="206" xfId="0" applyNumberFormat="1" applyFont="1" applyFill="1" applyBorder="1" applyAlignment="1" applyProtection="1">
      <alignment horizontal="center" vertical="center"/>
      <protection locked="0"/>
    </xf>
    <xf numFmtId="49" fontId="2" fillId="34" borderId="16" xfId="0" applyNumberFormat="1" applyFont="1" applyFill="1" applyBorder="1" applyAlignment="1" applyProtection="1">
      <alignment horizontal="center" vertical="center"/>
      <protection locked="0"/>
    </xf>
    <xf numFmtId="49" fontId="2" fillId="34" borderId="207"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horizontal="center"/>
    </xf>
    <xf numFmtId="0" fontId="80" fillId="0" borderId="170" xfId="0" applyNumberFormat="1" applyFont="1" applyFill="1" applyBorder="1" applyAlignment="1" applyProtection="1">
      <alignment horizontal="left" vertical="top" wrapText="1"/>
    </xf>
    <xf numFmtId="0" fontId="80" fillId="0" borderId="171" xfId="0" applyNumberFormat="1" applyFont="1" applyFill="1" applyBorder="1" applyAlignment="1" applyProtection="1">
      <alignment horizontal="left" vertical="top" wrapText="1"/>
    </xf>
    <xf numFmtId="0" fontId="80" fillId="0" borderId="172" xfId="0" applyNumberFormat="1" applyFont="1" applyFill="1" applyBorder="1" applyAlignment="1" applyProtection="1">
      <alignment horizontal="left" vertical="top" wrapText="1"/>
    </xf>
    <xf numFmtId="0" fontId="80" fillId="0" borderId="173" xfId="0" applyNumberFormat="1" applyFont="1" applyFill="1" applyBorder="1" applyAlignment="1" applyProtection="1">
      <alignment horizontal="left" vertical="top" wrapText="1"/>
    </xf>
    <xf numFmtId="0" fontId="110" fillId="0" borderId="0" xfId="0" applyFont="1" applyBorder="1" applyAlignment="1" applyProtection="1">
      <alignment horizontal="center"/>
    </xf>
    <xf numFmtId="0" fontId="80" fillId="0" borderId="188" xfId="0" applyNumberFormat="1" applyFont="1" applyFill="1" applyBorder="1" applyAlignment="1" applyProtection="1">
      <alignment horizontal="left" vertical="top" wrapText="1"/>
    </xf>
    <xf numFmtId="0" fontId="80" fillId="0" borderId="189" xfId="0" applyNumberFormat="1" applyFont="1" applyFill="1" applyBorder="1" applyAlignment="1" applyProtection="1">
      <alignment horizontal="left" vertical="top" wrapText="1"/>
    </xf>
    <xf numFmtId="0" fontId="80" fillId="0" borderId="190" xfId="0" applyNumberFormat="1" applyFont="1" applyFill="1" applyBorder="1" applyAlignment="1" applyProtection="1">
      <alignment horizontal="left" vertical="top" wrapText="1"/>
    </xf>
    <xf numFmtId="49" fontId="2" fillId="34" borderId="193" xfId="0" applyNumberFormat="1" applyFont="1" applyFill="1" applyBorder="1" applyAlignment="1" applyProtection="1">
      <alignment horizontal="center" vertical="center"/>
      <protection locked="0"/>
    </xf>
    <xf numFmtId="49" fontId="2" fillId="34" borderId="194" xfId="0" applyNumberFormat="1" applyFont="1" applyFill="1" applyBorder="1" applyAlignment="1" applyProtection="1">
      <alignment horizontal="center" vertical="center"/>
      <protection locked="0"/>
    </xf>
    <xf numFmtId="49" fontId="2" fillId="34" borderId="195" xfId="0" applyNumberFormat="1" applyFont="1" applyFill="1" applyBorder="1" applyAlignment="1" applyProtection="1">
      <alignment horizontal="center" vertical="center"/>
      <protection locked="0"/>
    </xf>
    <xf numFmtId="0" fontId="124" fillId="33" borderId="177" xfId="0" applyFont="1" applyFill="1" applyBorder="1" applyAlignment="1" applyProtection="1">
      <alignment horizontal="center" vertical="center"/>
    </xf>
    <xf numFmtId="0" fontId="124" fillId="33" borderId="178" xfId="0" applyFont="1" applyFill="1" applyBorder="1" applyAlignment="1" applyProtection="1">
      <alignment horizontal="center" vertical="center"/>
    </xf>
    <xf numFmtId="0" fontId="0" fillId="0" borderId="178" xfId="0" applyBorder="1" applyAlignment="1">
      <alignment horizontal="center" vertical="center"/>
    </xf>
    <xf numFmtId="0" fontId="124" fillId="33" borderId="179" xfId="0" applyFont="1" applyFill="1" applyBorder="1" applyAlignment="1" applyProtection="1">
      <alignment horizontal="center" vertical="center"/>
    </xf>
    <xf numFmtId="0" fontId="124" fillId="33" borderId="180" xfId="0" applyFont="1" applyFill="1" applyBorder="1" applyAlignment="1" applyProtection="1">
      <alignment horizontal="center" vertical="center"/>
    </xf>
    <xf numFmtId="0" fontId="124" fillId="33" borderId="181" xfId="0" applyFont="1" applyFill="1" applyBorder="1" applyAlignment="1" applyProtection="1">
      <alignment horizontal="center" vertical="center"/>
    </xf>
    <xf numFmtId="9" fontId="2" fillId="0" borderId="158" xfId="112" applyNumberFormat="1" applyFont="1" applyFill="1" applyBorder="1" applyAlignment="1" applyProtection="1">
      <alignment horizontal="left" vertical="center" wrapText="1"/>
    </xf>
    <xf numFmtId="0" fontId="2" fillId="0" borderId="159" xfId="112" applyNumberFormat="1" applyFont="1" applyFill="1" applyBorder="1" applyAlignment="1" applyProtection="1">
      <alignment horizontal="left" vertical="center" wrapText="1"/>
    </xf>
    <xf numFmtId="0" fontId="2" fillId="0" borderId="160" xfId="112" applyNumberFormat="1" applyFont="1" applyFill="1" applyBorder="1" applyAlignment="1" applyProtection="1">
      <alignment horizontal="left" vertical="center" wrapText="1"/>
    </xf>
    <xf numFmtId="0" fontId="2" fillId="0" borderId="158" xfId="112" applyNumberFormat="1" applyFont="1" applyFill="1" applyBorder="1" applyAlignment="1" applyProtection="1">
      <alignment horizontal="left" vertical="center" wrapText="1"/>
    </xf>
    <xf numFmtId="0" fontId="80" fillId="0" borderId="174" xfId="0" applyNumberFormat="1" applyFont="1" applyFill="1" applyBorder="1" applyAlignment="1" applyProtection="1">
      <alignment horizontal="left" vertical="top" wrapText="1"/>
    </xf>
    <xf numFmtId="0" fontId="80" fillId="0" borderId="175" xfId="0" applyNumberFormat="1" applyFont="1" applyFill="1" applyBorder="1" applyAlignment="1" applyProtection="1">
      <alignment horizontal="left" vertical="top" wrapText="1"/>
    </xf>
    <xf numFmtId="0" fontId="60" fillId="31" borderId="161" xfId="0" applyFont="1" applyFill="1" applyBorder="1" applyAlignment="1" applyProtection="1">
      <alignment horizontal="center" vertical="center"/>
    </xf>
    <xf numFmtId="0" fontId="60" fillId="31" borderId="162" xfId="0" applyFont="1" applyFill="1" applyBorder="1" applyAlignment="1" applyProtection="1">
      <alignment horizontal="center" vertical="center"/>
    </xf>
    <xf numFmtId="0" fontId="60" fillId="31" borderId="163" xfId="0" applyFont="1" applyFill="1" applyBorder="1" applyAlignment="1" applyProtection="1">
      <alignment horizontal="center" vertical="center"/>
    </xf>
    <xf numFmtId="0" fontId="80" fillId="0" borderId="164" xfId="0" applyNumberFormat="1" applyFont="1" applyFill="1" applyBorder="1" applyAlignment="1" applyProtection="1">
      <alignment horizontal="left" vertical="center" wrapText="1"/>
    </xf>
    <xf numFmtId="0" fontId="80" fillId="0" borderId="165" xfId="0" applyNumberFormat="1" applyFont="1" applyFill="1" applyBorder="1" applyAlignment="1" applyProtection="1">
      <alignment horizontal="left" vertical="center" wrapText="1"/>
    </xf>
    <xf numFmtId="0" fontId="80" fillId="0" borderId="166" xfId="0" applyNumberFormat="1" applyFont="1" applyFill="1" applyBorder="1" applyAlignment="1" applyProtection="1">
      <alignment horizontal="left" vertical="center" wrapText="1"/>
    </xf>
    <xf numFmtId="0" fontId="2" fillId="31" borderId="185" xfId="0" applyFont="1" applyFill="1" applyBorder="1" applyAlignment="1" applyProtection="1">
      <alignment horizontal="center" vertical="top" wrapText="1"/>
      <protection locked="0"/>
    </xf>
    <xf numFmtId="0" fontId="2" fillId="31" borderId="186" xfId="0" applyFont="1" applyFill="1" applyBorder="1" applyAlignment="1" applyProtection="1">
      <alignment horizontal="center" vertical="top" wrapText="1"/>
      <protection locked="0"/>
    </xf>
    <xf numFmtId="0" fontId="2" fillId="31" borderId="187" xfId="0" applyFont="1" applyFill="1" applyBorder="1" applyAlignment="1" applyProtection="1">
      <alignment horizontal="center" vertical="top" wrapText="1"/>
      <protection locked="0"/>
    </xf>
    <xf numFmtId="0" fontId="99" fillId="30" borderId="221" xfId="0" applyFont="1" applyFill="1" applyBorder="1" applyAlignment="1">
      <alignment horizontal="center" vertical="center" textRotation="90"/>
    </xf>
    <xf numFmtId="0" fontId="0" fillId="30" borderId="96" xfId="0" applyFill="1" applyBorder="1" applyAlignment="1">
      <alignment horizontal="center" vertical="center" textRotation="90"/>
    </xf>
    <xf numFmtId="0" fontId="0" fillId="30" borderId="113" xfId="0" applyFill="1" applyBorder="1" applyAlignment="1">
      <alignment horizontal="center" vertical="center" textRotation="90"/>
    </xf>
    <xf numFmtId="0" fontId="77" fillId="30" borderId="226" xfId="109" applyNumberFormat="1" applyFont="1" applyFill="1" applyBorder="1" applyAlignment="1">
      <alignment horizontal="center" vertical="center" wrapText="1"/>
    </xf>
    <xf numFmtId="0" fontId="77" fillId="30" borderId="15" xfId="109" applyNumberFormat="1" applyFont="1" applyFill="1" applyBorder="1" applyAlignment="1">
      <alignment horizontal="center" vertical="center" wrapText="1"/>
    </xf>
    <xf numFmtId="0" fontId="21" fillId="0" borderId="219"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33" fillId="0" borderId="0" xfId="0" applyFont="1" applyAlignment="1">
      <alignment horizontal="center"/>
    </xf>
    <xf numFmtId="0" fontId="77" fillId="30" borderId="223" xfId="109" applyNumberFormat="1" applyFont="1" applyFill="1" applyBorder="1" applyAlignment="1">
      <alignment horizontal="center" vertical="center" wrapText="1"/>
    </xf>
    <xf numFmtId="0" fontId="77" fillId="30" borderId="224" xfId="109" applyNumberFormat="1" applyFont="1" applyFill="1" applyBorder="1" applyAlignment="1">
      <alignment horizontal="center" vertical="center" wrapText="1"/>
    </xf>
    <xf numFmtId="0" fontId="77" fillId="30" borderId="225" xfId="109" applyNumberFormat="1" applyFont="1" applyFill="1" applyBorder="1" applyAlignment="1">
      <alignment horizontal="center" vertical="center" wrapText="1"/>
    </xf>
    <xf numFmtId="0" fontId="21" fillId="0" borderId="220" xfId="0" applyFont="1" applyFill="1" applyBorder="1" applyAlignment="1" applyProtection="1">
      <alignment horizontal="left"/>
      <protection locked="0"/>
    </xf>
    <xf numFmtId="0" fontId="21" fillId="0" borderId="214" xfId="0" applyFont="1" applyFill="1" applyBorder="1" applyAlignment="1" applyProtection="1">
      <alignment horizontal="left"/>
      <protection locked="0"/>
    </xf>
    <xf numFmtId="0" fontId="21" fillId="0" borderId="219" xfId="0" applyFont="1" applyBorder="1" applyAlignment="1" applyProtection="1">
      <alignment horizontal="left"/>
      <protection locked="0"/>
    </xf>
    <xf numFmtId="0" fontId="21" fillId="0" borderId="212" xfId="0" applyFont="1" applyBorder="1" applyAlignment="1" applyProtection="1">
      <alignment horizontal="left"/>
      <protection locked="0"/>
    </xf>
    <xf numFmtId="0" fontId="21" fillId="0" borderId="227" xfId="0" applyFont="1" applyFill="1" applyBorder="1" applyAlignment="1" applyProtection="1">
      <alignment horizontal="left" vertical="top" wrapText="1"/>
      <protection locked="0"/>
    </xf>
    <xf numFmtId="0" fontId="21" fillId="0" borderId="228" xfId="0" applyFont="1" applyFill="1" applyBorder="1" applyAlignment="1" applyProtection="1">
      <alignment horizontal="left" vertical="top" wrapText="1"/>
      <protection locked="0"/>
    </xf>
    <xf numFmtId="0" fontId="21" fillId="0" borderId="229" xfId="0" applyFont="1" applyFill="1" applyBorder="1" applyAlignment="1" applyProtection="1">
      <alignment horizontal="left" vertical="top" wrapText="1"/>
      <protection locked="0"/>
    </xf>
    <xf numFmtId="0" fontId="21" fillId="0" borderId="230" xfId="0" applyFont="1" applyFill="1" applyBorder="1" applyAlignment="1" applyProtection="1">
      <alignment horizontal="left" vertical="top" wrapText="1"/>
      <protection locked="0"/>
    </xf>
    <xf numFmtId="0" fontId="21" fillId="0" borderId="194" xfId="0" applyFont="1" applyFill="1" applyBorder="1" applyAlignment="1" applyProtection="1">
      <alignment horizontal="left" vertical="top" wrapText="1"/>
      <protection locked="0"/>
    </xf>
    <xf numFmtId="0" fontId="21" fillId="0" borderId="231" xfId="0" applyFont="1" applyFill="1" applyBorder="1" applyAlignment="1" applyProtection="1">
      <alignment horizontal="left" vertical="top" wrapText="1"/>
      <protection locked="0"/>
    </xf>
    <xf numFmtId="0" fontId="21" fillId="0" borderId="217" xfId="0" applyFont="1" applyFill="1" applyBorder="1" applyAlignment="1" applyProtection="1">
      <alignment horizontal="left"/>
      <protection locked="0"/>
    </xf>
    <xf numFmtId="0" fontId="21" fillId="0" borderId="159" xfId="0" applyFont="1" applyFill="1" applyBorder="1" applyAlignment="1" applyProtection="1">
      <alignment horizontal="left"/>
      <protection locked="0"/>
    </xf>
    <xf numFmtId="0" fontId="21" fillId="0" borderId="218" xfId="0" applyFont="1" applyFill="1" applyBorder="1" applyAlignment="1" applyProtection="1">
      <alignment horizontal="left"/>
      <protection locked="0"/>
    </xf>
    <xf numFmtId="0" fontId="21" fillId="0" borderId="232" xfId="0" applyFont="1" applyFill="1" applyBorder="1" applyAlignment="1" applyProtection="1">
      <alignment horizontal="left"/>
      <protection locked="0"/>
    </xf>
    <xf numFmtId="0" fontId="21" fillId="0" borderId="233" xfId="0" applyFont="1" applyFill="1" applyBorder="1" applyAlignment="1" applyProtection="1">
      <alignment horizontal="left"/>
      <protection locked="0"/>
    </xf>
    <xf numFmtId="0" fontId="21" fillId="0" borderId="234" xfId="0" applyFont="1" applyFill="1" applyBorder="1" applyAlignment="1" applyProtection="1">
      <alignment horizontal="left"/>
      <protection locked="0"/>
    </xf>
    <xf numFmtId="0" fontId="21" fillId="0" borderId="159" xfId="0" applyFont="1" applyFill="1" applyBorder="1" applyAlignment="1" applyProtection="1">
      <alignment horizontal="left" vertical="center" wrapText="1"/>
      <protection locked="0"/>
    </xf>
    <xf numFmtId="0" fontId="21" fillId="0" borderId="218" xfId="0" applyFont="1" applyFill="1" applyBorder="1" applyAlignment="1" applyProtection="1">
      <alignment horizontal="left" vertical="center" wrapText="1"/>
      <protection locked="0"/>
    </xf>
    <xf numFmtId="0" fontId="21" fillId="0" borderId="233" xfId="0" applyFont="1" applyFill="1" applyBorder="1" applyAlignment="1" applyProtection="1">
      <alignment horizontal="left" vertical="center" wrapText="1"/>
      <protection locked="0"/>
    </xf>
    <xf numFmtId="0" fontId="21" fillId="0" borderId="234" xfId="0" applyFont="1" applyFill="1" applyBorder="1" applyAlignment="1" applyProtection="1">
      <alignment horizontal="left" vertical="center" wrapText="1"/>
      <protection locked="0"/>
    </xf>
    <xf numFmtId="0" fontId="21" fillId="0" borderId="222" xfId="0" applyFont="1" applyBorder="1" applyAlignment="1" applyProtection="1">
      <alignment horizontal="left"/>
      <protection locked="0"/>
    </xf>
    <xf numFmtId="0" fontId="21" fillId="0" borderId="41" xfId="0" applyFont="1" applyBorder="1" applyAlignment="1" applyProtection="1">
      <alignment horizontal="left"/>
      <protection locked="0"/>
    </xf>
    <xf numFmtId="0" fontId="21" fillId="0" borderId="41" xfId="0" applyFont="1" applyFill="1" applyBorder="1" applyAlignment="1" applyProtection="1">
      <alignment horizontal="left"/>
      <protection locked="0"/>
    </xf>
    <xf numFmtId="0" fontId="21" fillId="0" borderId="222" xfId="0" applyFont="1" applyFill="1" applyBorder="1" applyAlignment="1" applyProtection="1">
      <alignment horizontal="left"/>
      <protection locked="0"/>
    </xf>
    <xf numFmtId="0" fontId="21" fillId="0" borderId="235" xfId="0" applyFont="1" applyFill="1" applyBorder="1" applyAlignment="1" applyProtection="1">
      <alignment horizontal="left" vertical="top" wrapText="1"/>
      <protection locked="0"/>
    </xf>
    <xf numFmtId="0" fontId="21" fillId="0" borderId="236" xfId="0" applyFont="1" applyFill="1" applyBorder="1" applyAlignment="1" applyProtection="1">
      <alignment horizontal="left" vertical="top" wrapText="1"/>
      <protection locked="0"/>
    </xf>
    <xf numFmtId="0" fontId="21" fillId="0" borderId="237" xfId="0" applyFont="1" applyFill="1" applyBorder="1" applyAlignment="1" applyProtection="1">
      <alignment horizontal="left" vertical="top" wrapText="1"/>
      <protection locked="0"/>
    </xf>
    <xf numFmtId="0" fontId="21" fillId="0" borderId="238" xfId="0" applyFont="1" applyFill="1" applyBorder="1" applyAlignment="1" applyProtection="1">
      <alignment horizontal="left" vertical="top" wrapText="1"/>
      <protection locked="0"/>
    </xf>
    <xf numFmtId="0" fontId="21" fillId="0" borderId="220" xfId="0" applyFont="1" applyBorder="1" applyAlignment="1" applyProtection="1">
      <alignment horizontal="left"/>
      <protection locked="0"/>
    </xf>
    <xf numFmtId="0" fontId="21" fillId="0" borderId="214" xfId="0" applyFont="1" applyBorder="1" applyAlignment="1" applyProtection="1">
      <alignment horizontal="left"/>
      <protection locked="0"/>
    </xf>
    <xf numFmtId="0" fontId="21" fillId="0" borderId="213" xfId="0" applyFont="1" applyFill="1" applyBorder="1" applyAlignment="1" applyProtection="1">
      <alignment horizontal="left"/>
      <protection locked="0"/>
    </xf>
    <xf numFmtId="0" fontId="77" fillId="30" borderId="211" xfId="109" applyNumberFormat="1" applyFont="1" applyFill="1" applyBorder="1" applyAlignment="1">
      <alignment horizontal="center" vertical="center" wrapText="1"/>
    </xf>
    <xf numFmtId="0" fontId="21" fillId="0" borderId="215" xfId="0" applyFont="1" applyFill="1" applyBorder="1" applyAlignment="1" applyProtection="1">
      <alignment horizontal="left"/>
      <protection locked="0"/>
    </xf>
    <xf numFmtId="0" fontId="21" fillId="0" borderId="213" xfId="0" applyFont="1" applyBorder="1" applyAlignment="1" applyProtection="1">
      <alignment horizontal="left"/>
      <protection locked="0"/>
    </xf>
    <xf numFmtId="0" fontId="21" fillId="0" borderId="216" xfId="0" applyFont="1" applyBorder="1" applyAlignment="1" applyProtection="1">
      <alignment horizontal="left"/>
      <protection locked="0"/>
    </xf>
    <xf numFmtId="43" fontId="15" fillId="40" borderId="0" xfId="119" applyFont="1" applyFill="1" applyBorder="1" applyAlignment="1" applyProtection="1">
      <alignment horizontal="center"/>
      <protection locked="0"/>
    </xf>
    <xf numFmtId="0" fontId="21" fillId="0" borderId="216" xfId="0" applyFont="1" applyFill="1" applyBorder="1" applyAlignment="1" applyProtection="1">
      <alignment horizontal="left"/>
      <protection locked="0"/>
    </xf>
    <xf numFmtId="0" fontId="0" fillId="31" borderId="116" xfId="0" applyFill="1" applyBorder="1" applyAlignment="1" applyProtection="1">
      <alignment horizontal="center"/>
      <protection locked="0"/>
    </xf>
    <xf numFmtId="0" fontId="0" fillId="31" borderId="117" xfId="0" applyFill="1" applyBorder="1" applyAlignment="1" applyProtection="1">
      <alignment horizontal="center"/>
      <protection locked="0"/>
    </xf>
    <xf numFmtId="0" fontId="0" fillId="31" borderId="118" xfId="0" applyFill="1" applyBorder="1" applyAlignment="1" applyProtection="1">
      <alignment horizontal="center"/>
      <protection locked="0"/>
    </xf>
    <xf numFmtId="0" fontId="0" fillId="31" borderId="70" xfId="0" applyFill="1" applyBorder="1" applyAlignment="1" applyProtection="1">
      <alignment horizontal="center"/>
      <protection locked="0"/>
    </xf>
    <xf numFmtId="0" fontId="0" fillId="31" borderId="110" xfId="0" applyFill="1" applyBorder="1" applyAlignment="1" applyProtection="1">
      <alignment horizontal="center"/>
      <protection locked="0"/>
    </xf>
    <xf numFmtId="0" fontId="0" fillId="31" borderId="112" xfId="0" applyFill="1" applyBorder="1" applyAlignment="1" applyProtection="1">
      <alignment horizontal="center"/>
      <protection locked="0"/>
    </xf>
    <xf numFmtId="0" fontId="21" fillId="0" borderId="215" xfId="0" applyFont="1" applyBorder="1" applyAlignment="1" applyProtection="1">
      <alignment horizontal="left"/>
      <protection locked="0"/>
    </xf>
    <xf numFmtId="43" fontId="17" fillId="41" borderId="0" xfId="81" applyFont="1" applyFill="1" applyAlignment="1">
      <alignment horizontal="center" vertical="center"/>
    </xf>
  </cellXfs>
  <cellStyles count="153">
    <cellStyle name="_TB_Calc_number" xfId="1"/>
    <cellStyle name="_TB_Calc_percent" xfId="2"/>
    <cellStyle name="_TB_def_number" xfId="3"/>
    <cellStyle name="_TB_def_percent" xfId="4"/>
    <cellStyle name="_TB_subtitle2" xfId="5"/>
    <cellStyle name="20% - Accent1" xfId="6"/>
    <cellStyle name="20% - Accent2" xfId="7"/>
    <cellStyle name="20% - Accent3" xfId="8"/>
    <cellStyle name="20% - Accent4" xfId="9"/>
    <cellStyle name="20% - Accent5" xfId="10"/>
    <cellStyle name="20% - Accent6" xfId="11"/>
    <cellStyle name="20% - Акцент1" xfId="12"/>
    <cellStyle name="20% - Акцент2" xfId="13"/>
    <cellStyle name="20% - Акцент3" xfId="14"/>
    <cellStyle name="20% - Акцент4" xfId="15"/>
    <cellStyle name="20% - Акцент5" xfId="16"/>
    <cellStyle name="20% - Акцент6" xfId="17"/>
    <cellStyle name="40% - Accent1" xfId="18"/>
    <cellStyle name="40% - Accent2" xfId="19"/>
    <cellStyle name="40% - Accent3" xfId="20"/>
    <cellStyle name="40% - Accent4" xfId="21"/>
    <cellStyle name="40% - Accent5" xfId="22"/>
    <cellStyle name="40% - Accent6" xfId="23"/>
    <cellStyle name="40% - Акцент1" xfId="24"/>
    <cellStyle name="40% - Акцент2" xfId="25"/>
    <cellStyle name="40% - Акцент3" xfId="26"/>
    <cellStyle name="40% - Акцент4" xfId="27"/>
    <cellStyle name="40% - Акцент5" xfId="28"/>
    <cellStyle name="40% - Акцент6" xfId="29"/>
    <cellStyle name="60% - Accent1" xfId="30"/>
    <cellStyle name="60% - Accent2" xfId="31"/>
    <cellStyle name="60% - Accent3" xfId="32"/>
    <cellStyle name="60% - Accent4" xfId="33"/>
    <cellStyle name="60% - Accent5" xfId="34"/>
    <cellStyle name="60% - Accent6" xfId="35"/>
    <cellStyle name="60% - Акцент1" xfId="36"/>
    <cellStyle name="60% - Акцент2" xfId="37"/>
    <cellStyle name="60% - Акцент3" xfId="38"/>
    <cellStyle name="60% - Акцент4" xfId="39"/>
    <cellStyle name="60% - Акцент5" xfId="40"/>
    <cellStyle name="60% - Акцент6" xfId="41"/>
    <cellStyle name="Accent1" xfId="42"/>
    <cellStyle name="Accent2" xfId="43"/>
    <cellStyle name="Accent3" xfId="44"/>
    <cellStyle name="Accent4" xfId="45"/>
    <cellStyle name="Accent5" xfId="46"/>
    <cellStyle name="Accent6" xfId="47"/>
    <cellStyle name="Bad" xfId="48"/>
    <cellStyle name="Calculation" xfId="49"/>
    <cellStyle name="Check Cell" xfId="50"/>
    <cellStyle name="Comma" xfId="51" builtinId="3"/>
    <cellStyle name="Comma 2" xfId="52"/>
    <cellStyle name="Comma 2 2" xfId="53"/>
    <cellStyle name="Comma 2 3" xfId="54"/>
    <cellStyle name="Comma 3" xfId="55"/>
    <cellStyle name="Comma 3 2" xfId="56"/>
    <cellStyle name="Comma 4" xfId="57"/>
    <cellStyle name="Comma 5" xfId="58"/>
    <cellStyle name="Comma 5 2" xfId="59"/>
    <cellStyle name="Comma 6" xfId="60"/>
    <cellStyle name="Comma 6 2" xfId="61"/>
    <cellStyle name="Comma 7" xfId="62"/>
    <cellStyle name="Comma 8" xfId="63"/>
    <cellStyle name="Currency 2" xfId="64"/>
    <cellStyle name="Currency 3" xfId="65"/>
    <cellStyle name="Euro" xfId="66"/>
    <cellStyle name="Explanatory Text" xfId="67"/>
    <cellStyle name="Followed Hyperlink" xfId="150" builtinId="9" hidden="1"/>
    <cellStyle name="Followed Hyperlink" xfId="152" builtinId="9" hidden="1"/>
    <cellStyle name="Good" xfId="68"/>
    <cellStyle name="Heading 1" xfId="69"/>
    <cellStyle name="Heading 2" xfId="70"/>
    <cellStyle name="Heading 3" xfId="71"/>
    <cellStyle name="Heading 4" xfId="72"/>
    <cellStyle name="Hyperlink" xfId="149" builtinId="8" hidden="1"/>
    <cellStyle name="Hyperlink" xfId="151" builtinId="8" hidden="1"/>
    <cellStyle name="Hyperlink 2" xfId="73"/>
    <cellStyle name="Hyperlink 3" xfId="74"/>
    <cellStyle name="Input" xfId="75"/>
    <cellStyle name="Linked Cell" xfId="76"/>
    <cellStyle name="Millares 2" xfId="77"/>
    <cellStyle name="Normal" xfId="0" builtinId="0"/>
    <cellStyle name="Normal 10" xfId="78"/>
    <cellStyle name="Normal 11" xfId="79"/>
    <cellStyle name="Normal 12" xfId="80"/>
    <cellStyle name="Normal 2" xfId="81"/>
    <cellStyle name="Normal 2 2" xfId="82"/>
    <cellStyle name="Normal 2 2 2" xfId="83"/>
    <cellStyle name="Normal 2 3" xfId="84"/>
    <cellStyle name="Normal 2 3 2" xfId="85"/>
    <cellStyle name="Normal 2 4" xfId="86"/>
    <cellStyle name="Normal 2 4 2" xfId="87"/>
    <cellStyle name="Normal 2 5" xfId="88"/>
    <cellStyle name="Normal 2 6" xfId="89"/>
    <cellStyle name="Normal 2 7" xfId="90"/>
    <cellStyle name="Normal 2 8" xfId="91"/>
    <cellStyle name="Normal 2_Dashboard ver 2.2 ES" xfId="92"/>
    <cellStyle name="Normal 2_Prototipo" xfId="93"/>
    <cellStyle name="Normal 3" xfId="94"/>
    <cellStyle name="Normal 3 2" xfId="95"/>
    <cellStyle name="Normal 3 3" xfId="96"/>
    <cellStyle name="Normal 4" xfId="97"/>
    <cellStyle name="Normal 4 2" xfId="98"/>
    <cellStyle name="Normal 5" xfId="99"/>
    <cellStyle name="Normal 5 2" xfId="100"/>
    <cellStyle name="Normal 5 3" xfId="101"/>
    <cellStyle name="Normal 5 4" xfId="102"/>
    <cellStyle name="Normal 6" xfId="103"/>
    <cellStyle name="Normal 6 2" xfId="104"/>
    <cellStyle name="Normal 7 2" xfId="105"/>
    <cellStyle name="Normal 7 3" xfId="106"/>
    <cellStyle name="Normal 8 2" xfId="107"/>
    <cellStyle name="Normal 9" xfId="108"/>
    <cellStyle name="Normal_TZ_R3HIV_Phase_2_21_August_08" xfId="109"/>
    <cellStyle name="Note" xfId="110"/>
    <cellStyle name="Output" xfId="111"/>
    <cellStyle name="Percent" xfId="112" builtinId="5"/>
    <cellStyle name="Percent 2" xfId="113"/>
    <cellStyle name="Percent 3" xfId="114"/>
    <cellStyle name="Percent 4" xfId="115"/>
    <cellStyle name="Title" xfId="116"/>
    <cellStyle name="Título 3 3" xfId="117"/>
    <cellStyle name="Título 3 3_Prototipo" xfId="118"/>
    <cellStyle name="Título 3 3_PrototipoRep1" xfId="119"/>
    <cellStyle name="Título 3 7" xfId="120"/>
    <cellStyle name="Warning Text" xfId="121"/>
    <cellStyle name="Акцент1" xfId="122"/>
    <cellStyle name="Акцент2" xfId="123"/>
    <cellStyle name="Акцент3" xfId="124"/>
    <cellStyle name="Акцент4" xfId="125"/>
    <cellStyle name="Акцент5" xfId="126"/>
    <cellStyle name="Акцент6" xfId="127"/>
    <cellStyle name="Ввод " xfId="128"/>
    <cellStyle name="Вывод" xfId="129"/>
    <cellStyle name="Вычисление" xfId="130"/>
    <cellStyle name="Заголовок 1" xfId="131"/>
    <cellStyle name="Заголовок 2" xfId="132"/>
    <cellStyle name="Заголовок 3" xfId="133"/>
    <cellStyle name="Заголовок 4" xfId="134"/>
    <cellStyle name="Итог" xfId="135"/>
    <cellStyle name="Контрольная ячейка" xfId="136"/>
    <cellStyle name="Название" xfId="137"/>
    <cellStyle name="Нейтральный" xfId="138"/>
    <cellStyle name="Обычный 2" xfId="139"/>
    <cellStyle name="Обычный 3" xfId="140"/>
    <cellStyle name="Обычный_Книга1" xfId="141"/>
    <cellStyle name="Плохой" xfId="142"/>
    <cellStyle name="Пояснение" xfId="143"/>
    <cellStyle name="Примечание" xfId="144"/>
    <cellStyle name="Связанная ячейка" xfId="145"/>
    <cellStyle name="Текст предупреждения" xfId="146"/>
    <cellStyle name="Финансовый_AZE budget templates 21 May" xfId="147"/>
    <cellStyle name="Хороший" xfId="148"/>
  </cellStyles>
  <dxfs count="46">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Entry'!$C$33:$N$33</c:f>
              <c:numCache>
                <c:formatCode>#,##0</c:formatCode>
                <c:ptCount val="12"/>
                <c:pt idx="0">
                  <c:v>444558.86488592584</c:v>
                </c:pt>
                <c:pt idx="1">
                  <c:v>2614252.7382121803</c:v>
                </c:pt>
                <c:pt idx="2">
                  <c:v>4152069.7032671967</c:v>
                </c:pt>
                <c:pt idx="3">
                  <c:v>5689012.4282572595</c:v>
                </c:pt>
                <c:pt idx="4">
                  <c:v>6394927.0583475037</c:v>
                </c:pt>
                <c:pt idx="5">
                  <c:v>7919472.7608304648</c:v>
                </c:pt>
                <c:pt idx="6">
                  <c:v>9028395.1391595956</c:v>
                </c:pt>
                <c:pt idx="7">
                  <c:v>9501436.9106648564</c:v>
                </c:pt>
                <c:pt idx="8">
                  <c:v>10016978.378472121</c:v>
                </c:pt>
                <c:pt idx="9">
                  <c:v>11019203.663233975</c:v>
                </c:pt>
                <c:pt idx="10">
                  <c:v>11784104.165788259</c:v>
                </c:pt>
                <c:pt idx="11">
                  <c:v>12125490.680567253</c:v>
                </c:pt>
              </c:numCache>
            </c:numRef>
          </c:val>
          <c:extLst xmlns:c16r2="http://schemas.microsoft.com/office/drawing/2015/06/chart">
            <c:ext xmlns:c16="http://schemas.microsoft.com/office/drawing/2014/chart" uri="{C3380CC4-5D6E-409C-BE32-E72D297353CC}">
              <c16:uniqueId val="{00000000-C637-4995-9B41-6FCF3D1A01ED}"/>
            </c:ext>
          </c:extLst>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Entry'!$C$34:$N$34</c:f>
              <c:numCache>
                <c:formatCode>#,##0</c:formatCode>
                <c:ptCount val="12"/>
                <c:pt idx="0">
                  <c:v>872563</c:v>
                </c:pt>
                <c:pt idx="1">
                  <c:v>872563</c:v>
                </c:pt>
                <c:pt idx="2">
                  <c:v>4143118</c:v>
                </c:pt>
                <c:pt idx="3">
                  <c:v>5705060</c:v>
                </c:pt>
                <c:pt idx="4">
                  <c:v>6360975</c:v>
                </c:pt>
                <c:pt idx="5">
                  <c:v>7885521</c:v>
                </c:pt>
                <c:pt idx="6">
                  <c:v>7885521</c:v>
                </c:pt>
                <c:pt idx="7">
                  <c:v>8039370.3399999999</c:v>
                </c:pt>
                <c:pt idx="8">
                  <c:v>8039370.3399999999</c:v>
                </c:pt>
                <c:pt idx="9">
                  <c:v>8960940.8300000001</c:v>
                </c:pt>
                <c:pt idx="10">
                  <c:v>10519782.6</c:v>
                </c:pt>
                <c:pt idx="11">
                  <c:v>12125488.34</c:v>
                </c:pt>
              </c:numCache>
            </c:numRef>
          </c:val>
          <c:extLst xmlns:c16r2="http://schemas.microsoft.com/office/drawing/2015/06/chart">
            <c:ext xmlns:c16="http://schemas.microsoft.com/office/drawing/2014/chart" uri="{C3380CC4-5D6E-409C-BE32-E72D297353CC}">
              <c16:uniqueId val="{00000001-C637-4995-9B41-6FCF3D1A01ED}"/>
            </c:ext>
          </c:extLst>
        </c:ser>
        <c:dLbls>
          <c:showLegendKey val="0"/>
          <c:showVal val="0"/>
          <c:showCatName val="0"/>
          <c:showSerName val="0"/>
          <c:showPercent val="0"/>
          <c:showBubbleSize val="0"/>
        </c:dLbls>
        <c:gapWidth val="70"/>
        <c:axId val="1474165872"/>
        <c:axId val="1474164784"/>
      </c:barChart>
      <c:catAx>
        <c:axId val="1474165872"/>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1474164784"/>
        <c:crosses val="autoZero"/>
        <c:auto val="1"/>
        <c:lblAlgn val="ctr"/>
        <c:lblOffset val="100"/>
        <c:tickLblSkip val="1"/>
        <c:tickMarkSkip val="1"/>
        <c:noMultiLvlLbl val="0"/>
      </c:catAx>
      <c:valAx>
        <c:axId val="14741647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1474165872"/>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675" b="0" i="0" u="none" strike="noStrike" baseline="0">
                <a:solidFill>
                  <a:srgbClr val="000000"/>
                </a:solidFill>
                <a:latin typeface="Arial"/>
                <a:ea typeface="Arial"/>
                <a:cs typeface="Arial"/>
              </a:defRPr>
            </a:pPr>
            <a:endParaRPr lang="en-US"/>
          </a:p>
        </c:txPr>
      </c:legendEntry>
      <c:legendEntry>
        <c:idx val="1"/>
        <c:txPr>
          <a:bodyPr/>
          <a:lstStyle/>
          <a:p>
            <a:pPr>
              <a:defRPr sz="675" b="0" i="0" u="none" strike="noStrike" baseline="0">
                <a:solidFill>
                  <a:srgbClr val="000000"/>
                </a:solidFill>
                <a:latin typeface="Arial"/>
                <a:ea typeface="Arial"/>
                <a:cs typeface="Arial"/>
              </a:defRPr>
            </a:pPr>
            <a:endParaRPr lang="en-US"/>
          </a:p>
        </c:txPr>
      </c:legendEntry>
      <c:layout>
        <c:manualLayout>
          <c:xMode val="edge"/>
          <c:yMode val="edge"/>
          <c:x val="7.8536504926412995E-2"/>
          <c:y val="0.86029364233400996"/>
          <c:w val="0.845576672025944"/>
          <c:h val="0.10480716111359401"/>
        </c:manualLayout>
      </c:layout>
      <c:overlay val="0"/>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Entry'!$G$122</c:f>
              <c:strCache>
                <c:ptCount val="1"/>
              </c:strCache>
            </c:strRef>
          </c:tx>
          <c:spPr>
            <a:solidFill>
              <a:srgbClr val="0066CC"/>
            </a:solidFill>
            <a:ln w="25400">
              <a:noFill/>
            </a:ln>
          </c:spPr>
          <c:invertIfNegative val="0"/>
          <c:val>
            <c:numRef>
              <c:f>'Data Entry'!$H$122:$S$122</c:f>
              <c:numCache>
                <c:formatCode>#,##0</c:formatCode>
                <c:ptCount val="12"/>
                <c:pt idx="0">
                  <c:v>75</c:v>
                </c:pt>
                <c:pt idx="1">
                  <c:v>75</c:v>
                </c:pt>
                <c:pt idx="2">
                  <c:v>75</c:v>
                </c:pt>
                <c:pt idx="3">
                  <c:v>75</c:v>
                </c:pt>
                <c:pt idx="4">
                  <c:v>80</c:v>
                </c:pt>
                <c:pt idx="5">
                  <c:v>80</c:v>
                </c:pt>
                <c:pt idx="6">
                  <c:v>80</c:v>
                </c:pt>
                <c:pt idx="7">
                  <c:v>80</c:v>
                </c:pt>
                <c:pt idx="8">
                  <c:v>85</c:v>
                </c:pt>
                <c:pt idx="9">
                  <c:v>85</c:v>
                </c:pt>
                <c:pt idx="10">
                  <c:v>85</c:v>
                </c:pt>
                <c:pt idx="11">
                  <c:v>85</c:v>
                </c:pt>
              </c:numCache>
            </c:numRef>
          </c:val>
          <c:extLst xmlns:c16r2="http://schemas.microsoft.com/office/drawing/2015/06/chart">
            <c:ext xmlns:c16="http://schemas.microsoft.com/office/drawing/2014/chart" uri="{C3380CC4-5D6E-409C-BE32-E72D297353CC}">
              <c16:uniqueId val="{00000000-4FC4-484F-BF0D-E75A9C71DCB5}"/>
            </c:ext>
          </c:extLst>
        </c:ser>
        <c:ser>
          <c:idx val="1"/>
          <c:order val="1"/>
          <c:tx>
            <c:strRef>
              <c:f>'Data Entry'!$G$123</c:f>
              <c:strCache>
                <c:ptCount val="1"/>
              </c:strCache>
            </c:strRef>
          </c:tx>
          <c:spPr>
            <a:solidFill>
              <a:srgbClr val="00CCFF"/>
            </a:solidFill>
            <a:ln w="12700">
              <a:solidFill>
                <a:srgbClr val="000000"/>
              </a:solidFill>
              <a:prstDash val="solid"/>
            </a:ln>
          </c:spPr>
          <c:invertIfNegative val="0"/>
          <c:val>
            <c:numRef>
              <c:f>'Data Entry'!$H$123:$S$123</c:f>
              <c:numCache>
                <c:formatCode>#,##0</c:formatCode>
                <c:ptCount val="12"/>
                <c:pt idx="0">
                  <c:v>97</c:v>
                </c:pt>
                <c:pt idx="1">
                  <c:v>94</c:v>
                </c:pt>
                <c:pt idx="2">
                  <c:v>95</c:v>
                </c:pt>
                <c:pt idx="3">
                  <c:v>93</c:v>
                </c:pt>
                <c:pt idx="4">
                  <c:v>94</c:v>
                </c:pt>
                <c:pt idx="5">
                  <c:v>97</c:v>
                </c:pt>
                <c:pt idx="6">
                  <c:v>94</c:v>
                </c:pt>
                <c:pt idx="7">
                  <c:v>94</c:v>
                </c:pt>
                <c:pt idx="8">
                  <c:v>94</c:v>
                </c:pt>
                <c:pt idx="9">
                  <c:v>94</c:v>
                </c:pt>
                <c:pt idx="10">
                  <c:v>97</c:v>
                </c:pt>
                <c:pt idx="11">
                  <c:v>95</c:v>
                </c:pt>
              </c:numCache>
            </c:numRef>
          </c:val>
          <c:extLst xmlns:c16r2="http://schemas.microsoft.com/office/drawing/2015/06/chart">
            <c:ext xmlns:c16="http://schemas.microsoft.com/office/drawing/2014/chart" uri="{C3380CC4-5D6E-409C-BE32-E72D297353CC}">
              <c16:uniqueId val="{00000001-4FC4-484F-BF0D-E75A9C71DCB5}"/>
            </c:ext>
          </c:extLst>
        </c:ser>
        <c:dLbls>
          <c:showLegendKey val="0"/>
          <c:showVal val="0"/>
          <c:showCatName val="0"/>
          <c:showSerName val="0"/>
          <c:showPercent val="0"/>
          <c:showBubbleSize val="0"/>
        </c:dLbls>
        <c:gapWidth val="150"/>
        <c:axId val="1833539904"/>
        <c:axId val="1391243344"/>
      </c:barChart>
      <c:catAx>
        <c:axId val="1833539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391243344"/>
        <c:crosses val="autoZero"/>
        <c:auto val="1"/>
        <c:lblAlgn val="ctr"/>
        <c:lblOffset val="100"/>
        <c:tickLblSkip val="1"/>
        <c:tickMarkSkip val="1"/>
        <c:noMultiLvlLbl val="0"/>
      </c:catAx>
      <c:valAx>
        <c:axId val="1391243344"/>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833539904"/>
        <c:crosses val="autoZero"/>
        <c:crossBetween val="between"/>
      </c:valAx>
      <c:spPr>
        <a:noFill/>
        <a:ln w="25400">
          <a:noFill/>
        </a:ln>
      </c:spPr>
    </c:plotArea>
    <c:legend>
      <c:legendPos val="r"/>
      <c:layout>
        <c:manualLayout>
          <c:xMode val="edge"/>
          <c:yMode val="edge"/>
          <c:x val="0.1433614154874"/>
          <c:y val="0.89531544159074405"/>
          <c:w val="0.56295541728612597"/>
          <c:h val="7.3300627997416601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Entry'!$G$118</c:f>
              <c:strCache>
                <c:ptCount val="1"/>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formatCode>0.00</c:formatCode>
                <c:ptCount val="12"/>
                <c:pt idx="0">
                  <c:v>111</c:v>
                </c:pt>
                <c:pt idx="1">
                  <c:v>111</c:v>
                </c:pt>
                <c:pt idx="2">
                  <c:v>111</c:v>
                </c:pt>
                <c:pt idx="3">
                  <c:v>111</c:v>
                </c:pt>
                <c:pt idx="4" formatCode="#,##0.000">
                  <c:v>112</c:v>
                </c:pt>
                <c:pt idx="5" formatCode="#,##0.000">
                  <c:v>112</c:v>
                </c:pt>
                <c:pt idx="6" formatCode="#,##0.000">
                  <c:v>112</c:v>
                </c:pt>
                <c:pt idx="7" formatCode="#,##0.000">
                  <c:v>113</c:v>
                </c:pt>
                <c:pt idx="8" formatCode="#,##0">
                  <c:v>112</c:v>
                </c:pt>
                <c:pt idx="9" formatCode="#,##0">
                  <c:v>113</c:v>
                </c:pt>
                <c:pt idx="10" formatCode="#,##0">
                  <c:v>113</c:v>
                </c:pt>
                <c:pt idx="11" formatCode="#,##0">
                  <c:v>113</c:v>
                </c:pt>
              </c:numCache>
            </c:numRef>
          </c:val>
          <c:extLst xmlns:c16r2="http://schemas.microsoft.com/office/drawing/2015/06/chart">
            <c:ext xmlns:c16="http://schemas.microsoft.com/office/drawing/2014/chart" uri="{C3380CC4-5D6E-409C-BE32-E72D297353CC}">
              <c16:uniqueId val="{00000000-C510-4B11-ABAA-BD97363A3F4C}"/>
            </c:ext>
          </c:extLst>
        </c:ser>
        <c:ser>
          <c:idx val="1"/>
          <c:order val="1"/>
          <c:tx>
            <c:strRef>
              <c:f>'Data Entry'!$G$119</c:f>
              <c:strCache>
                <c:ptCount val="1"/>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formatCode>#,##0</c:formatCode>
                <c:ptCount val="12"/>
                <c:pt idx="0">
                  <c:v>91</c:v>
                </c:pt>
                <c:pt idx="1">
                  <c:v>94</c:v>
                </c:pt>
                <c:pt idx="2">
                  <c:v>66</c:v>
                </c:pt>
                <c:pt idx="3">
                  <c:v>77</c:v>
                </c:pt>
                <c:pt idx="4">
                  <c:v>80</c:v>
                </c:pt>
                <c:pt idx="5">
                  <c:v>72</c:v>
                </c:pt>
                <c:pt idx="6">
                  <c:v>76</c:v>
                </c:pt>
                <c:pt idx="7">
                  <c:v>59</c:v>
                </c:pt>
                <c:pt idx="8">
                  <c:v>75</c:v>
                </c:pt>
                <c:pt idx="9">
                  <c:v>87</c:v>
                </c:pt>
                <c:pt idx="10">
                  <c:v>64</c:v>
                </c:pt>
                <c:pt idx="11">
                  <c:v>67</c:v>
                </c:pt>
              </c:numCache>
            </c:numRef>
          </c:val>
          <c:extLst xmlns:c16r2="http://schemas.microsoft.com/office/drawing/2015/06/chart">
            <c:ext xmlns:c16="http://schemas.microsoft.com/office/drawing/2014/chart" uri="{C3380CC4-5D6E-409C-BE32-E72D297353CC}">
              <c16:uniqueId val="{00000001-C510-4B11-ABAA-BD97363A3F4C}"/>
            </c:ext>
          </c:extLst>
        </c:ser>
        <c:dLbls>
          <c:showLegendKey val="0"/>
          <c:showVal val="0"/>
          <c:showCatName val="0"/>
          <c:showSerName val="0"/>
          <c:showPercent val="0"/>
          <c:showBubbleSize val="0"/>
        </c:dLbls>
        <c:gapWidth val="150"/>
        <c:axId val="1391244432"/>
        <c:axId val="1391241712"/>
      </c:barChart>
      <c:catAx>
        <c:axId val="1391244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391241712"/>
        <c:crosses val="autoZero"/>
        <c:auto val="1"/>
        <c:lblAlgn val="ctr"/>
        <c:lblOffset val="100"/>
        <c:tickLblSkip val="1"/>
        <c:tickMarkSkip val="1"/>
        <c:noMultiLvlLbl val="0"/>
      </c:catAx>
      <c:valAx>
        <c:axId val="1391241712"/>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391244432"/>
        <c:crosses val="autoZero"/>
        <c:crossBetween val="between"/>
      </c:valAx>
      <c:spPr>
        <a:noFill/>
        <a:ln w="25400">
          <a:noFill/>
        </a:ln>
      </c:spPr>
    </c:plotArea>
    <c:legend>
      <c:legendPos val="r"/>
      <c:layout>
        <c:manualLayout>
          <c:xMode val="edge"/>
          <c:yMode val="edge"/>
          <c:x val="0.15790026246719199"/>
          <c:y val="0.88778402699662595"/>
          <c:w val="0.56493143620205399"/>
          <c:h val="7.143071401789059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444558.86488592584</c:v>
                </c:pt>
                <c:pt idx="1">
                  <c:v>2614252.7382121803</c:v>
                </c:pt>
                <c:pt idx="2">
                  <c:v>4152069.7032671967</c:v>
                </c:pt>
                <c:pt idx="3">
                  <c:v>5689012.4282572595</c:v>
                </c:pt>
                <c:pt idx="4">
                  <c:v>6394927.0583475037</c:v>
                </c:pt>
                <c:pt idx="5">
                  <c:v>7919472.7608304648</c:v>
                </c:pt>
                <c:pt idx="6">
                  <c:v>9028395.1391595956</c:v>
                </c:pt>
                <c:pt idx="7">
                  <c:v>9501436.9106648564</c:v>
                </c:pt>
                <c:pt idx="8">
                  <c:v>10016978.378472121</c:v>
                </c:pt>
                <c:pt idx="9">
                  <c:v>11019203.663233975</c:v>
                </c:pt>
                <c:pt idx="10">
                  <c:v>11784104.165788259</c:v>
                </c:pt>
              </c:numCache>
            </c:numRef>
          </c:val>
          <c:extLst xmlns:c16r2="http://schemas.microsoft.com/office/drawing/2015/06/chart">
            <c:ext xmlns:c16="http://schemas.microsoft.com/office/drawing/2014/chart" uri="{C3380CC4-5D6E-409C-BE32-E72D297353CC}">
              <c16:uniqueId val="{00000000-77AF-43E5-ABC3-E7F1A0E2CA22}"/>
            </c:ext>
          </c:extLst>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872563</c:v>
                </c:pt>
                <c:pt idx="1">
                  <c:v>872563</c:v>
                </c:pt>
                <c:pt idx="2">
                  <c:v>4143118</c:v>
                </c:pt>
                <c:pt idx="3">
                  <c:v>5705060</c:v>
                </c:pt>
                <c:pt idx="4">
                  <c:v>6360975</c:v>
                </c:pt>
                <c:pt idx="5">
                  <c:v>7885521</c:v>
                </c:pt>
                <c:pt idx="6">
                  <c:v>7885521</c:v>
                </c:pt>
                <c:pt idx="7">
                  <c:v>8039370.3399999999</c:v>
                </c:pt>
                <c:pt idx="8">
                  <c:v>8039370.3399999999</c:v>
                </c:pt>
                <c:pt idx="9">
                  <c:v>8960940.8300000001</c:v>
                </c:pt>
                <c:pt idx="10">
                  <c:v>10519782.6</c:v>
                </c:pt>
              </c:numCache>
            </c:numRef>
          </c:val>
          <c:extLst xmlns:c16r2="http://schemas.microsoft.com/office/drawing/2015/06/chart">
            <c:ext xmlns:c16="http://schemas.microsoft.com/office/drawing/2014/chart" uri="{C3380CC4-5D6E-409C-BE32-E72D297353CC}">
              <c16:uniqueId val="{00000001-77AF-43E5-ABC3-E7F1A0E2CA22}"/>
            </c:ext>
          </c:extLst>
        </c:ser>
        <c:dLbls>
          <c:showLegendKey val="0"/>
          <c:showVal val="0"/>
          <c:showCatName val="0"/>
          <c:showSerName val="0"/>
          <c:showPercent val="0"/>
          <c:showBubbleSize val="0"/>
        </c:dLbls>
        <c:dropLines>
          <c:spPr>
            <a:ln w="3175">
              <a:solidFill>
                <a:srgbClr val="000000"/>
              </a:solidFill>
              <a:prstDash val="solid"/>
            </a:ln>
          </c:spPr>
        </c:dropLines>
        <c:axId val="1391241168"/>
        <c:axId val="1391242800"/>
      </c:areaChart>
      <c:catAx>
        <c:axId val="1391241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1391242800"/>
        <c:crosses val="autoZero"/>
        <c:auto val="1"/>
        <c:lblAlgn val="ctr"/>
        <c:lblOffset val="100"/>
        <c:tickLblSkip val="8"/>
        <c:tickMarkSkip val="1"/>
        <c:noMultiLvlLbl val="0"/>
      </c:catAx>
      <c:valAx>
        <c:axId val="1391242800"/>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391241168"/>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formatCode>#,##0</c:formatCode>
                <c:ptCount val="4"/>
                <c:pt idx="0">
                  <c:v>12125488.34</c:v>
                </c:pt>
                <c:pt idx="1">
                  <c:v>10259377.18771836</c:v>
                </c:pt>
                <c:pt idx="2">
                  <c:v>1228801.4235359819</c:v>
                </c:pt>
                <c:pt idx="3">
                  <c:v>1292642.4939654195</c:v>
                </c:pt>
              </c:numCache>
            </c:numRef>
          </c:val>
          <c:extLst xmlns:c16r2="http://schemas.microsoft.com/office/drawing/2015/06/chart">
            <c:ext xmlns:c16="http://schemas.microsoft.com/office/drawing/2014/chart" uri="{C3380CC4-5D6E-409C-BE32-E72D297353CC}">
              <c16:uniqueId val="{00000000-0383-49D5-8D69-589F5FF36BA4}"/>
            </c:ext>
          </c:extLst>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formatCode>#,##0</c:formatCode>
                <c:ptCount val="4"/>
                <c:pt idx="0">
                  <c:v>0</c:v>
                </c:pt>
                <c:pt idx="1">
                  <c:v>569149.16517054103</c:v>
                </c:pt>
                <c:pt idx="2">
                  <c:v>40123.294759290999</c:v>
                </c:pt>
                <c:pt idx="3">
                  <c:v>0</c:v>
                </c:pt>
              </c:numCache>
            </c:numRef>
          </c:val>
          <c:extLst xmlns:c16r2="http://schemas.microsoft.com/office/drawing/2015/06/chart">
            <c:ext xmlns:c16="http://schemas.microsoft.com/office/drawing/2014/chart" uri="{C3380CC4-5D6E-409C-BE32-E72D297353CC}">
              <c16:uniqueId val="{00000001-0383-49D5-8D69-589F5FF36BA4}"/>
            </c:ext>
          </c:extLst>
        </c:ser>
        <c:dLbls>
          <c:showLegendKey val="0"/>
          <c:showVal val="0"/>
          <c:showCatName val="0"/>
          <c:showSerName val="0"/>
          <c:showPercent val="0"/>
          <c:showBubbleSize val="0"/>
        </c:dLbls>
        <c:gapWidth val="150"/>
        <c:overlap val="100"/>
        <c:axId val="1749789200"/>
        <c:axId val="1749787568"/>
      </c:barChart>
      <c:catAx>
        <c:axId val="174978920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749787568"/>
        <c:crossesAt val="0"/>
        <c:auto val="1"/>
        <c:lblAlgn val="ctr"/>
        <c:lblOffset val="100"/>
        <c:noMultiLvlLbl val="0"/>
      </c:catAx>
      <c:valAx>
        <c:axId val="1749787568"/>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49789200"/>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1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Entry'!$B$39:$B$43</c:f>
              <c:strCache>
                <c:ptCount val="5"/>
                <c:pt idx="0">
                  <c:v>MDR-TB</c:v>
                </c:pt>
                <c:pt idx="1">
                  <c:v>HSS - Health information systems and M&amp;E</c:v>
                </c:pt>
                <c:pt idx="2">
                  <c:v>HSS - Service delivery</c:v>
                </c:pt>
                <c:pt idx="3">
                  <c:v>HSS - Policy and governance</c:v>
                </c:pt>
                <c:pt idx="4">
                  <c:v>Community systems strengthening</c:v>
                </c:pt>
              </c:strCache>
            </c:strRef>
          </c:cat>
          <c:val>
            <c:numRef>
              <c:f>'Data Entry'!$C$39:$C$43</c:f>
              <c:numCache>
                <c:formatCode>#,##0</c:formatCode>
                <c:ptCount val="5"/>
                <c:pt idx="0">
                  <c:v>8304568.9276775159</c:v>
                </c:pt>
                <c:pt idx="1">
                  <c:v>1073038.1964587213</c:v>
                </c:pt>
                <c:pt idx="2">
                  <c:v>179020.462790597</c:v>
                </c:pt>
                <c:pt idx="3">
                  <c:v>902712.64556907234</c:v>
                </c:pt>
                <c:pt idx="4">
                  <c:v>892300.96540975804</c:v>
                </c:pt>
              </c:numCache>
            </c:numRef>
          </c:val>
          <c:extLst xmlns:c16r2="http://schemas.microsoft.com/office/drawing/2015/06/chart">
            <c:ext xmlns:c16="http://schemas.microsoft.com/office/drawing/2014/chart" uri="{C3380CC4-5D6E-409C-BE32-E72D297353CC}">
              <c16:uniqueId val="{00000000-9782-4119-8D6C-D8594AA5C669}"/>
            </c:ext>
          </c:extLst>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Entry'!$B$39:$B$43</c:f>
              <c:strCache>
                <c:ptCount val="5"/>
                <c:pt idx="0">
                  <c:v>MDR-TB</c:v>
                </c:pt>
                <c:pt idx="1">
                  <c:v>HSS - Health information systems and M&amp;E</c:v>
                </c:pt>
                <c:pt idx="2">
                  <c:v>HSS - Service delivery</c:v>
                </c:pt>
                <c:pt idx="3">
                  <c:v>HSS - Policy and governance</c:v>
                </c:pt>
                <c:pt idx="4">
                  <c:v>Community systems strengthening</c:v>
                </c:pt>
              </c:strCache>
            </c:strRef>
          </c:cat>
          <c:val>
            <c:numRef>
              <c:f>'Data Entry'!$D$39:$D$43</c:f>
              <c:numCache>
                <c:formatCode>#,##0</c:formatCode>
                <c:ptCount val="5"/>
                <c:pt idx="0">
                  <c:v>8891182.3848383091</c:v>
                </c:pt>
                <c:pt idx="1">
                  <c:v>877820.65613768226</c:v>
                </c:pt>
                <c:pt idx="2">
                  <c:v>137769.60548093973</c:v>
                </c:pt>
                <c:pt idx="3">
                  <c:v>793295.68307760905</c:v>
                </c:pt>
                <c:pt idx="4">
                  <c:v>798778.55303018016</c:v>
                </c:pt>
              </c:numCache>
            </c:numRef>
          </c:val>
          <c:extLst xmlns:c16r2="http://schemas.microsoft.com/office/drawing/2015/06/chart">
            <c:ext xmlns:c16="http://schemas.microsoft.com/office/drawing/2014/chart" uri="{C3380CC4-5D6E-409C-BE32-E72D297353CC}">
              <c16:uniqueId val="{00000001-9782-4119-8D6C-D8594AA5C669}"/>
            </c:ext>
          </c:extLst>
        </c:ser>
        <c:dLbls>
          <c:showLegendKey val="0"/>
          <c:showVal val="0"/>
          <c:showCatName val="0"/>
          <c:showSerName val="0"/>
          <c:showPercent val="0"/>
          <c:showBubbleSize val="0"/>
        </c:dLbls>
        <c:gapWidth val="150"/>
        <c:axId val="1749785936"/>
        <c:axId val="1749786480"/>
      </c:barChart>
      <c:catAx>
        <c:axId val="1749785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749786480"/>
        <c:crosses val="autoZero"/>
        <c:auto val="1"/>
        <c:lblAlgn val="ctr"/>
        <c:lblOffset val="100"/>
        <c:tickMarkSkip val="1"/>
        <c:noMultiLvlLbl val="0"/>
      </c:catAx>
      <c:valAx>
        <c:axId val="1749786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1749785936"/>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tx>
            <c:strRef>
              <c:f>'Data Entry'!$C$78</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0-B7AC-478B-A929-7E0D2AB282C9}"/>
                </c:ex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Entry'!$C$79</c:f>
              <c:numCache>
                <c:formatCode>General</c:formatCode>
                <c:ptCount val="1"/>
                <c:pt idx="0">
                  <c:v>11</c:v>
                </c:pt>
              </c:numCache>
            </c:numRef>
          </c:val>
          <c:extLst xmlns:c16r2="http://schemas.microsoft.com/office/drawing/2015/06/chart">
            <c:ext xmlns:c16="http://schemas.microsoft.com/office/drawing/2014/chart" uri="{C3380CC4-5D6E-409C-BE32-E72D297353CC}">
              <c16:uniqueId val="{00000001-B7AC-478B-A929-7E0D2AB282C9}"/>
            </c:ext>
          </c:extLst>
        </c:ser>
        <c:dLbls>
          <c:showLegendKey val="0"/>
          <c:showVal val="0"/>
          <c:showCatName val="0"/>
          <c:showSerName val="0"/>
          <c:showPercent val="0"/>
          <c:showBubbleSize val="0"/>
        </c:dLbls>
        <c:gapWidth val="79"/>
        <c:overlap val="100"/>
        <c:axId val="1749788656"/>
        <c:axId val="1886823568"/>
      </c:barChart>
      <c:barChart>
        <c:barDir val="bar"/>
        <c:grouping val="percentStacked"/>
        <c:varyColors val="0"/>
        <c:ser>
          <c:idx val="1"/>
          <c:order val="1"/>
          <c:tx>
            <c:strRef>
              <c:f>'Data Entry'!$D$78</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Entry'!$D$79</c:f>
              <c:numCache>
                <c:formatCode>General</c:formatCode>
                <c:ptCount val="1"/>
                <c:pt idx="0">
                  <c:v>11</c:v>
                </c:pt>
              </c:numCache>
            </c:numRef>
          </c:val>
          <c:extLst xmlns:c16r2="http://schemas.microsoft.com/office/drawing/2015/06/chart">
            <c:ext xmlns:c16="http://schemas.microsoft.com/office/drawing/2014/chart" uri="{C3380CC4-5D6E-409C-BE32-E72D297353CC}">
              <c16:uniqueId val="{00000002-B7AC-478B-A929-7E0D2AB282C9}"/>
            </c:ext>
          </c:extLst>
        </c:ser>
        <c:ser>
          <c:idx val="2"/>
          <c:order val="2"/>
          <c:tx>
            <c:strRef>
              <c:f>'Data Entry'!$E$78</c:f>
              <c:strCache>
                <c:ptCount val="1"/>
                <c:pt idx="0">
                  <c:v>Vacant</c:v>
                </c:pt>
              </c:strCache>
            </c:strRef>
          </c:tx>
          <c:spPr>
            <a:solidFill>
              <a:srgbClr val="FF7171"/>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Entry'!$E$79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3-B7AC-478B-A929-7E0D2AB282C9}"/>
            </c:ext>
          </c:extLst>
        </c:ser>
        <c:dLbls>
          <c:showLegendKey val="0"/>
          <c:showVal val="0"/>
          <c:showCatName val="0"/>
          <c:showSerName val="0"/>
          <c:showPercent val="0"/>
          <c:showBubbleSize val="0"/>
        </c:dLbls>
        <c:gapWidth val="191"/>
        <c:overlap val="100"/>
        <c:axId val="1886820848"/>
        <c:axId val="1886820304"/>
      </c:barChart>
      <c:catAx>
        <c:axId val="1749788656"/>
        <c:scaling>
          <c:orientation val="minMax"/>
        </c:scaling>
        <c:delete val="1"/>
        <c:axPos val="l"/>
        <c:majorTickMark val="out"/>
        <c:minorTickMark val="none"/>
        <c:tickLblPos val="none"/>
        <c:crossAx val="1886823568"/>
        <c:crosses val="autoZero"/>
        <c:auto val="1"/>
        <c:lblAlgn val="ctr"/>
        <c:lblOffset val="100"/>
        <c:noMultiLvlLbl val="0"/>
      </c:catAx>
      <c:valAx>
        <c:axId val="188682356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749788656"/>
        <c:crosses val="max"/>
        <c:crossBetween val="between"/>
      </c:valAx>
      <c:catAx>
        <c:axId val="1886820848"/>
        <c:scaling>
          <c:orientation val="minMax"/>
        </c:scaling>
        <c:delete val="1"/>
        <c:axPos val="l"/>
        <c:majorTickMark val="out"/>
        <c:minorTickMark val="none"/>
        <c:tickLblPos val="none"/>
        <c:crossAx val="1886820304"/>
        <c:crosses val="autoZero"/>
        <c:auto val="0"/>
        <c:lblAlgn val="ctr"/>
        <c:lblOffset val="100"/>
        <c:noMultiLvlLbl val="0"/>
      </c:catAx>
      <c:valAx>
        <c:axId val="1886820304"/>
        <c:scaling>
          <c:orientation val="minMax"/>
        </c:scaling>
        <c:delete val="0"/>
        <c:axPos val="b"/>
        <c:numFmt formatCode="0%" sourceLinked="1"/>
        <c:majorTickMark val="none"/>
        <c:minorTickMark val="none"/>
        <c:tickLblPos val="none"/>
        <c:spPr>
          <a:ln w="3175">
            <a:solidFill>
              <a:srgbClr val="000000"/>
            </a:solidFill>
            <a:prstDash val="solid"/>
          </a:ln>
        </c:spPr>
        <c:crossAx val="1886820848"/>
        <c:crosses val="autoZero"/>
        <c:crossBetween val="between"/>
      </c:valAx>
      <c:spPr>
        <a:solidFill>
          <a:srgbClr val="FFFFFF"/>
        </a:solidFill>
        <a:ln w="25400">
          <a:noFill/>
        </a:ln>
      </c:spPr>
    </c:plotArea>
    <c:legend>
      <c:legendPos val="r"/>
      <c:legendEntry>
        <c:idx val="0"/>
        <c:delete val="1"/>
      </c:legendEntry>
      <c:layout>
        <c:manualLayout>
          <c:xMode val="edge"/>
          <c:yMode val="edge"/>
          <c:x val="0.28724297760652301"/>
          <c:y val="0.76645171178420202"/>
          <c:w val="0.18723985033785701"/>
          <c:h val="0.14599076575282099"/>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Entry'!$C$84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4FC0-421B-87A0-416925BD79A2}"/>
            </c:ext>
          </c:extLst>
        </c:ser>
        <c:ser>
          <c:idx val="1"/>
          <c:order val="1"/>
          <c:tx>
            <c:strRef>
              <c:f>'Data Entry'!$D$83</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Entry'!$D$84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4FC0-421B-87A0-416925BD79A2}"/>
            </c:ext>
          </c:extLst>
        </c:ser>
        <c:ser>
          <c:idx val="2"/>
          <c:order val="2"/>
          <c:tx>
            <c:strRef>
              <c:f>'Data Entry'!$E$83</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Entry'!$E$84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4FC0-421B-87A0-416925BD79A2}"/>
            </c:ext>
          </c:extLst>
        </c:ser>
        <c:ser>
          <c:idx val="3"/>
          <c:order val="3"/>
          <c:tx>
            <c:strRef>
              <c:f>'Data Entry'!$F$83</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Entry'!$F$84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4FC0-421B-87A0-416925BD79A2}"/>
            </c:ext>
          </c:extLst>
        </c:ser>
        <c:ser>
          <c:idx val="4"/>
          <c:order val="4"/>
          <c:tx>
            <c:strRef>
              <c:f>'Data Entry'!$G$83</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Entry'!$G$84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4FC0-421B-87A0-416925BD79A2}"/>
            </c:ext>
          </c:extLst>
        </c:ser>
        <c:dLbls>
          <c:showLegendKey val="0"/>
          <c:showVal val="0"/>
          <c:showCatName val="0"/>
          <c:showSerName val="0"/>
          <c:showPercent val="0"/>
          <c:showBubbleSize val="0"/>
        </c:dLbls>
        <c:gapWidth val="150"/>
        <c:overlap val="-20"/>
        <c:axId val="1886823024"/>
        <c:axId val="1886821392"/>
      </c:barChart>
      <c:catAx>
        <c:axId val="1886823024"/>
        <c:scaling>
          <c:orientation val="minMax"/>
        </c:scaling>
        <c:delete val="0"/>
        <c:axPos val="b"/>
        <c:majorTickMark val="none"/>
        <c:minorTickMark val="none"/>
        <c:tickLblPos val="none"/>
        <c:spPr>
          <a:ln w="3175">
            <a:solidFill>
              <a:srgbClr val="000000"/>
            </a:solidFill>
            <a:prstDash val="solid"/>
          </a:ln>
        </c:spPr>
        <c:crossAx val="1886821392"/>
        <c:crosses val="autoZero"/>
        <c:auto val="0"/>
        <c:lblAlgn val="ctr"/>
        <c:lblOffset val="100"/>
        <c:tickMarkSkip val="1"/>
        <c:noMultiLvlLbl val="0"/>
      </c:catAx>
      <c:valAx>
        <c:axId val="188682139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86823024"/>
        <c:crosses val="autoZero"/>
        <c:crossBetween val="between"/>
      </c:valAx>
      <c:spPr>
        <a:noFill/>
        <a:ln w="25400">
          <a:noFill/>
        </a:ln>
      </c:spPr>
    </c:plotArea>
    <c:legend>
      <c:legendPos val="r"/>
      <c:layout>
        <c:manualLayout>
          <c:xMode val="edge"/>
          <c:yMode val="edge"/>
          <c:x val="9.6247088832205799E-2"/>
          <c:y val="0.83063149893148602"/>
          <c:w val="0.84509703892647203"/>
          <c:h val="9.2899617056064698E-2"/>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Entry'!$D$72:$D$73</c:f>
              <c:numCache>
                <c:formatCode>0</c:formatCode>
                <c:ptCount val="2"/>
                <c:pt idx="0">
                  <c:v>6</c:v>
                </c:pt>
                <c:pt idx="1">
                  <c:v>5</c:v>
                </c:pt>
              </c:numCache>
            </c:numRef>
          </c:val>
          <c:extLst xmlns:c16r2="http://schemas.microsoft.com/office/drawing/2015/06/chart">
            <c:ext xmlns:c16="http://schemas.microsoft.com/office/drawing/2014/chart" uri="{C3380CC4-5D6E-409C-BE32-E72D297353CC}">
              <c16:uniqueId val="{00000000-72D2-4D44-8D50-8A9D7582C394}"/>
            </c:ext>
          </c:extLst>
        </c:ser>
        <c:ser>
          <c:idx val="1"/>
          <c:order val="1"/>
          <c:tx>
            <c:strRef>
              <c:f>'Data Entry'!$E$71</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Entry'!$E$72:$E$73</c:f>
              <c:numCache>
                <c:formatCode>0</c:formatCode>
                <c:ptCount val="2"/>
                <c:pt idx="0">
                  <c:v>0</c:v>
                </c:pt>
                <c:pt idx="1">
                  <c:v>1</c:v>
                </c:pt>
              </c:numCache>
            </c:numRef>
          </c:val>
          <c:extLst xmlns:c16r2="http://schemas.microsoft.com/office/drawing/2015/06/chart">
            <c:ext xmlns:c16="http://schemas.microsoft.com/office/drawing/2014/chart" uri="{C3380CC4-5D6E-409C-BE32-E72D297353CC}">
              <c16:uniqueId val="{00000001-72D2-4D44-8D50-8A9D7582C394}"/>
            </c:ext>
          </c:extLst>
        </c:ser>
        <c:ser>
          <c:idx val="2"/>
          <c:order val="2"/>
          <c:tx>
            <c:strRef>
              <c:f>'Data Entry'!$F$71</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Entry'!$F$72:$F$73</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2-72D2-4D44-8D50-8A9D7582C394}"/>
            </c:ext>
          </c:extLst>
        </c:ser>
        <c:dLbls>
          <c:showLegendKey val="0"/>
          <c:showVal val="0"/>
          <c:showCatName val="0"/>
          <c:showSerName val="0"/>
          <c:showPercent val="0"/>
          <c:showBubbleSize val="0"/>
        </c:dLbls>
        <c:gapWidth val="70"/>
        <c:overlap val="100"/>
        <c:axId val="1886821936"/>
        <c:axId val="1886822480"/>
      </c:barChart>
      <c:catAx>
        <c:axId val="188682193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86822480"/>
        <c:crosses val="autoZero"/>
        <c:auto val="1"/>
        <c:lblAlgn val="ctr"/>
        <c:lblOffset val="100"/>
        <c:tickLblSkip val="1"/>
        <c:tickMarkSkip val="1"/>
        <c:noMultiLvlLbl val="0"/>
      </c:catAx>
      <c:valAx>
        <c:axId val="1886822480"/>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86821936"/>
        <c:crosses val="autoZero"/>
        <c:crossBetween val="between"/>
      </c:valAx>
      <c:spPr>
        <a:noFill/>
        <a:ln w="25400">
          <a:noFill/>
        </a:ln>
      </c:spPr>
    </c:plotArea>
    <c:legend>
      <c:legendPos val="r"/>
      <c:layout>
        <c:manualLayout>
          <c:xMode val="edge"/>
          <c:yMode val="edge"/>
          <c:x val="1.36991095291171E-2"/>
          <c:y val="0.77780527434070701"/>
          <c:w val="0.94295161734920097"/>
          <c:h val="0.14286214223222099"/>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Entry'!$D$88</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Entry'!$B$89:$B$90</c:f>
              <c:strCache>
                <c:ptCount val="2"/>
                <c:pt idx="0">
                  <c:v>SSR to SR</c:v>
                </c:pt>
                <c:pt idx="1">
                  <c:v>SRs to PR</c:v>
                </c:pt>
              </c:strCache>
            </c:strRef>
          </c:cat>
          <c:val>
            <c:numRef>
              <c:f>'Data Entry'!$D$89:$D$90</c:f>
              <c:numCache>
                <c:formatCode>0</c:formatCode>
                <c:ptCount val="2"/>
                <c:pt idx="1">
                  <c:v>3</c:v>
                </c:pt>
              </c:numCache>
            </c:numRef>
          </c:val>
          <c:extLst xmlns:c16r2="http://schemas.microsoft.com/office/drawing/2015/06/chart">
            <c:ext xmlns:c16="http://schemas.microsoft.com/office/drawing/2014/chart" uri="{C3380CC4-5D6E-409C-BE32-E72D297353CC}">
              <c16:uniqueId val="{00000000-87B0-42A9-8EC5-25A91567F6DE}"/>
            </c:ext>
          </c:extLst>
        </c:ser>
        <c:ser>
          <c:idx val="2"/>
          <c:order val="1"/>
          <c:tx>
            <c:strRef>
              <c:f>'Data Entry'!$E$88</c:f>
              <c:strCache>
                <c:ptCount val="1"/>
                <c:pt idx="0">
                  <c:v>Pending</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Entry'!$B$89:$B$90</c:f>
              <c:strCache>
                <c:ptCount val="2"/>
                <c:pt idx="0">
                  <c:v>SSR to SR</c:v>
                </c:pt>
                <c:pt idx="1">
                  <c:v>SRs to PR</c:v>
                </c:pt>
              </c:strCache>
            </c:strRef>
          </c:cat>
          <c:val>
            <c:numRef>
              <c:f>'Data Entry'!$E$89:$E$90</c:f>
              <c:numCache>
                <c:formatCode>General</c:formatCode>
                <c:ptCount val="2"/>
                <c:pt idx="0" formatCode="0">
                  <c:v>0</c:v>
                </c:pt>
                <c:pt idx="1">
                  <c:v>0</c:v>
                </c:pt>
              </c:numCache>
            </c:numRef>
          </c:val>
          <c:extLst xmlns:c16r2="http://schemas.microsoft.com/office/drawing/2015/06/chart">
            <c:ext xmlns:c16="http://schemas.microsoft.com/office/drawing/2014/chart" uri="{C3380CC4-5D6E-409C-BE32-E72D297353CC}">
              <c16:uniqueId val="{00000001-87B0-42A9-8EC5-25A91567F6DE}"/>
            </c:ext>
          </c:extLst>
        </c:ser>
        <c:dLbls>
          <c:showLegendKey val="0"/>
          <c:showVal val="0"/>
          <c:showCatName val="0"/>
          <c:showSerName val="0"/>
          <c:showPercent val="0"/>
          <c:showBubbleSize val="0"/>
        </c:dLbls>
        <c:gapWidth val="101"/>
        <c:overlap val="100"/>
        <c:axId val="1833539360"/>
        <c:axId val="1833537728"/>
      </c:barChart>
      <c:catAx>
        <c:axId val="18335393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833537728"/>
        <c:crosses val="autoZero"/>
        <c:auto val="1"/>
        <c:lblAlgn val="ctr"/>
        <c:lblOffset val="100"/>
        <c:noMultiLvlLbl val="0"/>
      </c:catAx>
      <c:valAx>
        <c:axId val="183353772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833539360"/>
        <c:crosses val="max"/>
        <c:crossBetween val="between"/>
      </c:valAx>
      <c:spPr>
        <a:solidFill>
          <a:srgbClr val="FFFFFF"/>
        </a:solidFill>
        <a:ln w="25400">
          <a:noFill/>
        </a:ln>
      </c:spPr>
    </c:plotArea>
    <c:legend>
      <c:legendPos val="r"/>
      <c:legendEntry>
        <c:idx val="0"/>
        <c:txPr>
          <a:bodyPr/>
          <a:lstStyle/>
          <a:p>
            <a:pPr>
              <a:defRPr sz="570" b="0" i="0" u="none" strike="noStrike" baseline="0">
                <a:solidFill>
                  <a:srgbClr val="000000"/>
                </a:solidFill>
                <a:latin typeface="Calibri"/>
                <a:ea typeface="Calibri"/>
                <a:cs typeface="Calibri"/>
              </a:defRPr>
            </a:pPr>
            <a:endParaRPr lang="en-US"/>
          </a:p>
        </c:txPr>
      </c:legendEntry>
      <c:legendEntry>
        <c:idx val="1"/>
        <c:txPr>
          <a:bodyPr/>
          <a:lstStyle/>
          <a:p>
            <a:pPr>
              <a:defRPr sz="570" b="0" i="0" u="none" strike="noStrike" baseline="0">
                <a:solidFill>
                  <a:srgbClr val="000000"/>
                </a:solidFill>
                <a:latin typeface="Calibri"/>
                <a:ea typeface="Calibri"/>
                <a:cs typeface="Calibri"/>
              </a:defRPr>
            </a:pPr>
            <a:endParaRPr lang="en-US"/>
          </a:p>
        </c:txPr>
      </c:legendEntry>
      <c:layout>
        <c:manualLayout>
          <c:xMode val="edge"/>
          <c:yMode val="edge"/>
          <c:x val="0.33837247714725299"/>
          <c:y val="0.79672867814600101"/>
          <c:w val="0.34699361933206602"/>
          <c:h val="0.131872169824926"/>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Entry'!$B$98</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Entry'!$C$98:$N$98</c:f>
              <c:numCache>
                <c:formatCode>#,##0</c:formatCode>
                <c:ptCount val="12"/>
                <c:pt idx="0">
                  <c:v>76920</c:v>
                </c:pt>
                <c:pt idx="1">
                  <c:v>1455984.3412315312</c:v>
                </c:pt>
                <c:pt idx="2">
                  <c:v>2228059.6999438512</c:v>
                </c:pt>
                <c:pt idx="3">
                  <c:v>3179059.6999438512</c:v>
                </c:pt>
                <c:pt idx="4">
                  <c:v>3261299.6999438512</c:v>
                </c:pt>
                <c:pt idx="5">
                  <c:v>4029781.7975801015</c:v>
                </c:pt>
                <c:pt idx="6">
                  <c:v>4572773.7855295418</c:v>
                </c:pt>
                <c:pt idx="7">
                  <c:v>4578773.7855295418</c:v>
                </c:pt>
                <c:pt idx="8">
                  <c:v>4661013.7855295418</c:v>
                </c:pt>
                <c:pt idx="9">
                  <c:v>5183118.4555767914</c:v>
                </c:pt>
                <c:pt idx="10">
                  <c:v>5532945.3638171116</c:v>
                </c:pt>
                <c:pt idx="11">
                  <c:v>5538945.3638171116</c:v>
                </c:pt>
              </c:numCache>
            </c:numRef>
          </c:val>
          <c:smooth val="0"/>
          <c:extLst xmlns:c16r2="http://schemas.microsoft.com/office/drawing/2015/06/chart">
            <c:ext xmlns:c16="http://schemas.microsoft.com/office/drawing/2014/chart" uri="{C3380CC4-5D6E-409C-BE32-E72D297353CC}">
              <c16:uniqueId val="{00000000-D0BA-4FE2-830B-A70C92DA36B8}"/>
            </c:ext>
          </c:extLst>
        </c:ser>
        <c:ser>
          <c:idx val="1"/>
          <c:order val="1"/>
          <c:tx>
            <c:strRef>
              <c:f>'Data Entry'!$B$99</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Entry'!$C$99:$N$99</c:f>
              <c:numCache>
                <c:formatCode>#,##0</c:formatCode>
                <c:ptCount val="12"/>
                <c:pt idx="0">
                  <c:v>48057.663994765258</c:v>
                </c:pt>
                <c:pt idx="1">
                  <c:v>297830.01361257851</c:v>
                </c:pt>
                <c:pt idx="2">
                  <c:v>549394.19175284577</c:v>
                </c:pt>
                <c:pt idx="3">
                  <c:v>828604.12925766793</c:v>
                </c:pt>
                <c:pt idx="4">
                  <c:v>913270.71308801917</c:v>
                </c:pt>
                <c:pt idx="5">
                  <c:v>1022932.8430880192</c:v>
                </c:pt>
                <c:pt idx="6">
                  <c:v>1236527.8430880192</c:v>
                </c:pt>
                <c:pt idx="7">
                  <c:v>1241859.2336581454</c:v>
                </c:pt>
                <c:pt idx="8">
                  <c:v>1348476.9790694555</c:v>
                </c:pt>
                <c:pt idx="9">
                  <c:v>2315473.8834512313</c:v>
                </c:pt>
                <c:pt idx="10">
                  <c:v>3784927.0507495529</c:v>
                </c:pt>
                <c:pt idx="11">
                  <c:v>3920548.3433054974</c:v>
                </c:pt>
              </c:numCache>
            </c:numRef>
          </c:val>
          <c:smooth val="0"/>
          <c:extLst xmlns:c16r2="http://schemas.microsoft.com/office/drawing/2015/06/chart">
            <c:ext xmlns:c16="http://schemas.microsoft.com/office/drawing/2014/chart" uri="{C3380CC4-5D6E-409C-BE32-E72D297353CC}">
              <c16:uniqueId val="{00000001-D0BA-4FE2-830B-A70C92DA36B8}"/>
            </c:ext>
          </c:extLst>
        </c:ser>
        <c:ser>
          <c:idx val="2"/>
          <c:order val="2"/>
          <c:tx>
            <c:strRef>
              <c:f>'Data Entry'!$B$100</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Entry'!$C$100:$N$100</c:f>
              <c:numCache>
                <c:formatCode>#,##0</c:formatCode>
                <c:ptCount val="12"/>
                <c:pt idx="0">
                  <c:v>17214</c:v>
                </c:pt>
                <c:pt idx="1">
                  <c:v>58733</c:v>
                </c:pt>
                <c:pt idx="2">
                  <c:v>1201873</c:v>
                </c:pt>
                <c:pt idx="3">
                  <c:v>1582290</c:v>
                </c:pt>
                <c:pt idx="4">
                  <c:v>1820151</c:v>
                </c:pt>
                <c:pt idx="5">
                  <c:v>2445024</c:v>
                </c:pt>
                <c:pt idx="6">
                  <c:v>2771172</c:v>
                </c:pt>
                <c:pt idx="7">
                  <c:v>2962681</c:v>
                </c:pt>
                <c:pt idx="8">
                  <c:v>3009594.3244974967</c:v>
                </c:pt>
                <c:pt idx="9">
                  <c:v>3411248.3244974967</c:v>
                </c:pt>
                <c:pt idx="10">
                  <c:v>4153355.3244974967</c:v>
                </c:pt>
                <c:pt idx="11">
                  <c:v>6709080.5877931267</c:v>
                </c:pt>
              </c:numCache>
            </c:numRef>
          </c:val>
          <c:smooth val="0"/>
          <c:extLst xmlns:c16r2="http://schemas.microsoft.com/office/drawing/2015/06/chart">
            <c:ext xmlns:c16="http://schemas.microsoft.com/office/drawing/2014/chart" uri="{C3380CC4-5D6E-409C-BE32-E72D297353CC}">
              <c16:uniqueId val="{00000002-D0BA-4FE2-830B-A70C92DA36B8}"/>
            </c:ext>
          </c:extLst>
        </c:ser>
        <c:dLbls>
          <c:showLegendKey val="0"/>
          <c:showVal val="0"/>
          <c:showCatName val="0"/>
          <c:showSerName val="0"/>
          <c:showPercent val="0"/>
          <c:showBubbleSize val="0"/>
        </c:dLbls>
        <c:marker val="1"/>
        <c:smooth val="0"/>
        <c:axId val="1833538272"/>
        <c:axId val="1833540448"/>
      </c:lineChart>
      <c:catAx>
        <c:axId val="1833538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1833540448"/>
        <c:crosses val="autoZero"/>
        <c:auto val="1"/>
        <c:lblAlgn val="ctr"/>
        <c:lblOffset val="100"/>
        <c:tickLblSkip val="1"/>
        <c:tickMarkSkip val="1"/>
        <c:noMultiLvlLbl val="0"/>
      </c:catAx>
      <c:valAx>
        <c:axId val="183354044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1833538272"/>
        <c:crosses val="autoZero"/>
        <c:crossBetween val="between"/>
      </c:valAx>
      <c:spPr>
        <a:solidFill>
          <a:srgbClr val="FFFFFF"/>
        </a:solidFill>
        <a:ln w="12700">
          <a:solidFill>
            <a:srgbClr val="808080"/>
          </a:solidFill>
          <a:prstDash val="solid"/>
        </a:ln>
      </c:spPr>
    </c:plotArea>
    <c:legend>
      <c:legendPos val="r"/>
      <c:layout>
        <c:manualLayout>
          <c:xMode val="edge"/>
          <c:yMode val="edge"/>
          <c:x val="4.7265248560347903E-2"/>
          <c:y val="0.65936142597559899"/>
          <c:w val="0.92291534453715696"/>
          <c:h val="0.153850768653918"/>
        </c:manualLayout>
      </c:layout>
      <c:overlay val="0"/>
      <c:spPr>
        <a:noFill/>
        <a:ln w="25400">
          <a:noFill/>
        </a:ln>
      </c:spPr>
      <c:txPr>
        <a:bodyPr/>
        <a:lstStyle/>
        <a:p>
          <a:pPr>
            <a:defRPr sz="50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Entry'!$G$120</c:f>
              <c:strCache>
                <c:ptCount val="1"/>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formatCode>#,##0</c:formatCode>
                <c:ptCount val="12"/>
                <c:pt idx="0">
                  <c:v>16</c:v>
                </c:pt>
                <c:pt idx="1">
                  <c:v>17</c:v>
                </c:pt>
                <c:pt idx="2">
                  <c:v>16</c:v>
                </c:pt>
                <c:pt idx="3">
                  <c:v>17</c:v>
                </c:pt>
                <c:pt idx="4">
                  <c:v>16</c:v>
                </c:pt>
                <c:pt idx="5">
                  <c:v>17</c:v>
                </c:pt>
                <c:pt idx="6">
                  <c:v>17</c:v>
                </c:pt>
                <c:pt idx="7">
                  <c:v>17</c:v>
                </c:pt>
                <c:pt idx="8">
                  <c:v>16</c:v>
                </c:pt>
                <c:pt idx="9">
                  <c:v>17</c:v>
                </c:pt>
                <c:pt idx="10">
                  <c:v>17</c:v>
                </c:pt>
                <c:pt idx="11">
                  <c:v>17</c:v>
                </c:pt>
              </c:numCache>
            </c:numRef>
          </c:val>
          <c:extLst xmlns:c16r2="http://schemas.microsoft.com/office/drawing/2015/06/chart">
            <c:ext xmlns:c16="http://schemas.microsoft.com/office/drawing/2014/chart" uri="{C3380CC4-5D6E-409C-BE32-E72D297353CC}">
              <c16:uniqueId val="{00000000-9292-4A0E-B82C-ED34D33EBB1B}"/>
            </c:ext>
          </c:extLst>
        </c:ser>
        <c:ser>
          <c:idx val="1"/>
          <c:order val="1"/>
          <c:tx>
            <c:strRef>
              <c:f>'Data Entry'!$G$121</c:f>
              <c:strCache>
                <c:ptCount val="1"/>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formatCode>#,##0</c:formatCode>
                <c:ptCount val="12"/>
                <c:pt idx="0">
                  <c:v>12</c:v>
                </c:pt>
                <c:pt idx="1">
                  <c:v>13</c:v>
                </c:pt>
                <c:pt idx="2">
                  <c:v>13</c:v>
                </c:pt>
                <c:pt idx="3">
                  <c:v>18</c:v>
                </c:pt>
                <c:pt idx="4">
                  <c:v>15</c:v>
                </c:pt>
                <c:pt idx="5">
                  <c:v>12</c:v>
                </c:pt>
                <c:pt idx="6">
                  <c:v>8</c:v>
                </c:pt>
                <c:pt idx="7">
                  <c:v>10</c:v>
                </c:pt>
                <c:pt idx="8">
                  <c:v>8</c:v>
                </c:pt>
                <c:pt idx="9">
                  <c:v>8</c:v>
                </c:pt>
                <c:pt idx="10">
                  <c:v>6</c:v>
                </c:pt>
                <c:pt idx="11">
                  <c:v>9</c:v>
                </c:pt>
              </c:numCache>
            </c:numRef>
          </c:val>
          <c:extLst xmlns:c16r2="http://schemas.microsoft.com/office/drawing/2015/06/chart">
            <c:ext xmlns:c16="http://schemas.microsoft.com/office/drawing/2014/chart" uri="{C3380CC4-5D6E-409C-BE32-E72D297353CC}">
              <c16:uniqueId val="{00000001-9292-4A0E-B82C-ED34D33EBB1B}"/>
            </c:ext>
          </c:extLst>
        </c:ser>
        <c:dLbls>
          <c:showLegendKey val="0"/>
          <c:showVal val="0"/>
          <c:showCatName val="0"/>
          <c:showSerName val="0"/>
          <c:showPercent val="0"/>
          <c:showBubbleSize val="0"/>
        </c:dLbls>
        <c:gapWidth val="150"/>
        <c:axId val="1833540992"/>
        <c:axId val="1833538816"/>
      </c:barChart>
      <c:catAx>
        <c:axId val="1833540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833538816"/>
        <c:crosses val="autoZero"/>
        <c:auto val="1"/>
        <c:lblAlgn val="ctr"/>
        <c:lblOffset val="100"/>
        <c:tickLblSkip val="1"/>
        <c:tickMarkSkip val="1"/>
        <c:noMultiLvlLbl val="0"/>
      </c:catAx>
      <c:valAx>
        <c:axId val="183353881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833540992"/>
        <c:crosses val="autoZero"/>
        <c:crossBetween val="between"/>
      </c:valAx>
      <c:spPr>
        <a:noFill/>
        <a:ln w="25400">
          <a:noFill/>
        </a:ln>
      </c:spPr>
    </c:plotArea>
    <c:legend>
      <c:legendPos val="r"/>
      <c:layout>
        <c:manualLayout>
          <c:xMode val="edge"/>
          <c:yMode val="edge"/>
          <c:x val="0.17544449049131999"/>
          <c:y val="0.91194701698557101"/>
          <c:w val="0.57896726067136295"/>
          <c:h val="7.254103599744329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4</xdr:row>
      <xdr:rowOff>152400</xdr:rowOff>
    </xdr:from>
    <xdr:to>
      <xdr:col>11</xdr:col>
      <xdr:colOff>628650</xdr:colOff>
      <xdr:row>19</xdr:row>
      <xdr:rowOff>104775</xdr:rowOff>
    </xdr:to>
    <xdr:pic>
      <xdr:nvPicPr>
        <xdr:cNvPr id="3681910" name="Picture 2">
          <a:extLst>
            <a:ext uri="{FF2B5EF4-FFF2-40B4-BE49-F238E27FC236}">
              <a16:creationId xmlns="" xmlns:a16="http://schemas.microsoft.com/office/drawing/2014/main" id="{00000000-0008-0000-0000-0000762E38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47625" y="1390650"/>
          <a:ext cx="7629525" cy="2809875"/>
        </a:xfrm>
        <a:prstGeom prst="rect">
          <a:avLst/>
        </a:prstGeom>
        <a:noFill/>
        <a:ln w="1">
          <a:noFill/>
          <a:miter lim="800000"/>
          <a:headEnd/>
          <a:tailEnd/>
        </a:ln>
      </xdr:spPr>
    </xdr:pic>
    <xdr:clientData/>
  </xdr:twoCellAnchor>
  <xdr:twoCellAnchor editAs="oneCell">
    <xdr:from>
      <xdr:col>7</xdr:col>
      <xdr:colOff>685800</xdr:colOff>
      <xdr:row>7</xdr:row>
      <xdr:rowOff>57150</xdr:rowOff>
    </xdr:from>
    <xdr:to>
      <xdr:col>11</xdr:col>
      <xdr:colOff>542925</xdr:colOff>
      <xdr:row>18</xdr:row>
      <xdr:rowOff>152400</xdr:rowOff>
    </xdr:to>
    <xdr:pic>
      <xdr:nvPicPr>
        <xdr:cNvPr id="3681911" name="Picture 824">
          <a:extLst>
            <a:ext uri="{FF2B5EF4-FFF2-40B4-BE49-F238E27FC236}">
              <a16:creationId xmlns="" xmlns:a16="http://schemas.microsoft.com/office/drawing/2014/main" id="{00000000-0008-0000-0000-0000772E38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34000" y="1866900"/>
          <a:ext cx="2257425" cy="2190750"/>
        </a:xfrm>
        <a:prstGeom prst="rect">
          <a:avLst/>
        </a:prstGeom>
        <a:noFill/>
        <a:ln w="9525">
          <a:noFill/>
          <a:miter lim="800000"/>
          <a:headEnd/>
          <a:tailEnd/>
        </a:ln>
      </xdr:spPr>
    </xdr:pic>
    <xdr:clientData/>
  </xdr:twoCellAnchor>
  <xdr:twoCellAnchor>
    <xdr:from>
      <xdr:col>4</xdr:col>
      <xdr:colOff>257175</xdr:colOff>
      <xdr:row>7</xdr:row>
      <xdr:rowOff>104775</xdr:rowOff>
    </xdr:from>
    <xdr:to>
      <xdr:col>7</xdr:col>
      <xdr:colOff>552450</xdr:colOff>
      <xdr:row>18</xdr:row>
      <xdr:rowOff>85725</xdr:rowOff>
    </xdr:to>
    <xdr:sp macro="" textlink="">
      <xdr:nvSpPr>
        <xdr:cNvPr id="3681912" name="AutoShape 27">
          <a:extLst>
            <a:ext uri="{FF2B5EF4-FFF2-40B4-BE49-F238E27FC236}">
              <a16:creationId xmlns="" xmlns:a16="http://schemas.microsoft.com/office/drawing/2014/main" id="{00000000-0008-0000-0000-0000782E3800}"/>
            </a:ext>
          </a:extLst>
        </xdr:cNvPr>
        <xdr:cNvSpPr>
          <a:spLocks noChangeArrowheads="1"/>
        </xdr:cNvSpPr>
      </xdr:nvSpPr>
      <xdr:spPr bwMode="gray">
        <a:xfrm>
          <a:off x="2619375" y="1914525"/>
          <a:ext cx="2581275" cy="207645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57150</xdr:rowOff>
    </xdr:from>
    <xdr:to>
      <xdr:col>6</xdr:col>
      <xdr:colOff>533400</xdr:colOff>
      <xdr:row>12</xdr:row>
      <xdr:rowOff>38100</xdr:rowOff>
    </xdr:to>
    <xdr:grpSp>
      <xdr:nvGrpSpPr>
        <xdr:cNvPr id="3681913" name="Group 25">
          <a:hlinkClick xmlns:r="http://schemas.openxmlformats.org/officeDocument/2006/relationships" r:id="rId3"/>
          <a:extLst>
            <a:ext uri="{FF2B5EF4-FFF2-40B4-BE49-F238E27FC236}">
              <a16:creationId xmlns="" xmlns:a16="http://schemas.microsoft.com/office/drawing/2014/main" id="{00000000-0008-0000-0000-0000792E3800}"/>
            </a:ext>
          </a:extLst>
        </xdr:cNvPr>
        <xdr:cNvGrpSpPr>
          <a:grpSpLocks/>
        </xdr:cNvGrpSpPr>
      </xdr:nvGrpSpPr>
      <xdr:grpSpPr bwMode="auto">
        <a:xfrm>
          <a:off x="3413125" y="2446338"/>
          <a:ext cx="1009650" cy="361950"/>
          <a:chOff x="1200" y="1912"/>
          <a:chExt cx="3456" cy="774"/>
        </a:xfrm>
      </xdr:grpSpPr>
      <xdr:sp macro="" textlink="">
        <xdr:nvSpPr>
          <xdr:cNvPr id="3173451" name="AutoShape 26">
            <a:extLst>
              <a:ext uri="{FF2B5EF4-FFF2-40B4-BE49-F238E27FC236}">
                <a16:creationId xmlns="" xmlns:a16="http://schemas.microsoft.com/office/drawing/2014/main" id="{00000000-0008-0000-0000-00004B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2" name="AutoShape 27">
            <a:extLst>
              <a:ext uri="{FF2B5EF4-FFF2-40B4-BE49-F238E27FC236}">
                <a16:creationId xmlns="" xmlns:a16="http://schemas.microsoft.com/office/drawing/2014/main" id="{00000000-0008-0000-0000-000016000000}"/>
              </a:ext>
            </a:extLst>
          </xdr:cNvPr>
          <xdr:cNvSpPr>
            <a:spLocks noChangeArrowheads="1"/>
          </xdr:cNvSpPr>
        </xdr:nvSpPr>
        <xdr:spPr bwMode="gray">
          <a:xfrm>
            <a:off x="1265" y="1993"/>
            <a:ext cx="3293"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 xmlns:a16="http://schemas.microsoft.com/office/drawing/2014/main" id="{00000000-0008-0000-0000-000017000000}"/>
              </a:ext>
            </a:extLst>
          </xdr:cNvPr>
          <xdr:cNvSpPr>
            <a:spLocks/>
          </xdr:cNvSpPr>
        </xdr:nvSpPr>
        <xdr:spPr bwMode="gray">
          <a:xfrm>
            <a:off x="1298" y="1993"/>
            <a:ext cx="359"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323850</xdr:colOff>
      <xdr:row>15</xdr:row>
      <xdr:rowOff>180975</xdr:rowOff>
    </xdr:from>
    <xdr:to>
      <xdr:col>6</xdr:col>
      <xdr:colOff>628650</xdr:colOff>
      <xdr:row>17</xdr:row>
      <xdr:rowOff>161925</xdr:rowOff>
    </xdr:to>
    <xdr:grpSp>
      <xdr:nvGrpSpPr>
        <xdr:cNvPr id="3681914" name="Group 25">
          <a:hlinkClick xmlns:r="http://schemas.openxmlformats.org/officeDocument/2006/relationships" r:id="rId4"/>
          <a:extLst>
            <a:ext uri="{FF2B5EF4-FFF2-40B4-BE49-F238E27FC236}">
              <a16:creationId xmlns="" xmlns:a16="http://schemas.microsoft.com/office/drawing/2014/main" id="{00000000-0008-0000-0000-00007A2E3800}"/>
            </a:ext>
          </a:extLst>
        </xdr:cNvPr>
        <xdr:cNvGrpSpPr>
          <a:grpSpLocks/>
        </xdr:cNvGrpSpPr>
      </xdr:nvGrpSpPr>
      <xdr:grpSpPr bwMode="auto">
        <a:xfrm>
          <a:off x="3451225" y="3522663"/>
          <a:ext cx="1066800" cy="361950"/>
          <a:chOff x="1200" y="1912"/>
          <a:chExt cx="3456" cy="774"/>
        </a:xfrm>
      </xdr:grpSpPr>
      <xdr:sp macro="" textlink="">
        <xdr:nvSpPr>
          <xdr:cNvPr id="3173448" name="AutoShape 26">
            <a:extLst>
              <a:ext uri="{FF2B5EF4-FFF2-40B4-BE49-F238E27FC236}">
                <a16:creationId xmlns="" xmlns:a16="http://schemas.microsoft.com/office/drawing/2014/main" id="{00000000-0008-0000-0000-000048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6" name="AutoShape 27">
            <a:extLst>
              <a:ext uri="{FF2B5EF4-FFF2-40B4-BE49-F238E27FC236}">
                <a16:creationId xmlns="" xmlns:a16="http://schemas.microsoft.com/office/drawing/2014/main" id="{00000000-0008-0000-0000-00001A000000}"/>
              </a:ext>
            </a:extLst>
          </xdr:cNvPr>
          <xdr:cNvSpPr>
            <a:spLocks noChangeArrowheads="1"/>
          </xdr:cNvSpPr>
        </xdr:nvSpPr>
        <xdr:spPr bwMode="gray">
          <a:xfrm>
            <a:off x="1293" y="1993"/>
            <a:ext cx="3302"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 xmlns:a16="http://schemas.microsoft.com/office/drawing/2014/main" id="{00000000-0008-0000-0000-00001B000000}"/>
              </a:ext>
            </a:extLst>
          </xdr:cNvPr>
          <xdr:cNvSpPr>
            <a:spLocks/>
          </xdr:cNvSpPr>
        </xdr:nvSpPr>
        <xdr:spPr bwMode="gray">
          <a:xfrm>
            <a:off x="1293" y="1993"/>
            <a:ext cx="370"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285750</xdr:colOff>
      <xdr:row>13</xdr:row>
      <xdr:rowOff>9525</xdr:rowOff>
    </xdr:from>
    <xdr:to>
      <xdr:col>6</xdr:col>
      <xdr:colOff>600075</xdr:colOff>
      <xdr:row>15</xdr:row>
      <xdr:rowOff>0</xdr:rowOff>
    </xdr:to>
    <xdr:grpSp>
      <xdr:nvGrpSpPr>
        <xdr:cNvPr id="3681915" name="Group 25">
          <a:hlinkClick xmlns:r="http://schemas.openxmlformats.org/officeDocument/2006/relationships" r:id="rId5"/>
          <a:extLst>
            <a:ext uri="{FF2B5EF4-FFF2-40B4-BE49-F238E27FC236}">
              <a16:creationId xmlns="" xmlns:a16="http://schemas.microsoft.com/office/drawing/2014/main" id="{00000000-0008-0000-0000-00007B2E3800}"/>
            </a:ext>
          </a:extLst>
        </xdr:cNvPr>
        <xdr:cNvGrpSpPr>
          <a:grpSpLocks/>
        </xdr:cNvGrpSpPr>
      </xdr:nvGrpSpPr>
      <xdr:grpSpPr bwMode="auto">
        <a:xfrm>
          <a:off x="3413125" y="2970213"/>
          <a:ext cx="1076325" cy="371475"/>
          <a:chOff x="1200" y="1912"/>
          <a:chExt cx="3456" cy="774"/>
        </a:xfrm>
      </xdr:grpSpPr>
      <xdr:sp macro="" textlink="">
        <xdr:nvSpPr>
          <xdr:cNvPr id="3173445" name="AutoShape 26">
            <a:extLst>
              <a:ext uri="{FF2B5EF4-FFF2-40B4-BE49-F238E27FC236}">
                <a16:creationId xmlns="" xmlns:a16="http://schemas.microsoft.com/office/drawing/2014/main" id="{00000000-0008-0000-0000-000045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07941" name="AutoShape 27">
            <a:extLst>
              <a:ext uri="{FF2B5EF4-FFF2-40B4-BE49-F238E27FC236}">
                <a16:creationId xmlns="" xmlns:a16="http://schemas.microsoft.com/office/drawing/2014/main" id="{00000000-0008-0000-0000-0000452C0300}"/>
              </a:ext>
            </a:extLst>
          </xdr:cNvPr>
          <xdr:cNvSpPr>
            <a:spLocks noChangeArrowheads="1"/>
          </xdr:cNvSpPr>
        </xdr:nvSpPr>
        <xdr:spPr bwMode="gray">
          <a:xfrm>
            <a:off x="1292" y="1991"/>
            <a:ext cx="3303"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 xmlns:a16="http://schemas.microsoft.com/office/drawing/2014/main" id="{00000000-0008-0000-0000-0000462C0300}"/>
              </a:ext>
            </a:extLst>
          </xdr:cNvPr>
          <xdr:cNvSpPr>
            <a:spLocks/>
          </xdr:cNvSpPr>
        </xdr:nvSpPr>
        <xdr:spPr bwMode="gray">
          <a:xfrm>
            <a:off x="1292" y="1991"/>
            <a:ext cx="367" cy="35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307975</xdr:colOff>
      <xdr:row>5</xdr:row>
      <xdr:rowOff>0</xdr:rowOff>
    </xdr:from>
    <xdr:to>
      <xdr:col>7</xdr:col>
      <xdr:colOff>400125</xdr:colOff>
      <xdr:row>6</xdr:row>
      <xdr:rowOff>41764</xdr:rowOff>
    </xdr:to>
    <xdr:sp macro="" textlink="">
      <xdr:nvSpPr>
        <xdr:cNvPr id="4899" name="Rectangle 803">
          <a:extLst>
            <a:ext uri="{FF2B5EF4-FFF2-40B4-BE49-F238E27FC236}">
              <a16:creationId xmlns="" xmlns:a16="http://schemas.microsoft.com/office/drawing/2014/main"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171450</xdr:colOff>
      <xdr:row>13</xdr:row>
      <xdr:rowOff>28575</xdr:rowOff>
    </xdr:to>
    <xdr:grpSp>
      <xdr:nvGrpSpPr>
        <xdr:cNvPr id="3681917" name="Group 832">
          <a:hlinkClick xmlns:r="http://schemas.openxmlformats.org/officeDocument/2006/relationships" r:id="rId6"/>
          <a:extLst>
            <a:ext uri="{FF2B5EF4-FFF2-40B4-BE49-F238E27FC236}">
              <a16:creationId xmlns="" xmlns:a16="http://schemas.microsoft.com/office/drawing/2014/main" id="{00000000-0008-0000-0000-00007D2E3800}"/>
            </a:ext>
          </a:extLst>
        </xdr:cNvPr>
        <xdr:cNvGrpSpPr>
          <a:grpSpLocks/>
        </xdr:cNvGrpSpPr>
      </xdr:nvGrpSpPr>
      <xdr:grpSpPr bwMode="auto">
        <a:xfrm>
          <a:off x="5708650" y="2579688"/>
          <a:ext cx="1511300" cy="409575"/>
          <a:chOff x="599" y="262"/>
          <a:chExt cx="158" cy="43"/>
        </a:xfrm>
      </xdr:grpSpPr>
      <xdr:sp macro="" textlink="">
        <xdr:nvSpPr>
          <xdr:cNvPr id="3173441" name="AutoShape 30">
            <a:extLst>
              <a:ext uri="{FF2B5EF4-FFF2-40B4-BE49-F238E27FC236}">
                <a16:creationId xmlns="" xmlns:a16="http://schemas.microsoft.com/office/drawing/2014/main" id="{00000000-0008-0000-0000-0000416C30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8" name="13 Grupo">
            <a:extLst>
              <a:ext uri="{FF2B5EF4-FFF2-40B4-BE49-F238E27FC236}">
                <a16:creationId xmlns="" xmlns:a16="http://schemas.microsoft.com/office/drawing/2014/main" id="{00000000-0008-0000-0000-00009C2E38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 xmlns:a16="http://schemas.microsoft.com/office/drawing/2014/main" id="{00000000-0008-0000-0000-000027130000}"/>
                </a:ext>
              </a:extLst>
            </xdr:cNvPr>
            <xdr:cNvSpPr>
              <a:spLocks noChangeArrowheads="1"/>
            </xdr:cNvSpPr>
          </xdr:nvSpPr>
          <xdr:spPr bwMode="gray">
            <a:xfrm>
              <a:off x="1033186" y="2641962"/>
              <a:ext cx="3677727" cy="69654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3681950" name="Freeform 32">
              <a:extLst>
                <a:ext uri="{FF2B5EF4-FFF2-40B4-BE49-F238E27FC236}">
                  <a16:creationId xmlns="" xmlns:a16="http://schemas.microsoft.com/office/drawing/2014/main" id="{00000000-0008-0000-0000-00009E2E3800}"/>
                </a:ext>
              </a:extLst>
            </xdr:cNvPr>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238125</xdr:colOff>
      <xdr:row>7</xdr:row>
      <xdr:rowOff>85725</xdr:rowOff>
    </xdr:from>
    <xdr:to>
      <xdr:col>4</xdr:col>
      <xdr:colOff>114300</xdr:colOff>
      <xdr:row>18</xdr:row>
      <xdr:rowOff>104775</xdr:rowOff>
    </xdr:to>
    <xdr:grpSp>
      <xdr:nvGrpSpPr>
        <xdr:cNvPr id="3681918" name="Group 830">
          <a:extLst>
            <a:ext uri="{FF2B5EF4-FFF2-40B4-BE49-F238E27FC236}">
              <a16:creationId xmlns="" xmlns:a16="http://schemas.microsoft.com/office/drawing/2014/main" id="{00000000-0008-0000-0000-00007E2E3800}"/>
            </a:ext>
          </a:extLst>
        </xdr:cNvPr>
        <xdr:cNvGrpSpPr>
          <a:grpSpLocks/>
        </xdr:cNvGrpSpPr>
      </xdr:nvGrpSpPr>
      <xdr:grpSpPr bwMode="auto">
        <a:xfrm>
          <a:off x="317500" y="1903413"/>
          <a:ext cx="2162175" cy="2114550"/>
          <a:chOff x="32" y="188"/>
          <a:chExt cx="225" cy="225"/>
        </a:xfrm>
      </xdr:grpSpPr>
      <xdr:sp macro="" textlink="">
        <xdr:nvSpPr>
          <xdr:cNvPr id="3681945" name="AutoShape 31">
            <a:extLst>
              <a:ext uri="{FF2B5EF4-FFF2-40B4-BE49-F238E27FC236}">
                <a16:creationId xmlns="" xmlns:a16="http://schemas.microsoft.com/office/drawing/2014/main" id="{00000000-0008-0000-0000-0000992E38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a:extLst>
              <a:ext uri="{FF2B5EF4-FFF2-40B4-BE49-F238E27FC236}">
                <a16:creationId xmlns="" xmlns:a16="http://schemas.microsoft.com/office/drawing/2014/main" id="{00000000-0008-0000-0000-000031130000}"/>
              </a:ext>
            </a:extLst>
          </xdr:cNvPr>
          <xdr:cNvSpPr>
            <a:spLocks/>
          </xdr:cNvSpPr>
        </xdr:nvSpPr>
        <xdr:spPr bwMode="gray">
          <a:xfrm>
            <a:off x="42" y="197"/>
            <a:ext cx="56" cy="28"/>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3681919" name="Group 826">
          <a:extLst>
            <a:ext uri="{FF2B5EF4-FFF2-40B4-BE49-F238E27FC236}">
              <a16:creationId xmlns="" xmlns:a16="http://schemas.microsoft.com/office/drawing/2014/main" id="{00000000-0008-0000-0000-00007F2E3800}"/>
            </a:ext>
          </a:extLst>
        </xdr:cNvPr>
        <xdr:cNvGrpSpPr>
          <a:grpSpLocks/>
        </xdr:cNvGrpSpPr>
      </xdr:nvGrpSpPr>
      <xdr:grpSpPr bwMode="auto">
        <a:xfrm>
          <a:off x="5699125" y="3208338"/>
          <a:ext cx="1501775" cy="409575"/>
          <a:chOff x="578" y="328"/>
          <a:chExt cx="158" cy="43"/>
        </a:xfrm>
      </xdr:grpSpPr>
      <xdr:sp macro="" textlink="">
        <xdr:nvSpPr>
          <xdr:cNvPr id="3173435" name="AutoShape 30">
            <a:extLst>
              <a:ext uri="{FF2B5EF4-FFF2-40B4-BE49-F238E27FC236}">
                <a16:creationId xmlns="" xmlns:a16="http://schemas.microsoft.com/office/drawing/2014/main" id="{00000000-0008-0000-0000-00003B6C30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2" name="Group 823">
            <a:extLst>
              <a:ext uri="{FF2B5EF4-FFF2-40B4-BE49-F238E27FC236}">
                <a16:creationId xmlns="" xmlns:a16="http://schemas.microsoft.com/office/drawing/2014/main" id="{00000000-0008-0000-0000-0000962E38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a:extLst>
                <a:ext uri="{FF2B5EF4-FFF2-40B4-BE49-F238E27FC236}">
                  <a16:creationId xmlns="" xmlns:a16="http://schemas.microsoft.com/office/drawing/2014/main" id="{00000000-0008-0000-0000-00002C130000}"/>
                </a:ext>
              </a:extLst>
            </xdr:cNvPr>
            <xdr:cNvSpPr>
              <a:spLocks noChangeArrowheads="1"/>
            </xdr:cNvSpPr>
          </xdr:nvSpPr>
          <xdr:spPr bwMode="gray">
            <a:xfrm>
              <a:off x="582" y="331"/>
              <a:ext cx="151" cy="3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3681944" name="Freeform 32">
              <a:extLst>
                <a:ext uri="{FF2B5EF4-FFF2-40B4-BE49-F238E27FC236}">
                  <a16:creationId xmlns="" xmlns:a16="http://schemas.microsoft.com/office/drawing/2014/main" id="{00000000-0008-0000-0000-0000982E38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523875</xdr:colOff>
      <xdr:row>15</xdr:row>
      <xdr:rowOff>133350</xdr:rowOff>
    </xdr:from>
    <xdr:to>
      <xdr:col>3</xdr:col>
      <xdr:colOff>495300</xdr:colOff>
      <xdr:row>17</xdr:row>
      <xdr:rowOff>95250</xdr:rowOff>
    </xdr:to>
    <xdr:grpSp>
      <xdr:nvGrpSpPr>
        <xdr:cNvPr id="3681920" name="Group 831">
          <a:hlinkClick xmlns:r="http://schemas.openxmlformats.org/officeDocument/2006/relationships" r:id="rId8"/>
          <a:extLst>
            <a:ext uri="{FF2B5EF4-FFF2-40B4-BE49-F238E27FC236}">
              <a16:creationId xmlns="" xmlns:a16="http://schemas.microsoft.com/office/drawing/2014/main" id="{00000000-0008-0000-0000-0000802E3800}"/>
            </a:ext>
          </a:extLst>
        </xdr:cNvPr>
        <xdr:cNvGrpSpPr>
          <a:grpSpLocks/>
        </xdr:cNvGrpSpPr>
      </xdr:nvGrpSpPr>
      <xdr:grpSpPr bwMode="auto">
        <a:xfrm>
          <a:off x="603250" y="3475038"/>
          <a:ext cx="1495425" cy="342900"/>
          <a:chOff x="56" y="259"/>
          <a:chExt cx="158" cy="40"/>
        </a:xfrm>
      </xdr:grpSpPr>
      <xdr:sp macro="" textlink="">
        <xdr:nvSpPr>
          <xdr:cNvPr id="3173431" name="AutoShape 30">
            <a:extLst>
              <a:ext uri="{FF2B5EF4-FFF2-40B4-BE49-F238E27FC236}">
                <a16:creationId xmlns="" xmlns:a16="http://schemas.microsoft.com/office/drawing/2014/main" id="{00000000-0008-0000-0000-0000376C30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8" name="11 Grupo">
            <a:extLst>
              <a:ext uri="{FF2B5EF4-FFF2-40B4-BE49-F238E27FC236}">
                <a16:creationId xmlns="" xmlns:a16="http://schemas.microsoft.com/office/drawing/2014/main" id="{00000000-0008-0000-0000-0000922E38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 xmlns:a16="http://schemas.microsoft.com/office/drawing/2014/main" id="{00000000-0008-0000-0000-000009000000}"/>
                </a:ext>
              </a:extLst>
            </xdr:cNvPr>
            <xdr:cNvSpPr>
              <a:spLocks noChangeArrowheads="1"/>
            </xdr:cNvSpPr>
          </xdr:nvSpPr>
          <xdr:spPr bwMode="gray">
            <a:xfrm>
              <a:off x="1033487" y="2897574"/>
              <a:ext cx="3676518" cy="49215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a:extLst>
                <a:ext uri="{FF2B5EF4-FFF2-40B4-BE49-F238E27FC236}">
                  <a16:creationId xmlns="" xmlns:a16="http://schemas.microsoft.com/office/drawing/2014/main" id="{00000000-0008-0000-0000-00000A000000}"/>
                </a:ext>
              </a:extLst>
            </xdr:cNvPr>
            <xdr:cNvSpPr>
              <a:spLocks/>
            </xdr:cNvSpPr>
          </xdr:nvSpPr>
          <xdr:spPr bwMode="gray">
            <a:xfrm>
              <a:off x="1153635" y="2897574"/>
              <a:ext cx="360443" cy="19686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10</xdr:row>
      <xdr:rowOff>28575</xdr:rowOff>
    </xdr:from>
    <xdr:to>
      <xdr:col>3</xdr:col>
      <xdr:colOff>495300</xdr:colOff>
      <xdr:row>12</xdr:row>
      <xdr:rowOff>9525</xdr:rowOff>
    </xdr:to>
    <xdr:grpSp>
      <xdr:nvGrpSpPr>
        <xdr:cNvPr id="3681921" name="37 Grupo">
          <a:hlinkClick xmlns:r="http://schemas.openxmlformats.org/officeDocument/2006/relationships" r:id="rId9"/>
          <a:extLst>
            <a:ext uri="{FF2B5EF4-FFF2-40B4-BE49-F238E27FC236}">
              <a16:creationId xmlns="" xmlns:a16="http://schemas.microsoft.com/office/drawing/2014/main" id="{00000000-0008-0000-0000-0000812E3800}"/>
            </a:ext>
          </a:extLst>
        </xdr:cNvPr>
        <xdr:cNvGrpSpPr>
          <a:grpSpLocks/>
        </xdr:cNvGrpSpPr>
      </xdr:nvGrpSpPr>
      <xdr:grpSpPr bwMode="auto">
        <a:xfrm>
          <a:off x="603250" y="2417763"/>
          <a:ext cx="1495425" cy="361950"/>
          <a:chOff x="1343025" y="2428876"/>
          <a:chExt cx="3240982" cy="617274"/>
        </a:xfrm>
      </xdr:grpSpPr>
      <xdr:sp macro="" textlink="">
        <xdr:nvSpPr>
          <xdr:cNvPr id="3173427" name="AutoShape 30">
            <a:extLst>
              <a:ext uri="{FF2B5EF4-FFF2-40B4-BE49-F238E27FC236}">
                <a16:creationId xmlns="" xmlns:a16="http://schemas.microsoft.com/office/drawing/2014/main" id="{00000000-0008-0000-0000-0000336C30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4" name="13 Grupo">
            <a:extLst>
              <a:ext uri="{FF2B5EF4-FFF2-40B4-BE49-F238E27FC236}">
                <a16:creationId xmlns="" xmlns:a16="http://schemas.microsoft.com/office/drawing/2014/main" id="{00000000-0008-0000-0000-00008E2E38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 xmlns:a16="http://schemas.microsoft.com/office/drawing/2014/main" id="{00000000-0008-0000-0000-000003000000}"/>
                </a:ext>
              </a:extLst>
            </xdr:cNvPr>
            <xdr:cNvSpPr>
              <a:spLocks noChangeArrowheads="1"/>
            </xdr:cNvSpPr>
          </xdr:nvSpPr>
          <xdr:spPr bwMode="gray">
            <a:xfrm>
              <a:off x="1112318" y="2769861"/>
              <a:ext cx="3603726" cy="567237"/>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a:extLst>
                <a:ext uri="{FF2B5EF4-FFF2-40B4-BE49-F238E27FC236}">
                  <a16:creationId xmlns="" xmlns:a16="http://schemas.microsoft.com/office/drawing/2014/main" id="{00000000-0008-0000-0000-000004000000}"/>
                </a:ext>
              </a:extLst>
            </xdr:cNvPr>
            <xdr:cNvSpPr>
              <a:spLocks/>
            </xdr:cNvSpPr>
          </xdr:nvSpPr>
          <xdr:spPr bwMode="gray">
            <a:xfrm>
              <a:off x="1160368" y="2806457"/>
              <a:ext cx="360373" cy="292768"/>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12</xdr:row>
      <xdr:rowOff>180975</xdr:rowOff>
    </xdr:from>
    <xdr:to>
      <xdr:col>3</xdr:col>
      <xdr:colOff>495300</xdr:colOff>
      <xdr:row>14</xdr:row>
      <xdr:rowOff>180975</xdr:rowOff>
    </xdr:to>
    <xdr:grpSp>
      <xdr:nvGrpSpPr>
        <xdr:cNvPr id="3681922" name="37 Grupo">
          <a:hlinkClick xmlns:r="http://schemas.openxmlformats.org/officeDocument/2006/relationships" r:id="rId10"/>
          <a:extLst>
            <a:ext uri="{FF2B5EF4-FFF2-40B4-BE49-F238E27FC236}">
              <a16:creationId xmlns="" xmlns:a16="http://schemas.microsoft.com/office/drawing/2014/main" id="{00000000-0008-0000-0000-0000822E3800}"/>
            </a:ext>
          </a:extLst>
        </xdr:cNvPr>
        <xdr:cNvGrpSpPr>
          <a:grpSpLocks/>
        </xdr:cNvGrpSpPr>
      </xdr:nvGrpSpPr>
      <xdr:grpSpPr bwMode="auto">
        <a:xfrm>
          <a:off x="603250" y="2951163"/>
          <a:ext cx="1495425" cy="381000"/>
          <a:chOff x="1343025" y="2428876"/>
          <a:chExt cx="3240982" cy="617274"/>
        </a:xfrm>
      </xdr:grpSpPr>
      <xdr:sp macro="" textlink="">
        <xdr:nvSpPr>
          <xdr:cNvPr id="3173423" name="AutoShape 30">
            <a:extLst>
              <a:ext uri="{FF2B5EF4-FFF2-40B4-BE49-F238E27FC236}">
                <a16:creationId xmlns="" xmlns:a16="http://schemas.microsoft.com/office/drawing/2014/main" id="{00000000-0008-0000-0000-00002F6C30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0" name="13 Grupo">
            <a:extLst>
              <a:ext uri="{FF2B5EF4-FFF2-40B4-BE49-F238E27FC236}">
                <a16:creationId xmlns="" xmlns:a16="http://schemas.microsoft.com/office/drawing/2014/main" id="{00000000-0008-0000-0000-00008A2E38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 xmlns:a16="http://schemas.microsoft.com/office/drawing/2014/main" id="{00000000-0008-0000-0000-00000E000000}"/>
                </a:ext>
              </a:extLst>
            </xdr:cNvPr>
            <xdr:cNvSpPr>
              <a:spLocks noChangeArrowheads="1"/>
            </xdr:cNvSpPr>
          </xdr:nvSpPr>
          <xdr:spPr bwMode="gray">
            <a:xfrm>
              <a:off x="1112318" y="2766201"/>
              <a:ext cx="3603726" cy="573642"/>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a:extLst>
                <a:ext uri="{FF2B5EF4-FFF2-40B4-BE49-F238E27FC236}">
                  <a16:creationId xmlns="" xmlns:a16="http://schemas.microsoft.com/office/drawing/2014/main" id="{00000000-0008-0000-0000-00000F000000}"/>
                </a:ext>
              </a:extLst>
            </xdr:cNvPr>
            <xdr:cNvSpPr>
              <a:spLocks/>
            </xdr:cNvSpPr>
          </xdr:nvSpPr>
          <xdr:spPr bwMode="gray">
            <a:xfrm>
              <a:off x="1160368" y="2766201"/>
              <a:ext cx="360373"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257175</xdr:colOff>
      <xdr:row>7</xdr:row>
      <xdr:rowOff>66675</xdr:rowOff>
    </xdr:from>
    <xdr:to>
      <xdr:col>4</xdr:col>
      <xdr:colOff>114300</xdr:colOff>
      <xdr:row>9</xdr:row>
      <xdr:rowOff>133350</xdr:rowOff>
    </xdr:to>
    <xdr:pic>
      <xdr:nvPicPr>
        <xdr:cNvPr id="3681923" name="Picture 2012">
          <a:extLst>
            <a:ext uri="{FF2B5EF4-FFF2-40B4-BE49-F238E27FC236}">
              <a16:creationId xmlns="" xmlns:a16="http://schemas.microsoft.com/office/drawing/2014/main" id="{00000000-0008-0000-0000-0000832E38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333375" y="1876425"/>
          <a:ext cx="2143125" cy="447675"/>
        </a:xfrm>
        <a:prstGeom prst="rect">
          <a:avLst/>
        </a:prstGeom>
        <a:noFill/>
        <a:ln w="9525">
          <a:noFill/>
          <a:miter lim="800000"/>
          <a:headEnd/>
          <a:tailEnd/>
        </a:ln>
      </xdr:spPr>
    </xdr:pic>
    <xdr:clientData/>
  </xdr:twoCellAnchor>
  <xdr:twoCellAnchor editAs="oneCell">
    <xdr:from>
      <xdr:col>1</xdr:col>
      <xdr:colOff>361950</xdr:colOff>
      <xdr:row>7</xdr:row>
      <xdr:rowOff>95250</xdr:rowOff>
    </xdr:from>
    <xdr:to>
      <xdr:col>4</xdr:col>
      <xdr:colOff>38318</xdr:colOff>
      <xdr:row>9</xdr:row>
      <xdr:rowOff>95477</xdr:rowOff>
    </xdr:to>
    <xdr:sp macro="" textlink="">
      <xdr:nvSpPr>
        <xdr:cNvPr id="955357" name="Text Box 2013">
          <a:extLst>
            <a:ext uri="{FF2B5EF4-FFF2-40B4-BE49-F238E27FC236}">
              <a16:creationId xmlns="" xmlns:a16="http://schemas.microsoft.com/office/drawing/2014/main"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238125</xdr:colOff>
      <xdr:row>7</xdr:row>
      <xdr:rowOff>66675</xdr:rowOff>
    </xdr:from>
    <xdr:to>
      <xdr:col>7</xdr:col>
      <xdr:colOff>561975</xdr:colOff>
      <xdr:row>9</xdr:row>
      <xdr:rowOff>133350</xdr:rowOff>
    </xdr:to>
    <xdr:pic>
      <xdr:nvPicPr>
        <xdr:cNvPr id="3681925" name="Picture 2016">
          <a:extLst>
            <a:ext uri="{FF2B5EF4-FFF2-40B4-BE49-F238E27FC236}">
              <a16:creationId xmlns="" xmlns:a16="http://schemas.microsoft.com/office/drawing/2014/main" id="{00000000-0008-0000-0000-0000852E3800}"/>
            </a:ext>
          </a:extLst>
        </xdr:cNvPr>
        <xdr:cNvPicPr>
          <a:picLocks noChangeAspect="1" noChangeArrowheads="1"/>
        </xdr:cNvPicPr>
      </xdr:nvPicPr>
      <xdr:blipFill>
        <a:blip xmlns:r="http://schemas.openxmlformats.org/officeDocument/2006/relationships" r:embed="rId12" cstate="print"/>
        <a:srcRect/>
        <a:stretch>
          <a:fillRect/>
        </a:stretch>
      </xdr:blipFill>
      <xdr:spPr bwMode="auto">
        <a:xfrm>
          <a:off x="2600325" y="1876425"/>
          <a:ext cx="2609850" cy="447675"/>
        </a:xfrm>
        <a:prstGeom prst="rect">
          <a:avLst/>
        </a:prstGeom>
        <a:noFill/>
        <a:ln w="9525">
          <a:noFill/>
          <a:miter lim="800000"/>
          <a:headEnd/>
          <a:tailEnd/>
        </a:ln>
      </xdr:spPr>
    </xdr:pic>
    <xdr:clientData/>
  </xdr:twoCellAnchor>
  <xdr:twoCellAnchor editAs="oneCell">
    <xdr:from>
      <xdr:col>4</xdr:col>
      <xdr:colOff>600075</xdr:colOff>
      <xdr:row>7</xdr:row>
      <xdr:rowOff>95250</xdr:rowOff>
    </xdr:from>
    <xdr:to>
      <xdr:col>7</xdr:col>
      <xdr:colOff>304669</xdr:colOff>
      <xdr:row>9</xdr:row>
      <xdr:rowOff>104775</xdr:rowOff>
    </xdr:to>
    <xdr:sp macro="" textlink="">
      <xdr:nvSpPr>
        <xdr:cNvPr id="955361" name="Text Box 2017">
          <a:extLst>
            <a:ext uri="{FF2B5EF4-FFF2-40B4-BE49-F238E27FC236}">
              <a16:creationId xmlns="" xmlns:a16="http://schemas.microsoft.com/office/drawing/2014/main"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723900</xdr:colOff>
      <xdr:row>7</xdr:row>
      <xdr:rowOff>85725</xdr:rowOff>
    </xdr:from>
    <xdr:to>
      <xdr:col>11</xdr:col>
      <xdr:colOff>495300</xdr:colOff>
      <xdr:row>9</xdr:row>
      <xdr:rowOff>133350</xdr:rowOff>
    </xdr:to>
    <xdr:pic>
      <xdr:nvPicPr>
        <xdr:cNvPr id="3681927" name="Picture 2018">
          <a:extLst>
            <a:ext uri="{FF2B5EF4-FFF2-40B4-BE49-F238E27FC236}">
              <a16:creationId xmlns="" xmlns:a16="http://schemas.microsoft.com/office/drawing/2014/main" id="{00000000-0008-0000-0000-0000872E3800}"/>
            </a:ext>
          </a:extLst>
        </xdr:cNvPr>
        <xdr:cNvPicPr>
          <a:picLocks noChangeAspect="1" noChangeArrowheads="1"/>
        </xdr:cNvPicPr>
      </xdr:nvPicPr>
      <xdr:blipFill>
        <a:blip xmlns:r="http://schemas.openxmlformats.org/officeDocument/2006/relationships" r:embed="rId13" cstate="print"/>
        <a:srcRect/>
        <a:stretch>
          <a:fillRect/>
        </a:stretch>
      </xdr:blipFill>
      <xdr:spPr bwMode="auto">
        <a:xfrm>
          <a:off x="5372100" y="1895475"/>
          <a:ext cx="2171700" cy="428625"/>
        </a:xfrm>
        <a:prstGeom prst="rect">
          <a:avLst/>
        </a:prstGeom>
        <a:noFill/>
        <a:ln w="9525">
          <a:noFill/>
          <a:miter lim="800000"/>
          <a:headEnd/>
          <a:tailEnd/>
        </a:ln>
      </xdr:spPr>
    </xdr:pic>
    <xdr:clientData/>
  </xdr:twoCellAnchor>
  <xdr:twoCellAnchor editAs="oneCell">
    <xdr:from>
      <xdr:col>8</xdr:col>
      <xdr:colOff>66675</xdr:colOff>
      <xdr:row>7</xdr:row>
      <xdr:rowOff>95250</xdr:rowOff>
    </xdr:from>
    <xdr:to>
      <xdr:col>11</xdr:col>
      <xdr:colOff>409958</xdr:colOff>
      <xdr:row>9</xdr:row>
      <xdr:rowOff>104775</xdr:rowOff>
    </xdr:to>
    <xdr:sp macro="" textlink="">
      <xdr:nvSpPr>
        <xdr:cNvPr id="955363" name="Text Box 2019">
          <a:extLst>
            <a:ext uri="{FF2B5EF4-FFF2-40B4-BE49-F238E27FC236}">
              <a16:creationId xmlns="" xmlns:a16="http://schemas.microsoft.com/office/drawing/2014/main"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9755" name="Picture 2" descr="C:\Documents and Settings\Administrator\My Documents\My Pictures\Prueba.jpg">
          <a:extLst>
            <a:ext uri="{FF2B5EF4-FFF2-40B4-BE49-F238E27FC236}">
              <a16:creationId xmlns="" xmlns:a16="http://schemas.microsoft.com/office/drawing/2014/main" id="{00000000-0008-0000-0900-00001B26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4295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1118535</xdr:colOff>
      <xdr:row>1</xdr:row>
      <xdr:rowOff>0</xdr:rowOff>
    </xdr:to>
    <xdr:sp macro="" textlink="">
      <xdr:nvSpPr>
        <xdr:cNvPr id="54346" name="AutoShape 50">
          <a:hlinkClick xmlns:r="http://schemas.openxmlformats.org/officeDocument/2006/relationships" r:id="rId1"/>
          <a:extLst>
            <a:ext uri="{FF2B5EF4-FFF2-40B4-BE49-F238E27FC236}">
              <a16:creationId xmlns="" xmlns:a16="http://schemas.microsoft.com/office/drawing/2014/main"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945917</xdr:colOff>
      <xdr:row>1</xdr:row>
      <xdr:rowOff>9525</xdr:rowOff>
    </xdr:to>
    <xdr:sp macro="" textlink="">
      <xdr:nvSpPr>
        <xdr:cNvPr id="6445" name="AutoShape 50">
          <a:hlinkClick xmlns:r="http://schemas.openxmlformats.org/officeDocument/2006/relationships" r:id="rId1"/>
          <a:extLst>
            <a:ext uri="{FF2B5EF4-FFF2-40B4-BE49-F238E27FC236}">
              <a16:creationId xmlns="" xmlns:a16="http://schemas.microsoft.com/office/drawing/2014/main"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cxnSp macro="">
      <xdr:nvCxnSpPr>
        <xdr:cNvPr id="7059" name="AutoShape 100">
          <a:extLst>
            <a:ext uri="{FF2B5EF4-FFF2-40B4-BE49-F238E27FC236}">
              <a16:creationId xmlns="" xmlns:a16="http://schemas.microsoft.com/office/drawing/2014/main" id="{00000000-0008-0000-0200-0000931B0000}"/>
            </a:ext>
          </a:extLst>
        </xdr:cNvPr>
        <xdr:cNvCxnSpPr>
          <a:cxnSpLocks noChangeShapeType="1"/>
        </xdr:cNvCxnSpPr>
      </xdr:nvCxnSpPr>
      <xdr:spPr bwMode="auto">
        <a:xfrm rot="5400000">
          <a:off x="7967662" y="6748463"/>
          <a:ext cx="2714625" cy="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46</xdr:row>
      <xdr:rowOff>104775</xdr:rowOff>
    </xdr:from>
    <xdr:to>
      <xdr:col>4</xdr:col>
      <xdr:colOff>1066800</xdr:colOff>
      <xdr:row>46</xdr:row>
      <xdr:rowOff>104775</xdr:rowOff>
    </xdr:to>
    <xdr:cxnSp macro="">
      <xdr:nvCxnSpPr>
        <xdr:cNvPr id="7060" name="AutoShape 101">
          <a:extLst>
            <a:ext uri="{FF2B5EF4-FFF2-40B4-BE49-F238E27FC236}">
              <a16:creationId xmlns="" xmlns:a16="http://schemas.microsoft.com/office/drawing/2014/main" id="{00000000-0008-0000-0200-0000941B0000}"/>
            </a:ext>
          </a:extLst>
        </xdr:cNvPr>
        <xdr:cNvCxnSpPr>
          <a:cxnSpLocks noChangeShapeType="1"/>
        </xdr:cNvCxnSpPr>
      </xdr:nvCxnSpPr>
      <xdr:spPr bwMode="auto">
        <a:xfrm rot="10800000">
          <a:off x="6067425" y="8248650"/>
          <a:ext cx="1066800" cy="0"/>
        </a:xfrm>
        <a:prstGeom prst="straightConnector1">
          <a:avLst/>
        </a:prstGeom>
        <a:noFill/>
        <a:ln w="9525">
          <a:solidFill>
            <a:srgbClr val="000000"/>
          </a:solidFill>
          <a:round/>
          <a:headEnd type="triangle" w="med" len="me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2</xdr:row>
      <xdr:rowOff>0</xdr:rowOff>
    </xdr:from>
    <xdr:to>
      <xdr:col>0</xdr:col>
      <xdr:colOff>1187639</xdr:colOff>
      <xdr:row>2</xdr:row>
      <xdr:rowOff>422805</xdr:rowOff>
    </xdr:to>
    <xdr:sp macro="" textlink="">
      <xdr:nvSpPr>
        <xdr:cNvPr id="3189" name="Rectangle 117">
          <a:hlinkClick xmlns:r="http://schemas.openxmlformats.org/officeDocument/2006/relationships" r:id="rId1"/>
          <a:extLst>
            <a:ext uri="{FF2B5EF4-FFF2-40B4-BE49-F238E27FC236}">
              <a16:creationId xmlns="" xmlns:a16="http://schemas.microsoft.com/office/drawing/2014/main"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1108819</xdr:colOff>
      <xdr:row>1</xdr:row>
      <xdr:rowOff>76401</xdr:rowOff>
    </xdr:to>
    <xdr:sp macro="" textlink="">
      <xdr:nvSpPr>
        <xdr:cNvPr id="3455" name="AutoShape 50">
          <a:hlinkClick xmlns:r="http://schemas.openxmlformats.org/officeDocument/2006/relationships" r:id="rId2"/>
          <a:extLst>
            <a:ext uri="{FF2B5EF4-FFF2-40B4-BE49-F238E27FC236}">
              <a16:creationId xmlns="" xmlns:a16="http://schemas.microsoft.com/office/drawing/2014/main"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180975</xdr:rowOff>
    </xdr:to>
    <xdr:graphicFrame macro="">
      <xdr:nvGraphicFramePr>
        <xdr:cNvPr id="2841219" name="Chart 32">
          <a:extLst>
            <a:ext uri="{FF2B5EF4-FFF2-40B4-BE49-F238E27FC236}">
              <a16:creationId xmlns="" xmlns:a16="http://schemas.microsoft.com/office/drawing/2014/main" id="{00000000-0008-0000-0400-0000835A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a:extLst>
            <a:ext uri="{FF2B5EF4-FFF2-40B4-BE49-F238E27FC236}">
              <a16:creationId xmlns="" xmlns:a16="http://schemas.microsoft.com/office/drawing/2014/main" id="{00000000-0008-0000-04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66675</xdr:rowOff>
    </xdr:from>
    <xdr:to>
      <xdr:col>11</xdr:col>
      <xdr:colOff>0</xdr:colOff>
      <xdr:row>21</xdr:row>
      <xdr:rowOff>9525</xdr:rowOff>
    </xdr:to>
    <xdr:grpSp>
      <xdr:nvGrpSpPr>
        <xdr:cNvPr id="2841221" name="Group 489">
          <a:extLst>
            <a:ext uri="{FF2B5EF4-FFF2-40B4-BE49-F238E27FC236}">
              <a16:creationId xmlns="" xmlns:a16="http://schemas.microsoft.com/office/drawing/2014/main" id="{00000000-0008-0000-0400-0000855A2B00}"/>
            </a:ext>
          </a:extLst>
        </xdr:cNvPr>
        <xdr:cNvGrpSpPr>
          <a:grpSpLocks/>
        </xdr:cNvGrpSpPr>
      </xdr:nvGrpSpPr>
      <xdr:grpSpPr bwMode="auto">
        <a:xfrm>
          <a:off x="3911600" y="2193925"/>
          <a:ext cx="3486150" cy="2228850"/>
          <a:chOff x="410" y="229"/>
          <a:chExt cx="366" cy="234"/>
        </a:xfrm>
      </xdr:grpSpPr>
      <xdr:graphicFrame macro="">
        <xdr:nvGraphicFramePr>
          <xdr:cNvPr id="2841225" name="Chart 31">
            <a:extLst>
              <a:ext uri="{FF2B5EF4-FFF2-40B4-BE49-F238E27FC236}">
                <a16:creationId xmlns="" xmlns:a16="http://schemas.microsoft.com/office/drawing/2014/main" id="{00000000-0008-0000-0400-0000895A2B00}"/>
              </a:ext>
            </a:extLst>
          </xdr:cNvPr>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2841226" name="Picture 477" descr="one">
            <a:extLst>
              <a:ext uri="{FF2B5EF4-FFF2-40B4-BE49-F238E27FC236}">
                <a16:creationId xmlns="" xmlns:a16="http://schemas.microsoft.com/office/drawing/2014/main" id="{00000000-0008-0000-0400-00008A5A2B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6" y="441"/>
            <a:ext cx="297" cy="22"/>
          </a:xfrm>
          <a:prstGeom prst="rect">
            <a:avLst/>
          </a:prstGeom>
          <a:noFill/>
          <a:ln w="9525">
            <a:noFill/>
            <a:miter lim="800000"/>
            <a:headEnd/>
            <a:tailEnd/>
          </a:ln>
        </xdr:spPr>
      </xdr:pic>
    </xdr:grpSp>
    <xdr:clientData/>
  </xdr:twoCellAnchor>
  <xdr:twoCellAnchor>
    <xdr:from>
      <xdr:col>0</xdr:col>
      <xdr:colOff>0</xdr:colOff>
      <xdr:row>23</xdr:row>
      <xdr:rowOff>0</xdr:rowOff>
    </xdr:from>
    <xdr:to>
      <xdr:col>6</xdr:col>
      <xdr:colOff>0</xdr:colOff>
      <xdr:row>32</xdr:row>
      <xdr:rowOff>57150</xdr:rowOff>
    </xdr:to>
    <xdr:grpSp>
      <xdr:nvGrpSpPr>
        <xdr:cNvPr id="2841222" name="Group 490">
          <a:extLst>
            <a:ext uri="{FF2B5EF4-FFF2-40B4-BE49-F238E27FC236}">
              <a16:creationId xmlns="" xmlns:a16="http://schemas.microsoft.com/office/drawing/2014/main" id="{00000000-0008-0000-0400-0000865A2B00}"/>
            </a:ext>
          </a:extLst>
        </xdr:cNvPr>
        <xdr:cNvGrpSpPr>
          <a:grpSpLocks/>
        </xdr:cNvGrpSpPr>
      </xdr:nvGrpSpPr>
      <xdr:grpSpPr bwMode="auto">
        <a:xfrm>
          <a:off x="0" y="4826000"/>
          <a:ext cx="3873500" cy="2355850"/>
          <a:chOff x="0" y="505"/>
          <a:chExt cx="407" cy="245"/>
        </a:xfrm>
      </xdr:grpSpPr>
      <xdr:graphicFrame macro="">
        <xdr:nvGraphicFramePr>
          <xdr:cNvPr id="2841223" name="Chart 34">
            <a:extLst>
              <a:ext uri="{FF2B5EF4-FFF2-40B4-BE49-F238E27FC236}">
                <a16:creationId xmlns="" xmlns:a16="http://schemas.microsoft.com/office/drawing/2014/main" id="{00000000-0008-0000-0400-0000875A2B00}"/>
              </a:ext>
            </a:extLst>
          </xdr:cNvPr>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2841224" name="Picture 487" descr="ok">
            <a:extLst>
              <a:ext uri="{FF2B5EF4-FFF2-40B4-BE49-F238E27FC236}">
                <a16:creationId xmlns="" xmlns:a16="http://schemas.microsoft.com/office/drawing/2014/main" id="{00000000-0008-0000-0400-0000885A2B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86" y="708"/>
            <a:ext cx="259" cy="22"/>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180975</xdr:rowOff>
    </xdr:from>
    <xdr:to>
      <xdr:col>12</xdr:col>
      <xdr:colOff>238125</xdr:colOff>
      <xdr:row>14</xdr:row>
      <xdr:rowOff>152400</xdr:rowOff>
    </xdr:to>
    <xdr:graphicFrame macro="">
      <xdr:nvGraphicFramePr>
        <xdr:cNvPr id="2869720" name="Chart 1034">
          <a:extLst>
            <a:ext uri="{FF2B5EF4-FFF2-40B4-BE49-F238E27FC236}">
              <a16:creationId xmlns="" xmlns:a16="http://schemas.microsoft.com/office/drawing/2014/main" id="{00000000-0008-0000-0500-0000D8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macro="">
      <xdr:nvGraphicFramePr>
        <xdr:cNvPr id="2869721" name="Chart 1039">
          <a:extLst>
            <a:ext uri="{FF2B5EF4-FFF2-40B4-BE49-F238E27FC236}">
              <a16:creationId xmlns="" xmlns:a16="http://schemas.microsoft.com/office/drawing/2014/main" id="{00000000-0008-0000-0500-0000D9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8</xdr:row>
      <xdr:rowOff>9525</xdr:rowOff>
    </xdr:from>
    <xdr:to>
      <xdr:col>5</xdr:col>
      <xdr:colOff>1104900</xdr:colOff>
      <xdr:row>14</xdr:row>
      <xdr:rowOff>66675</xdr:rowOff>
    </xdr:to>
    <xdr:graphicFrame macro="">
      <xdr:nvGraphicFramePr>
        <xdr:cNvPr id="2869722" name="Chart 1046">
          <a:extLst>
            <a:ext uri="{FF2B5EF4-FFF2-40B4-BE49-F238E27FC236}">
              <a16:creationId xmlns="" xmlns:a16="http://schemas.microsoft.com/office/drawing/2014/main" id="{00000000-0008-0000-0500-0000DA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9525</xdr:rowOff>
    </xdr:from>
    <xdr:to>
      <xdr:col>12</xdr:col>
      <xdr:colOff>180975</xdr:colOff>
      <xdr:row>25</xdr:row>
      <xdr:rowOff>28575</xdr:rowOff>
    </xdr:to>
    <xdr:graphicFrame macro="">
      <xdr:nvGraphicFramePr>
        <xdr:cNvPr id="2869723" name="Chart 1054">
          <a:extLst>
            <a:ext uri="{FF2B5EF4-FFF2-40B4-BE49-F238E27FC236}">
              <a16:creationId xmlns="" xmlns:a16="http://schemas.microsoft.com/office/drawing/2014/main" id="{00000000-0008-0000-0500-0000DB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209550</xdr:colOff>
      <xdr:row>27</xdr:row>
      <xdr:rowOff>57150</xdr:rowOff>
    </xdr:from>
    <xdr:to>
      <xdr:col>5</xdr:col>
      <xdr:colOff>657225</xdr:colOff>
      <xdr:row>33</xdr:row>
      <xdr:rowOff>257175</xdr:rowOff>
    </xdr:to>
    <xdr:graphicFrame macro="">
      <xdr:nvGraphicFramePr>
        <xdr:cNvPr id="2869724" name="Chart 1091">
          <a:extLst>
            <a:ext uri="{FF2B5EF4-FFF2-40B4-BE49-F238E27FC236}">
              <a16:creationId xmlns="" xmlns:a16="http://schemas.microsoft.com/office/drawing/2014/main" id="{00000000-0008-0000-0500-0000DC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a:extLst>
            <a:ext uri="{FF2B5EF4-FFF2-40B4-BE49-F238E27FC236}">
              <a16:creationId xmlns="" xmlns:a16="http://schemas.microsoft.com/office/drawing/2014/main" id="{00000000-0008-0000-05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152400</xdr:colOff>
      <xdr:row>9</xdr:row>
      <xdr:rowOff>47625</xdr:rowOff>
    </xdr:from>
    <xdr:to>
      <xdr:col>11</xdr:col>
      <xdr:colOff>47625</xdr:colOff>
      <xdr:row>17</xdr:row>
      <xdr:rowOff>0</xdr:rowOff>
    </xdr:to>
    <xdr:graphicFrame macro="">
      <xdr:nvGraphicFramePr>
        <xdr:cNvPr id="3615818" name="Chart 33">
          <a:extLst>
            <a:ext uri="{FF2B5EF4-FFF2-40B4-BE49-F238E27FC236}">
              <a16:creationId xmlns="" xmlns:a16="http://schemas.microsoft.com/office/drawing/2014/main" id="{00000000-0008-0000-0600-00004A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a:extLst>
            <a:ext uri="{FF2B5EF4-FFF2-40B4-BE49-F238E27FC236}">
              <a16:creationId xmlns="" xmlns:a16="http://schemas.microsoft.com/office/drawing/2014/main"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macro="">
      <xdr:nvGraphicFramePr>
        <xdr:cNvPr id="3615820" name="Chart 488">
          <a:extLst>
            <a:ext uri="{FF2B5EF4-FFF2-40B4-BE49-F238E27FC236}">
              <a16:creationId xmlns="" xmlns:a16="http://schemas.microsoft.com/office/drawing/2014/main" id="{00000000-0008-0000-0600-00004C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666750</xdr:colOff>
      <xdr:row>9</xdr:row>
      <xdr:rowOff>85725</xdr:rowOff>
    </xdr:from>
    <xdr:to>
      <xdr:col>4</xdr:col>
      <xdr:colOff>400050</xdr:colOff>
      <xdr:row>17</xdr:row>
      <xdr:rowOff>66675</xdr:rowOff>
    </xdr:to>
    <xdr:graphicFrame macro="">
      <xdr:nvGraphicFramePr>
        <xdr:cNvPr id="3615821" name="Chart 553">
          <a:extLst>
            <a:ext uri="{FF2B5EF4-FFF2-40B4-BE49-F238E27FC236}">
              <a16:creationId xmlns="" xmlns:a16="http://schemas.microsoft.com/office/drawing/2014/main" id="{00000000-0008-0000-0600-00004D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3432879" name="Group 41">
          <a:extLst>
            <a:ext uri="{FF2B5EF4-FFF2-40B4-BE49-F238E27FC236}">
              <a16:creationId xmlns="" xmlns:a16="http://schemas.microsoft.com/office/drawing/2014/main" id="{00000000-0008-0000-0700-0000AF613400}"/>
            </a:ext>
          </a:extLst>
        </xdr:cNvPr>
        <xdr:cNvGrpSpPr>
          <a:grpSpLocks/>
        </xdr:cNvGrpSpPr>
      </xdr:nvGrpSpPr>
      <xdr:grpSpPr bwMode="auto">
        <a:xfrm>
          <a:off x="5545667" y="5154083"/>
          <a:ext cx="85725" cy="0"/>
          <a:chOff x="595" y="540"/>
          <a:chExt cx="9" cy="9"/>
        </a:xfrm>
      </xdr:grpSpPr>
      <xdr:sp macro="" textlink="">
        <xdr:nvSpPr>
          <xdr:cNvPr id="3432890" name="Rectangle 11">
            <a:extLst>
              <a:ext uri="{FF2B5EF4-FFF2-40B4-BE49-F238E27FC236}">
                <a16:creationId xmlns="" xmlns:a16="http://schemas.microsoft.com/office/drawing/2014/main" id="{00000000-0008-0000-0700-0000BA613400}"/>
              </a:ext>
            </a:extLst>
          </xdr:cNvPr>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91" name="Arc 12">
            <a:extLst>
              <a:ext uri="{FF2B5EF4-FFF2-40B4-BE49-F238E27FC236}">
                <a16:creationId xmlns="" xmlns:a16="http://schemas.microsoft.com/office/drawing/2014/main" id="{00000000-0008-0000-0700-0000BB6134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981075</xdr:colOff>
      <xdr:row>20</xdr:row>
      <xdr:rowOff>0</xdr:rowOff>
    </xdr:from>
    <xdr:to>
      <xdr:col>9</xdr:col>
      <xdr:colOff>9525</xdr:colOff>
      <xdr:row>20</xdr:row>
      <xdr:rowOff>0</xdr:rowOff>
    </xdr:to>
    <xdr:grpSp>
      <xdr:nvGrpSpPr>
        <xdr:cNvPr id="3432880" name="Group 44">
          <a:extLst>
            <a:ext uri="{FF2B5EF4-FFF2-40B4-BE49-F238E27FC236}">
              <a16:creationId xmlns="" xmlns:a16="http://schemas.microsoft.com/office/drawing/2014/main" id="{00000000-0008-0000-0700-0000B0613400}"/>
            </a:ext>
          </a:extLst>
        </xdr:cNvPr>
        <xdr:cNvGrpSpPr>
          <a:grpSpLocks/>
        </xdr:cNvGrpSpPr>
      </xdr:nvGrpSpPr>
      <xdr:grpSpPr bwMode="auto">
        <a:xfrm>
          <a:off x="6526742" y="5154083"/>
          <a:ext cx="86783" cy="0"/>
          <a:chOff x="698" y="540"/>
          <a:chExt cx="9" cy="9"/>
        </a:xfrm>
      </xdr:grpSpPr>
      <xdr:sp macro="" textlink="">
        <xdr:nvSpPr>
          <xdr:cNvPr id="3432888" name="Rectangle 47">
            <a:extLst>
              <a:ext uri="{FF2B5EF4-FFF2-40B4-BE49-F238E27FC236}">
                <a16:creationId xmlns="" xmlns:a16="http://schemas.microsoft.com/office/drawing/2014/main" id="{00000000-0008-0000-0700-0000B8613400}"/>
              </a:ext>
            </a:extLst>
          </xdr:cNvPr>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9" name="Arc 48">
            <a:extLst>
              <a:ext uri="{FF2B5EF4-FFF2-40B4-BE49-F238E27FC236}">
                <a16:creationId xmlns="" xmlns:a16="http://schemas.microsoft.com/office/drawing/2014/main" id="{00000000-0008-0000-0700-0000B96134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781050</xdr:colOff>
      <xdr:row>20</xdr:row>
      <xdr:rowOff>0</xdr:rowOff>
    </xdr:from>
    <xdr:to>
      <xdr:col>7</xdr:col>
      <xdr:colOff>0</xdr:colOff>
      <xdr:row>20</xdr:row>
      <xdr:rowOff>0</xdr:rowOff>
    </xdr:to>
    <xdr:grpSp>
      <xdr:nvGrpSpPr>
        <xdr:cNvPr id="3432881" name="Group 47">
          <a:extLst>
            <a:ext uri="{FF2B5EF4-FFF2-40B4-BE49-F238E27FC236}">
              <a16:creationId xmlns="" xmlns:a16="http://schemas.microsoft.com/office/drawing/2014/main" id="{00000000-0008-0000-0700-0000B1613400}"/>
            </a:ext>
          </a:extLst>
        </xdr:cNvPr>
        <xdr:cNvGrpSpPr>
          <a:grpSpLocks/>
        </xdr:cNvGrpSpPr>
      </xdr:nvGrpSpPr>
      <xdr:grpSpPr bwMode="auto">
        <a:xfrm>
          <a:off x="5173133" y="5154083"/>
          <a:ext cx="86784" cy="0"/>
          <a:chOff x="698" y="540"/>
          <a:chExt cx="9" cy="9"/>
        </a:xfrm>
      </xdr:grpSpPr>
      <xdr:sp macro="" textlink="">
        <xdr:nvSpPr>
          <xdr:cNvPr id="3432886" name="Rectangle 47">
            <a:extLst>
              <a:ext uri="{FF2B5EF4-FFF2-40B4-BE49-F238E27FC236}">
                <a16:creationId xmlns="" xmlns:a16="http://schemas.microsoft.com/office/drawing/2014/main" id="{00000000-0008-0000-0700-0000B6613400}"/>
              </a:ext>
            </a:extLst>
          </xdr:cNvPr>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7" name="Arc 48">
            <a:extLst>
              <a:ext uri="{FF2B5EF4-FFF2-40B4-BE49-F238E27FC236}">
                <a16:creationId xmlns="" xmlns:a16="http://schemas.microsoft.com/office/drawing/2014/main" id="{00000000-0008-0000-0700-0000B76134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85725</xdr:colOff>
      <xdr:row>20</xdr:row>
      <xdr:rowOff>0</xdr:rowOff>
    </xdr:to>
    <xdr:grpSp>
      <xdr:nvGrpSpPr>
        <xdr:cNvPr id="3432882" name="Group 50">
          <a:extLst>
            <a:ext uri="{FF2B5EF4-FFF2-40B4-BE49-F238E27FC236}">
              <a16:creationId xmlns="" xmlns:a16="http://schemas.microsoft.com/office/drawing/2014/main" id="{00000000-0008-0000-0700-0000B2613400}"/>
            </a:ext>
          </a:extLst>
        </xdr:cNvPr>
        <xdr:cNvGrpSpPr>
          <a:grpSpLocks/>
        </xdr:cNvGrpSpPr>
      </xdr:nvGrpSpPr>
      <xdr:grpSpPr bwMode="auto">
        <a:xfrm>
          <a:off x="1439333" y="5154083"/>
          <a:ext cx="85725" cy="0"/>
          <a:chOff x="595" y="540"/>
          <a:chExt cx="9" cy="9"/>
        </a:xfrm>
      </xdr:grpSpPr>
      <xdr:sp macro="" textlink="">
        <xdr:nvSpPr>
          <xdr:cNvPr id="3432884" name="Rectangle 11">
            <a:extLst>
              <a:ext uri="{FF2B5EF4-FFF2-40B4-BE49-F238E27FC236}">
                <a16:creationId xmlns="" xmlns:a16="http://schemas.microsoft.com/office/drawing/2014/main" id="{00000000-0008-0000-0700-0000B4613400}"/>
              </a:ext>
            </a:extLst>
          </xdr:cNvPr>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85" name="Arc 12">
            <a:extLst>
              <a:ext uri="{FF2B5EF4-FFF2-40B4-BE49-F238E27FC236}">
                <a16:creationId xmlns="" xmlns:a16="http://schemas.microsoft.com/office/drawing/2014/main" id="{00000000-0008-0000-0700-0000B56134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1201426</xdr:colOff>
      <xdr:row>0</xdr:row>
      <xdr:rowOff>419100</xdr:rowOff>
    </xdr:to>
    <xdr:sp macro="" textlink="">
      <xdr:nvSpPr>
        <xdr:cNvPr id="1150121" name="AutoShape 50">
          <a:hlinkClick xmlns:r="http://schemas.openxmlformats.org/officeDocument/2006/relationships" r:id="rId1"/>
          <a:extLst>
            <a:ext uri="{FF2B5EF4-FFF2-40B4-BE49-F238E27FC236}">
              <a16:creationId xmlns="" xmlns:a16="http://schemas.microsoft.com/office/drawing/2014/main"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486" name="Chart 1">
          <a:extLst>
            <a:ext uri="{FF2B5EF4-FFF2-40B4-BE49-F238E27FC236}">
              <a16:creationId xmlns="" xmlns:a16="http://schemas.microsoft.com/office/drawing/2014/main" id="{00000000-0008-0000-0800-0000CE8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807207</xdr:colOff>
      <xdr:row>0</xdr:row>
      <xdr:rowOff>371475</xdr:rowOff>
    </xdr:to>
    <xdr:sp macro="" textlink="">
      <xdr:nvSpPr>
        <xdr:cNvPr id="33131" name="AutoShape 50">
          <a:hlinkClick xmlns:r="http://schemas.openxmlformats.org/officeDocument/2006/relationships" r:id="rId2"/>
          <a:extLst>
            <a:ext uri="{FF2B5EF4-FFF2-40B4-BE49-F238E27FC236}">
              <a16:creationId xmlns="" xmlns:a16="http://schemas.microsoft.com/office/drawing/2014/main"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3" r="D40" connectionId="0">
    <xmlCellPr id="1" uniqueName="1">
      <xmlPr mapId="43" xpath="/ns1:Root/ns1:F2/ns1:TB__ID_cases_Cumulative_Expenditures__in___" xmlDataType="double"/>
    </xmlCellPr>
  </singleXmlCell>
  <singleXmlCell id="465" r="D41" connectionId="0">
    <xmlCellPr id="1" uniqueName="1">
      <xmlPr mapId="43" xpath="/ns1:Root/ns1:F2/ns1:TB_HIV__Cumulative_Expenditures__in___" xmlDataType="double"/>
    </xmlCellPr>
  </singleXmlCell>
  <singleXmlCell id="467" r="D42" connectionId="0">
    <xmlCellPr id="1" uniqueName="1">
      <xmlPr mapId="43" xpath="/ns1:Root/ns1:F2/ns1:Advocacy__Commun__SocMob_Cumulative_Expenditures__in___" xmlDataType="double"/>
    </xmlCellPr>
  </singleXmlCell>
  <singleXmlCell id="469" r="D43" connectionId="0">
    <xmlCellPr id="1" uniqueName="1">
      <xmlPr mapId="43" xpath="/ns1:Root/ns1:F2/ns1:Environ__Community_TB_care__Cumulative_Expenditures__in___" xmlDataType="double"/>
    </xmlCellPr>
  </singleXmlCell>
  <singleXmlCell id="471" r="D44" connectionId="0">
    <xmlCellPr id="1" uniqueName="1">
      <xmlPr mapId="43" xpath="/ns1:Root/ns1:F2/ns1:_Cumulative_Expenditures__in____1" xmlDataType="string"/>
    </xmlCellPr>
  </singleXmlCell>
  <singleXmlCell id="473" r="D45" connectionId="0">
    <xmlCellPr id="1" uniqueName="1">
      <xmlPr mapId="43" xpath="/ns1:Root/ns1:F2/ns1:_Cumulative_Expenditures__in____2" xmlDataType="string"/>
    </xmlCellPr>
  </singleXmlCell>
  <singleXmlCell id="474" r="C46" connectionId="0">
    <xmlCellPr id="1" uniqueName="1">
      <xmlPr mapId="43" xpath="/ns1:Root/ns1:F2/ns1:_Cumulative_Budget__in___" xmlDataType="string"/>
    </xmlCellPr>
  </singleXmlCell>
  <singleXmlCell id="475" r="D46" connectionId="0">
    <xmlCellPr id="1" uniqueName="1">
      <xmlPr mapId="43" xpath="/ns1:Root/ns1:F2/ns1:_Cumulative_Expenditures__in___" xmlDataType="string"/>
    </xmlCellPr>
  </singleXmlCell>
  <singleXmlCell id="476" r="C52" connectionId="0">
    <xmlCellPr id="1" uniqueName="1">
      <xmlPr mapId="43" xpath="/ns1:Root/ns1:F3/ns1:Disbursed_by_Global_Fund_Prior_to_reporting_period__in___" xmlDataType="double"/>
    </xmlCellPr>
  </singleXmlCell>
  <singleXmlCell id="477" r="D52" connectionId="0">
    <xmlCellPr id="1" uniqueName="1">
      <xmlPr mapId="43" xpath="/ns1:Root/ns1:F3/ns1:Disbursed_by_Global_Fund_Reporting_period__in___" xmlDataType="double"/>
    </xmlCellPr>
  </singleXmlCell>
  <singleXmlCell id="478" r="C53" connectionId="0">
    <xmlCellPr id="1" uniqueName="1">
      <xmlPr mapId="43" xpath="/ns1:Root/ns1:F3/ns1:PR_expenditure_and_disbursement_Prior_to_reporting_period__in___" xmlDataType="double"/>
    </xmlCellPr>
  </singleXmlCell>
  <singleXmlCell id="479" r="D53" connectionId="0">
    <xmlCellPr id="1" uniqueName="1">
      <xmlPr mapId="43" xpath="/ns1:Root/ns1:F3/ns1:PR_expenditure_and_disbursement_Reporting_period__in___" xmlDataType="double"/>
    </xmlCellPr>
  </singleXmlCell>
  <singleXmlCell id="480" r="C54" connectionId="0">
    <xmlCellPr id="1" uniqueName="1">
      <xmlPr mapId="43" xpath="/ns1:Root/ns1:F3/ns1:Disbursed_to_SRs_Prior_to_reporting_period__in___" xmlDataType="double"/>
    </xmlCellPr>
  </singleXmlCell>
  <singleXmlCell id="481" r="D54" connectionId="0">
    <xmlCellPr id="1" uniqueName="1">
      <xmlPr mapId="43" xpath="/ns1:Root/ns1:F3/ns1:Disbursed_to_SRs_Reporting_period__in___" xmlDataType="double"/>
    </xmlCellPr>
  </singleXmlCell>
  <singleXmlCell id="482" r="C55" connectionId="0">
    <xmlCellPr id="1" uniqueName="1">
      <xmlPr mapId="43" xpath="/ns1:Root/ns1:F3/ns1:SR_expenditures_Prior_to_reporting_period__in___" xmlDataType="double"/>
    </xmlCellPr>
  </singleXmlCell>
  <singleXmlCell id="483" r="D55" connectionId="0">
    <xmlCellPr id="1" uniqueName="1">
      <xmlPr mapId="43" xpath="/ns1:Root/ns1:F3/ns1:SR_expenditures_Reporting_period__in___" xmlDataType="double"/>
    </xmlCellPr>
  </singleXmlCell>
  <singleXmlCell id="484" r="C62" connectionId="0">
    <xmlCellPr id="1" uniqueName="1">
      <xmlPr mapId="43" xpath="/ns1:Root/ns1:F4/ns1:Days_taken_to_submit_acceptable_PU_DR_to_LFA_Expected__days_" xmlDataType="double"/>
    </xmlCellPr>
  </singleXmlCell>
  <singleXmlCell id="485" r="D62" connectionId="0">
    <xmlCellPr id="1" uniqueName="1">
      <xmlPr mapId="43" xpath="/ns1:Root/ns1:F4/ns1:Days_taken_to_submit_acceptable_PU_DR_to_LFA_Actual__days_" xmlDataType="double"/>
    </xmlCellPr>
  </singleXmlCell>
  <singleXmlCell id="486" r="C63" connectionId="0">
    <xmlCellPr id="1" uniqueName="1">
      <xmlPr mapId="43" xpath="/ns1:Root/ns1:F4/ns1:Days_taken_for_disbursement_to_reach_PR_Expected__days_" xmlDataType="double"/>
    </xmlCellPr>
  </singleXmlCell>
  <singleXmlCell id="487" r="D63" connectionId="0">
    <xmlCellPr id="1" uniqueName="1">
      <xmlPr mapId="43" xpath="/ns1:Root/ns1:F4/ns1:Days_taken_for_disbursement_to_reach_PR_Actual__days_" xmlDataType="double"/>
    </xmlCellPr>
  </singleXmlCell>
  <singleXmlCell id="488" r="C64" connectionId="0">
    <xmlCellPr id="1" uniqueName="1">
      <xmlPr mapId="43" xpath="/ns1:Root/ns1:F4/ns1:Days_taken_for_disbursement_to_reach_SRs__Expected__days_" xmlDataType="double"/>
    </xmlCellPr>
  </singleXmlCell>
  <singleXmlCell id="489" r="D64" connectionId="0">
    <xmlCellPr id="1" uniqueName="1">
      <xmlPr mapId="43" xpath="/ns1:Root/ns1:F4/ns1:Days_taken_for_disbursement_to_reach_SRs__Actual__days_" xmlDataType="double"/>
    </xmlCellPr>
  </singleXmlCell>
  <singleXmlCell id="490" r="B72" connectionId="0">
    <xmlCellPr id="1" uniqueName="1">
      <xmlPr mapId="43" xpath="/ns1:Root/ns1:M1/ns1:Conditions_precedents__CPs__" xmlDataType="string"/>
    </xmlCellPr>
  </singleXmlCell>
  <singleXmlCell id="491" r="D72" connectionId="0">
    <xmlCellPr id="1" uniqueName="1">
      <xmlPr mapId="43" xpath="/ns1:Root/ns1:M1/ns1:Conditions_precedents__CPs__Fulfilled" xmlDataType="double"/>
    </xmlCellPr>
  </singleXmlCell>
  <singleXmlCell id="492" r="E72" connectionId="0">
    <xmlCellPr id="1" uniqueName="1">
      <xmlPr mapId="43" xpath="/ns1:Root/ns1:M1/ns1:Conditions_precedents__CPs__Not_fulfilled__but_within_deadline" xmlDataType="double"/>
    </xmlCellPr>
  </singleXmlCell>
  <singleXmlCell id="493" r="F72" connectionId="0">
    <xmlCellPr id="1" uniqueName="1">
      <xmlPr mapId="43" xpath="/ns1:Root/ns1:M1/ns1:Conditions_precedents__CPs__Not_fulfilled__and_past_the_deadline" xmlDataType="double"/>
    </xmlCellPr>
  </singleXmlCell>
  <singleXmlCell id="494" r="B73" connectionId="0">
    <xmlCellPr id="1" uniqueName="1">
      <xmlPr mapId="43" xpath="/ns1:Root/ns1:M1/ns1:Time_Bound_Actions__TBAs__" xmlDataType="string"/>
    </xmlCellPr>
  </singleXmlCell>
  <singleXmlCell id="495" r="D73" connectionId="0">
    <xmlCellPr id="1" uniqueName="1">
      <xmlPr mapId="43" xpath="/ns1:Root/ns1:M1/ns1:Time_Bound_Actions__TBAs__Fulfilled" xmlDataType="double"/>
    </xmlCellPr>
  </singleXmlCell>
  <singleXmlCell id="496" r="E73" connectionId="0">
    <xmlCellPr id="1" uniqueName="1">
      <xmlPr mapId="43" xpath="/ns1:Root/ns1:M1/ns1:Time_Bound_Actions__TBAs__Not_fulfilled__but_within_deadline" xmlDataType="string"/>
    </xmlCellPr>
  </singleXmlCell>
  <singleXmlCell id="497" r="F73" connectionId="0">
    <xmlCellPr id="1" uniqueName="1">
      <xmlPr mapId="43" xpath="/ns1:Root/ns1:M1/ns1:Time_Bound_Actions__TBAs__Not_fulfilled__and_past_the_deadline" xmlDataType="double"/>
    </xmlCellPr>
  </singleXmlCell>
  <singleXmlCell id="498" r="C79" connectionId="0">
    <xmlCellPr id="1" uniqueName="1">
      <xmlPr mapId="43" xpath="/ns1:Root/ns1:M2/ns1:PMU_Planned" xmlDataType="double"/>
    </xmlCellPr>
  </singleXmlCell>
  <singleXmlCell id="499" r="D79" connectionId="0">
    <xmlCellPr id="1" uniqueName="1">
      <xmlPr mapId="43" xpath="/ns1:Root/ns1:M2/ns1:PMU_Filled" xmlDataType="double"/>
    </xmlCellPr>
  </singleXmlCell>
  <singleXmlCell id="500" r="C84" connectionId="0">
    <xmlCellPr id="1" uniqueName="1">
      <xmlPr mapId="43" xpath="/ns1:Root/ns1:M3/ns1:SRs_Identified" xmlDataType="double"/>
    </xmlCellPr>
  </singleXmlCell>
  <singleXmlCell id="501" r="D84" connectionId="0">
    <xmlCellPr id="1" uniqueName="1">
      <xmlPr mapId="43" xpath="/ns1:Root/ns1:M3/ns1:SRs_Assessed" xmlDataType="double"/>
    </xmlCellPr>
  </singleXmlCell>
  <singleXmlCell id="502" r="E84" connectionId="0">
    <xmlCellPr id="1" uniqueName="1">
      <xmlPr mapId="43" xpath="/ns1:Root/ns1:M3/ns1:SRs_Approved" xmlDataType="double"/>
    </xmlCellPr>
  </singleXmlCell>
  <singleXmlCell id="503" r="F84" connectionId="0">
    <xmlCellPr id="1" uniqueName="1">
      <xmlPr mapId="43" xpath="/ns1:Root/ns1:M3/ns1:SRs_Signed" xmlDataType="double"/>
    </xmlCellPr>
  </singleXmlCell>
  <singleXmlCell id="504" r="G84" connectionId="0">
    <xmlCellPr id="1" uniqueName="1">
      <xmlPr mapId="43" xpath="/ns1:Root/ns1:M3/ns1:SRs_Receiving_Funding" xmlDataType="double"/>
    </xmlCellPr>
  </singleXmlCell>
  <singleXmlCell id="506" r="C89" connectionId="0">
    <xmlCellPr id="1" uniqueName="1">
      <xmlPr mapId="43" xpath="/ns1:Root/ns1:M4/ns1:SSR_to_SR__IR_____Expected" xmlDataType="string"/>
    </xmlCellPr>
  </singleXmlCell>
  <singleXmlCell id="507" r="D89" connectionId="0">
    <xmlCellPr id="1" uniqueName="1">
      <xmlPr mapId="43" xpath="/ns1:Root/ns1:M4/ns1:SSR_to_SR__IR____Received" xmlDataType="string"/>
    </xmlCellPr>
  </singleXmlCell>
  <singleXmlCell id="509" r="C90" connectionId="0">
    <xmlCellPr id="1" uniqueName="1">
      <xmlPr mapId="43" xpath="/ns1:Root/ns1:M4/ns1:SRs__IRs__to_PR____Expected" xmlDataType="double"/>
    </xmlCellPr>
  </singleXmlCell>
  <singleXmlCell id="510" r="D90" connectionId="0">
    <xmlCellPr id="1" uniqueName="1">
      <xmlPr mapId="43" xpath="/ns1:Root/ns1:M4/ns1:SRs__IRs__to_PR___Received" xmlDataType="double"/>
    </xmlCellPr>
  </singleXmlCell>
  <singleXmlCell id="511" r="C95" connectionId="0">
    <xmlCellPr id="1" uniqueName="1">
      <xmlPr mapId="43" xpath="/ns1:Root/ns1:M5/ns1:Budget_Approved__P1" xmlDataType="double"/>
    </xmlCellPr>
  </singleXmlCell>
  <singleXmlCell id="512" r="D95" connectionId="0">
    <xmlCellPr id="1" uniqueName="1">
      <xmlPr mapId="43" xpath="/ns1:Root/ns1:M5/ns1:Budget_Approved__P2" xmlDataType="double"/>
    </xmlCellPr>
  </singleXmlCell>
  <singleXmlCell id="513" r="E95" connectionId="0">
    <xmlCellPr id="1" uniqueName="1">
      <xmlPr mapId="43" xpath="/ns1:Root/ns1:M5/ns1:Budget_Approved__P3" xmlDataType="double"/>
    </xmlCellPr>
  </singleXmlCell>
  <singleXmlCell id="514" r="F95" connectionId="0">
    <xmlCellPr id="1" uniqueName="1">
      <xmlPr mapId="43" xpath="/ns1:Root/ns1:M5/ns1:Budget_Approved__P4" xmlDataType="double"/>
    </xmlCellPr>
  </singleXmlCell>
  <singleXmlCell id="515" r="G95" connectionId="0">
    <xmlCellPr id="1" uniqueName="1">
      <xmlPr mapId="43" xpath="/ns1:Root/ns1:M5/ns1:Budget_Approved__P5" xmlDataType="double"/>
    </xmlCellPr>
  </singleXmlCell>
  <singleXmlCell id="516" r="H95" connectionId="0">
    <xmlCellPr id="1" uniqueName="1">
      <xmlPr mapId="43" xpath="/ns1:Root/ns1:M5/ns1:Budget_Approved__P6" xmlDataType="double"/>
    </xmlCellPr>
  </singleXmlCell>
  <singleXmlCell id="517" r="I95" connectionId="0">
    <xmlCellPr id="1" uniqueName="1">
      <xmlPr mapId="43" xpath="/ns1:Root/ns1:M5/ns1:Budget_Approved__P7" xmlDataType="double"/>
    </xmlCellPr>
  </singleXmlCell>
  <singleXmlCell id="518" r="J95" connectionId="0">
    <xmlCellPr id="1" uniqueName="1">
      <xmlPr mapId="43" xpath="/ns1:Root/ns1:M5/ns1:Budget_Approved__P8" xmlDataType="double"/>
    </xmlCellPr>
  </singleXmlCell>
  <singleXmlCell id="519" r="K95" connectionId="0">
    <xmlCellPr id="1" uniqueName="1">
      <xmlPr mapId="43" xpath="/ns1:Root/ns1:M5/ns1:Budget_Approved__P9" xmlDataType="double"/>
    </xmlCellPr>
  </singleXmlCell>
  <singleXmlCell id="520" r="L95" connectionId="0">
    <xmlCellPr id="1" uniqueName="1">
      <xmlPr mapId="43" xpath="/ns1:Root/ns1:M5/ns1:Budget_Approved__P10" xmlDataType="double"/>
    </xmlCellPr>
  </singleXmlCell>
  <singleXmlCell id="521" r="M95" connectionId="0">
    <xmlCellPr id="1" uniqueName="1">
      <xmlPr mapId="43" xpath="/ns1:Root/ns1:M5/ns1:Budget_Approved__P11" xmlDataType="double"/>
    </xmlCellPr>
  </singleXmlCell>
  <singleXmlCell id="522" r="N95" connectionId="0">
    <xmlCellPr id="1" uniqueName="1">
      <xmlPr mapId="43" xpath="/ns1:Root/ns1:M5/ns1:Budget_Approved__P12" xmlDataType="double"/>
    </xmlCellPr>
  </singleXmlCell>
  <singleXmlCell id="523" r="C96" connectionId="0">
    <xmlCellPr id="1" uniqueName="1">
      <xmlPr mapId="43" xpath="/ns1:Root/ns1:M5/ns1:Obligations_P1" xmlDataType="double"/>
    </xmlCellPr>
  </singleXmlCell>
  <singleXmlCell id="524" r="D96" connectionId="0">
    <xmlCellPr id="1" uniqueName="1">
      <xmlPr mapId="43" xpath="/ns1:Root/ns1:M5/ns1:Obligations_P2" xmlDataType="double"/>
    </xmlCellPr>
  </singleXmlCell>
  <singleXmlCell id="525" r="E96" connectionId="0">
    <xmlCellPr id="1" uniqueName="1">
      <xmlPr mapId="43" xpath="/ns1:Root/ns1:M5/ns1:Obligations_P3" xmlDataType="double"/>
    </xmlCellPr>
  </singleXmlCell>
  <singleXmlCell id="526" r="F96" connectionId="0">
    <xmlCellPr id="1" uniqueName="1">
      <xmlPr mapId="43" xpath="/ns1:Root/ns1:M5/ns1:Obligations_P4" xmlDataType="double"/>
    </xmlCellPr>
  </singleXmlCell>
  <singleXmlCell id="527" r="G96" connectionId="0">
    <xmlCellPr id="1" uniqueName="1">
      <xmlPr mapId="43" xpath="/ns1:Root/ns1:M5/ns1:Obligations_P5" xmlDataType="double"/>
    </xmlCellPr>
  </singleXmlCell>
  <singleXmlCell id="528" r="H96" connectionId="0">
    <xmlCellPr id="1" uniqueName="1">
      <xmlPr mapId="43" xpath="/ns1:Root/ns1:M5/ns1:Obligations_P6" xmlDataType="double"/>
    </xmlCellPr>
  </singleXmlCell>
  <singleXmlCell id="529" r="I96" connectionId="0">
    <xmlCellPr id="1" uniqueName="1">
      <xmlPr mapId="43" xpath="/ns1:Root/ns1:M5/ns1:Obligations_P7" xmlDataType="double"/>
    </xmlCellPr>
  </singleXmlCell>
  <singleXmlCell id="530" r="J96" connectionId="0">
    <xmlCellPr id="1" uniqueName="1">
      <xmlPr mapId="43" xpath="/ns1:Root/ns1:M5/ns1:Obligations_P8" xmlDataType="double"/>
    </xmlCellPr>
  </singleXmlCell>
  <singleXmlCell id="531" r="K96" connectionId="0">
    <xmlCellPr id="1" uniqueName="1">
      <xmlPr mapId="43" xpath="/ns1:Root/ns1:M5/ns1:Obligations_P9" xmlDataType="double"/>
    </xmlCellPr>
  </singleXmlCell>
  <singleXmlCell id="532" r="L96" connectionId="0">
    <xmlCellPr id="1" uniqueName="1">
      <xmlPr mapId="43" xpath="/ns1:Root/ns1:M5/ns1:Obligations_P10" xmlDataType="double"/>
    </xmlCellPr>
  </singleXmlCell>
  <singleXmlCell id="533" r="M96" connectionId="0">
    <xmlCellPr id="1" uniqueName="1">
      <xmlPr mapId="43" xpath="/ns1:Root/ns1:M5/ns1:Obligations_P11" xmlDataType="double"/>
    </xmlCellPr>
  </singleXmlCell>
  <singleXmlCell id="534" r="N96" connectionId="0">
    <xmlCellPr id="1" uniqueName="1">
      <xmlPr mapId="43" xpath="/ns1:Root/ns1:M5/ns1:Obligations_P12" xmlDataType="double"/>
    </xmlCellPr>
  </singleXmlCell>
  <singleXmlCell id="535" r="C97" connectionId="0">
    <xmlCellPr id="1" uniqueName="1">
      <xmlPr mapId="43" xpath="/ns1:Root/ns1:M5/ns1:Expenditures_P1" xmlDataType="double"/>
    </xmlCellPr>
  </singleXmlCell>
  <singleXmlCell id="536" r="D97" connectionId="0">
    <xmlCellPr id="1" uniqueName="1">
      <xmlPr mapId="43" xpath="/ns1:Root/ns1:M5/ns1:Expenditures_P2" xmlDataType="double"/>
    </xmlCellPr>
  </singleXmlCell>
  <singleXmlCell id="537" r="E97" connectionId="0">
    <xmlCellPr id="1" uniqueName="1">
      <xmlPr mapId="43" xpath="/ns1:Root/ns1:M5/ns1:Expenditures_P3" xmlDataType="double"/>
    </xmlCellPr>
  </singleXmlCell>
  <singleXmlCell id="538" r="F97" connectionId="0">
    <xmlCellPr id="1" uniqueName="1">
      <xmlPr mapId="43" xpath="/ns1:Root/ns1:M5/ns1:Expenditures_P4" xmlDataType="double"/>
    </xmlCellPr>
  </singleXmlCell>
  <singleXmlCell id="539" r="G97" connectionId="0">
    <xmlCellPr id="1" uniqueName="1">
      <xmlPr mapId="43" xpath="/ns1:Root/ns1:M5/ns1:Expenditures_P5" xmlDataType="double"/>
    </xmlCellPr>
  </singleXmlCell>
  <singleXmlCell id="540" r="H97" connectionId="0">
    <xmlCellPr id="1" uniqueName="1">
      <xmlPr mapId="43" xpath="/ns1:Root/ns1:M5/ns1:Expenditures_P6" xmlDataType="double"/>
    </xmlCellPr>
  </singleXmlCell>
  <singleXmlCell id="541" r="I97" connectionId="0">
    <xmlCellPr id="1" uniqueName="1">
      <xmlPr mapId="43" xpath="/ns1:Root/ns1:M5/ns1:Expenditures_P7" xmlDataType="double"/>
    </xmlCellPr>
  </singleXmlCell>
  <singleXmlCell id="542" r="J97" connectionId="0">
    <xmlCellPr id="1" uniqueName="1">
      <xmlPr mapId="43" xpath="/ns1:Root/ns1:M5/ns1:Expenditures_P8" xmlDataType="double"/>
    </xmlCellPr>
  </singleXmlCell>
  <singleXmlCell id="543" r="K97" connectionId="0">
    <xmlCellPr id="1" uniqueName="1">
      <xmlPr mapId="43" xpath="/ns1:Root/ns1:M5/ns1:Expenditures_P9" xmlDataType="double"/>
    </xmlCellPr>
  </singleXmlCell>
  <singleXmlCell id="544" r="L97" connectionId="0">
    <xmlCellPr id="1" uniqueName="1">
      <xmlPr mapId="43" xpath="/ns1:Root/ns1:M5/ns1:Expenditures_P10" xmlDataType="double"/>
    </xmlCellPr>
  </singleXmlCell>
  <singleXmlCell id="545" r="M97" connectionId="0">
    <xmlCellPr id="1" uniqueName="1">
      <xmlPr mapId="43" xpath="/ns1:Root/ns1:M5/ns1:Expenditures_P11" xmlDataType="double"/>
    </xmlCellPr>
  </singleXmlCell>
  <singleXmlCell id="546" r="N97" connectionId="0">
    <xmlCellPr id="1" uniqueName="1">
      <xmlPr mapId="43" xpath="/ns1:Root/ns1:M5/ns1:Expenditures_P12" xmlDataType="double"/>
    </xmlCellPr>
  </singleXmlCell>
  <singleXmlCell id="547" r="C108" connectionId="0">
    <xmlCellPr id="1" uniqueName="1">
      <xmlPr mapId="43" xpath="/ns1:Root/ns1:M6/ns1:HIV___AIDS_Products" xmlDataType="string"/>
    </xmlCellPr>
  </singleXmlCell>
  <singleXmlCell id="548" r="D108" connectionId="0">
    <xmlCellPr id="1" uniqueName="1">
      <xmlPr mapId="43" xpath="/ns1:Root/ns1:M6/ns1:HIV___AIDS__1__Number_of_tablets_per_patient_per_day__Review_country_treatment_guidelines_" xmlDataType="double"/>
    </xmlCellPr>
  </singleXmlCell>
  <singleXmlCell id="549" r="F108" connectionId="0">
    <xmlCellPr id="1" uniqueName="1">
      <xmlPr mapId="43" xpath="/ns1:Root/ns1:M6/ns1:HIV___AIDS__3__Total_patients_in_treatment" xmlDataType="double"/>
    </xmlCellPr>
  </singleXmlCell>
  <singleXmlCell id="550" r="H108" connectionId="0">
    <xmlCellPr id="1" uniqueName="1">
      <xmlPr mapId="43" xpath="/ns1:Root/ns1:M6/ns1:HIV___AIDS__5__Current_stock_in_central_warehouse__that_does_not_expire_within_the_next_3_months_" xmlDataType="double"/>
    </xmlCellPr>
  </singleXmlCell>
  <singleXmlCell id="551" r="J108" connectionId="0">
    <xmlCellPr id="1" uniqueName="1">
      <xmlPr mapId="43" xpath="/ns1:Root/ns1:M6/ns1:HIV___AIDS__7__Level_of_safety_stock__expressed_in_months_and_defined_by_country__" xmlDataType="double"/>
    </xmlCellPr>
  </singleXmlCell>
  <singleXmlCell id="552" r="C109" connectionId="0">
    <xmlCellPr id="1" uniqueName="1">
      <xmlPr mapId="43" xpath="/ns1:Root/ns1:M6/ns1:_Products_1" xmlDataType="string"/>
    </xmlCellPr>
  </singleXmlCell>
  <singleXmlCell id="553" r="D109" connectionId="0">
    <xmlCellPr id="1" uniqueName="1">
      <xmlPr mapId="43" xpath="/ns1:Root/ns1:M6/ns1:__1__Number_of_tablets_per_patient_per_day__Review_country_treatment_guidelines__1" xmlDataType="double"/>
    </xmlCellPr>
  </singleXmlCell>
  <singleXmlCell id="554" r="F109" connectionId="0">
    <xmlCellPr id="1" uniqueName="1">
      <xmlPr mapId="43" xpath="/ns1:Root/ns1:M6/ns1:__3__Total_patients_in_treatment_1" xmlDataType="double"/>
    </xmlCellPr>
  </singleXmlCell>
  <singleXmlCell id="555" r="H109" connectionId="0">
    <xmlCellPr id="1" uniqueName="1">
      <xmlPr mapId="43" xpath="/ns1:Root/ns1:M6/ns1:__5__Current_stock_in_central_warehouse__that_does_not_expire_within_the_next_3_months__1" xmlDataType="double"/>
    </xmlCellPr>
  </singleXmlCell>
  <singleXmlCell id="556" r="J109" connectionId="0">
    <xmlCellPr id="1" uniqueName="1">
      <xmlPr mapId="43" xpath="/ns1:Root/ns1:M6/ns1:__7__Level_of_safety_stock__expressed_in_months_and_defined_by_country___1" xmlDataType="double"/>
    </xmlCellPr>
  </singleXmlCell>
  <singleXmlCell id="557" r="C110" connectionId="0">
    <xmlCellPr id="1" uniqueName="1">
      <xmlPr mapId="43" xpath="/ns1:Root/ns1:M6/ns1:_Products_2" xmlDataType="string"/>
    </xmlCellPr>
  </singleXmlCell>
  <singleXmlCell id="558" r="D110" connectionId="0">
    <xmlCellPr id="1" uniqueName="1">
      <xmlPr mapId="43" xpath="/ns1:Root/ns1:M6/ns1:__1__Number_of_tablets_per_patient_per_day__Review_country_treatment_guidelines__2" xmlDataType="double"/>
    </xmlCellPr>
  </singleXmlCell>
  <singleXmlCell id="559" r="F110" connectionId="0">
    <xmlCellPr id="1" uniqueName="1">
      <xmlPr mapId="43" xpath="/ns1:Root/ns1:M6/ns1:__3__Total_patients_in_treatment_2" xmlDataType="double"/>
    </xmlCellPr>
  </singleXmlCell>
  <singleXmlCell id="560" r="H110" connectionId="0">
    <xmlCellPr id="1" uniqueName="1">
      <xmlPr mapId="43" xpath="/ns1:Root/ns1:M6/ns1:__5__Current_stock_in_central_warehouse__that_does_not_expire_within_the_next_3_months__2" xmlDataType="double"/>
    </xmlCellPr>
  </singleXmlCell>
  <singleXmlCell id="561" r="J110" connectionId="0">
    <xmlCellPr id="1" uniqueName="1">
      <xmlPr mapId="43" xpath="/ns1:Root/ns1:M6/ns1:__7__Level_of_safety_stock__expressed_in_months_and_defined_by_country___2" xmlDataType="double"/>
    </xmlCellPr>
  </singleXmlCell>
  <singleXmlCell id="562" r="C111" connectionId="0">
    <xmlCellPr id="1" uniqueName="1">
      <xmlPr mapId="43" xpath="/ns1:Root/ns1:M6/ns1:_Products" xmlDataType="string"/>
    </xmlCellPr>
  </singleXmlCell>
  <singleXmlCell id="563" r="D111" connectionId="0">
    <xmlCellPr id="1" uniqueName="1">
      <xmlPr mapId="43" xpath="/ns1:Root/ns1:M6/ns1:__1__Number_of_tablets_per_patient_per_day__Review_country_treatment_guidelines_" xmlDataType="double"/>
    </xmlCellPr>
  </singleXmlCell>
  <singleXmlCell id="564" r="F111" connectionId="0">
    <xmlCellPr id="1" uniqueName="1">
      <xmlPr mapId="43" xpath="/ns1:Root/ns1:M6/ns1:__3__Total_patients_in_treatment" xmlDataType="double"/>
    </xmlCellPr>
  </singleXmlCell>
  <singleXmlCell id="565" r="H111" connectionId="0">
    <xmlCellPr id="1" uniqueName="1">
      <xmlPr mapId="43" xpath="/ns1:Root/ns1:M6/ns1:__5__Current_stock_in_central_warehouse__that_does_not_expire_within_the_next_3_months_" xmlDataType="double"/>
    </xmlCellPr>
  </singleXmlCell>
  <singleXmlCell id="566" r="J111" connectionId="0">
    <xmlCellPr id="1" uniqueName="1">
      <xmlPr mapId="43" xpath="/ns1:Root/ns1:M6/ns1:__7__Level_of_safety_stock__expressed_in_months_and_defined_by_country__" xmlDataType="double"/>
    </xmlCellPr>
  </singleXmlCell>
  <singleXmlCell id="567" r="H118" connectionId="0">
    <xmlCellPr id="1" uniqueName="1">
      <xmlPr mapId="43" xpath="/ns1:Root/ns1:Prog/ns1:Target_P1_1" xmlDataType="double"/>
    </xmlCellPr>
  </singleXmlCell>
  <singleXmlCell id="571" r="L118" connectionId="0">
    <xmlCellPr id="1" uniqueName="1">
      <xmlPr mapId="43" xpath="/ns1:Root/ns1:Prog/ns1:Target_P5_1" xmlDataType="double"/>
    </xmlCellPr>
  </singleXmlCell>
  <singleXmlCell id="572" r="M118" connectionId="0">
    <xmlCellPr id="1" uniqueName="1">
      <xmlPr mapId="43" xpath="/ns1:Root/ns1:Prog/ns1:Target_P6_1" xmlDataType="double"/>
    </xmlCellPr>
  </singleXmlCell>
  <singleXmlCell id="573" r="N118" connectionId="0">
    <xmlCellPr id="1" uniqueName="1">
      <xmlPr mapId="43" xpath="/ns1:Root/ns1:Prog/ns1:Target_P7_1" xmlDataType="double"/>
    </xmlCellPr>
  </singleXmlCell>
  <singleXmlCell id="574" r="O118" connectionId="0">
    <xmlCellPr id="1" uniqueName="1">
      <xmlPr mapId="43" xpath="/ns1:Root/ns1:Prog/ns1:Target_P8_1" xmlDataType="double"/>
    </xmlCellPr>
  </singleXmlCell>
  <singleXmlCell id="575" r="P118" connectionId="0">
    <xmlCellPr id="1" uniqueName="1">
      <xmlPr mapId="43" xpath="/ns1:Root/ns1:Prog/ns1:Target_P9_1" xmlDataType="double"/>
    </xmlCellPr>
  </singleXmlCell>
  <singleXmlCell id="576" r="Q118" connectionId="0">
    <xmlCellPr id="1" uniqueName="1">
      <xmlPr mapId="43" xpath="/ns1:Root/ns1:Prog/ns1:Target_P10_1" xmlDataType="double"/>
    </xmlCellPr>
  </singleXmlCell>
  <singleXmlCell id="577" r="R118" connectionId="0">
    <xmlCellPr id="1" uniqueName="1">
      <xmlPr mapId="43" xpath="/ns1:Root/ns1:Prog/ns1:Target_P11_1" xmlDataType="double"/>
    </xmlCellPr>
  </singleXmlCell>
  <singleXmlCell id="578" r="S118" connectionId="0">
    <xmlCellPr id="1" uniqueName="1">
      <xmlPr mapId="43" xpath="/ns1:Root/ns1:Prog/ns1:Target_P12_1" xmlDataType="double"/>
    </xmlCellPr>
  </singleXmlCell>
  <singleXmlCell id="579" r="H119" connectionId="0">
    <xmlCellPr id="1" uniqueName="1">
      <xmlPr mapId="43" xpath="/ns1:Root/ns1:Prog/ns1:Achieved__P1_1" xmlDataType="double"/>
    </xmlCellPr>
  </singleXmlCell>
  <singleXmlCell id="580" r="I119" connectionId="0">
    <xmlCellPr id="1" uniqueName="1">
      <xmlPr mapId="43" xpath="/ns1:Root/ns1:Prog/ns1:Achieved__P2_1" xmlDataType="double"/>
    </xmlCellPr>
  </singleXmlCell>
  <singleXmlCell id="581" r="J119" connectionId="0">
    <xmlCellPr id="1" uniqueName="1">
      <xmlPr mapId="43" xpath="/ns1:Root/ns1:Prog/ns1:Achieved__P3_1" xmlDataType="double"/>
    </xmlCellPr>
  </singleXmlCell>
  <singleXmlCell id="582" r="K119" connectionId="0">
    <xmlCellPr id="1" uniqueName="1">
      <xmlPr mapId="43" xpath="/ns1:Root/ns1:Prog/ns1:Achieved__P4_1" xmlDataType="double"/>
    </xmlCellPr>
  </singleXmlCell>
  <singleXmlCell id="583" r="L119" connectionId="0">
    <xmlCellPr id="1" uniqueName="1">
      <xmlPr mapId="43" xpath="/ns1:Root/ns1:Prog/ns1:Achieved__P5_1" xmlDataType="string"/>
    </xmlCellPr>
  </singleXmlCell>
  <singleXmlCell id="584" r="M119" connectionId="0">
    <xmlCellPr id="1" uniqueName="1">
      <xmlPr mapId="43" xpath="/ns1:Root/ns1:Prog/ns1:Achieved__P6_1" xmlDataType="string"/>
    </xmlCellPr>
  </singleXmlCell>
  <singleXmlCell id="585" r="N119" connectionId="0">
    <xmlCellPr id="1" uniqueName="1">
      <xmlPr mapId="43" xpath="/ns1:Root/ns1:Prog/ns1:Achieved__P7_1" xmlDataType="string"/>
    </xmlCellPr>
  </singleXmlCell>
  <singleXmlCell id="586" r="O119" connectionId="0">
    <xmlCellPr id="1" uniqueName="1">
      <xmlPr mapId="43" xpath="/ns1:Root/ns1:Prog/ns1:Achieved__P8_1" xmlDataType="string"/>
    </xmlCellPr>
  </singleXmlCell>
  <singleXmlCell id="587" r="P119" connectionId="0">
    <xmlCellPr id="1" uniqueName="1">
      <xmlPr mapId="43" xpath="/ns1:Root/ns1:Prog/ns1:Achieved__P9_1" xmlDataType="string"/>
    </xmlCellPr>
  </singleXmlCell>
  <singleXmlCell id="588" r="Q119" connectionId="0">
    <xmlCellPr id="1" uniqueName="1">
      <xmlPr mapId="43" xpath="/ns1:Root/ns1:Prog/ns1:Achieved__P10_1" xmlDataType="string"/>
    </xmlCellPr>
  </singleXmlCell>
  <singleXmlCell id="589" r="R119" connectionId="0">
    <xmlCellPr id="1" uniqueName="1">
      <xmlPr mapId="43" xpath="/ns1:Root/ns1:Prog/ns1:Achieved__P11_1" xmlDataType="string"/>
    </xmlCellPr>
  </singleXmlCell>
  <singleXmlCell id="590" r="S119" connectionId="0">
    <xmlCellPr id="1" uniqueName="1">
      <xmlPr mapId="43" xpath="/ns1:Root/ns1:Prog/ns1:Achieved__P12_1" xmlDataType="string"/>
    </xmlCellPr>
  </singleXmlCell>
  <singleXmlCell id="591" r="H120" connectionId="0">
    <xmlCellPr id="1" uniqueName="1">
      <xmlPr mapId="43" xpath="/ns1:Root/ns1:Prog/ns1:Target_P1_2" xmlDataType="double"/>
    </xmlCellPr>
  </singleXmlCell>
  <singleXmlCell id="592" r="I120" connectionId="0">
    <xmlCellPr id="1" uniqueName="1">
      <xmlPr mapId="43" xpath="/ns1:Root/ns1:Prog/ns1:Target_P2_2" xmlDataType="double"/>
    </xmlCellPr>
  </singleXmlCell>
  <singleXmlCell id="593" r="J120" connectionId="0">
    <xmlCellPr id="1" uniqueName="1">
      <xmlPr mapId="43" xpath="/ns1:Root/ns1:Prog/ns1:Target_P3_2" xmlDataType="double"/>
    </xmlCellPr>
  </singleXmlCell>
  <singleXmlCell id="594" r="L120" connectionId="0">
    <xmlCellPr id="1" uniqueName="1">
      <xmlPr mapId="43" xpath="/ns1:Root/ns1:Prog/ns1:Target_P5_2" xmlDataType="double"/>
    </xmlCellPr>
  </singleXmlCell>
  <singleXmlCell id="595" r="M120" connectionId="0">
    <xmlCellPr id="1" uniqueName="1">
      <xmlPr mapId="43" xpath="/ns1:Root/ns1:Prog/ns1:Target_P6_2" xmlDataType="double"/>
    </xmlCellPr>
  </singleXmlCell>
  <singleXmlCell id="596" r="N120" connectionId="0">
    <xmlCellPr id="1" uniqueName="1">
      <xmlPr mapId="43" xpath="/ns1:Root/ns1:Prog/ns1:Target_P7_2" xmlDataType="double"/>
    </xmlCellPr>
  </singleXmlCell>
  <singleXmlCell id="597" r="O120" connectionId="0">
    <xmlCellPr id="1" uniqueName="1">
      <xmlPr mapId="43" xpath="/ns1:Root/ns1:Prog/ns1:Target_P8_2" xmlDataType="double"/>
    </xmlCellPr>
  </singleXmlCell>
  <singleXmlCell id="598" r="P120" connectionId="0">
    <xmlCellPr id="1" uniqueName="1">
      <xmlPr mapId="43" xpath="/ns1:Root/ns1:Prog/ns1:Target_P9_2" xmlDataType="double"/>
    </xmlCellPr>
  </singleXmlCell>
  <singleXmlCell id="599" r="Q120" connectionId="0">
    <xmlCellPr id="1" uniqueName="1">
      <xmlPr mapId="43" xpath="/ns1:Root/ns1:Prog/ns1:Target_P10_2" xmlDataType="double"/>
    </xmlCellPr>
  </singleXmlCell>
  <singleXmlCell id="600" r="R120" connectionId="0">
    <xmlCellPr id="1" uniqueName="1">
      <xmlPr mapId="43" xpath="/ns1:Root/ns1:Prog/ns1:Target_P11_2" xmlDataType="double"/>
    </xmlCellPr>
  </singleXmlCell>
  <singleXmlCell id="601" r="S120" connectionId="0">
    <xmlCellPr id="1" uniqueName="1">
      <xmlPr mapId="43" xpath="/ns1:Root/ns1:Prog/ns1:Target_P12_2" xmlDataType="double"/>
    </xmlCellPr>
  </singleXmlCell>
  <singleXmlCell id="602" r="H121" connectionId="0">
    <xmlCellPr id="1" uniqueName="1">
      <xmlPr mapId="43" xpath="/ns1:Root/ns1:Prog/ns1:Achieved__P1_2" xmlDataType="double"/>
    </xmlCellPr>
  </singleXmlCell>
  <singleXmlCell id="603" r="I121" connectionId="0">
    <xmlCellPr id="1" uniqueName="1">
      <xmlPr mapId="43" xpath="/ns1:Root/ns1:Prog/ns1:Achieved__P2_2" xmlDataType="double"/>
    </xmlCellPr>
  </singleXmlCell>
  <singleXmlCell id="604" r="J121" connectionId="0">
    <xmlCellPr id="1" uniqueName="1">
      <xmlPr mapId="43" xpath="/ns1:Root/ns1:Prog/ns1:Achieved__P3_2" xmlDataType="double"/>
    </xmlCellPr>
  </singleXmlCell>
  <singleXmlCell id="605" r="K121" connectionId="0">
    <xmlCellPr id="1" uniqueName="1">
      <xmlPr mapId="43" xpath="/ns1:Root/ns1:Prog/ns1:Achieved__P4_2" xmlDataType="double"/>
    </xmlCellPr>
  </singleXmlCell>
  <singleXmlCell id="606" r="L121" connectionId="0">
    <xmlCellPr id="1" uniqueName="1">
      <xmlPr mapId="43" xpath="/ns1:Root/ns1:Prog/ns1:Achieved__P5_2" xmlDataType="string"/>
    </xmlCellPr>
  </singleXmlCell>
  <singleXmlCell id="607" r="M121" connectionId="0">
    <xmlCellPr id="1" uniqueName="1">
      <xmlPr mapId="43" xpath="/ns1:Root/ns1:Prog/ns1:Achieved__P6_2" xmlDataType="string"/>
    </xmlCellPr>
  </singleXmlCell>
  <singleXmlCell id="608" r="N121" connectionId="0">
    <xmlCellPr id="1" uniqueName="1">
      <xmlPr mapId="43" xpath="/ns1:Root/ns1:Prog/ns1:Achieved__P7_2" xmlDataType="string"/>
    </xmlCellPr>
  </singleXmlCell>
  <singleXmlCell id="609" r="O121" connectionId="0">
    <xmlCellPr id="1" uniqueName="1">
      <xmlPr mapId="43" xpath="/ns1:Root/ns1:Prog/ns1:Achieved__P8_2" xmlDataType="string"/>
    </xmlCellPr>
  </singleXmlCell>
  <singleXmlCell id="610" r="P121" connectionId="0">
    <xmlCellPr id="1" uniqueName="1">
      <xmlPr mapId="43" xpath="/ns1:Root/ns1:Prog/ns1:Achieved__P9_2" xmlDataType="string"/>
    </xmlCellPr>
  </singleXmlCell>
  <singleXmlCell id="611" r="Q121" connectionId="0">
    <xmlCellPr id="1" uniqueName="1">
      <xmlPr mapId="43" xpath="/ns1:Root/ns1:Prog/ns1:Achieved__P10_2" xmlDataType="string"/>
    </xmlCellPr>
  </singleXmlCell>
  <singleXmlCell id="612" r="R121" connectionId="0">
    <xmlCellPr id="1" uniqueName="1">
      <xmlPr mapId="43" xpath="/ns1:Root/ns1:Prog/ns1:Achieved__P11_2" xmlDataType="string"/>
    </xmlCellPr>
  </singleXmlCell>
  <singleXmlCell id="613" r="S121" connectionId="0">
    <xmlCellPr id="1" uniqueName="1">
      <xmlPr mapId="43" xpath="/ns1:Root/ns1:Prog/ns1:Achieved__P12_2" xmlDataType="string"/>
    </xmlCellPr>
  </singleXmlCell>
  <singleXmlCell id="614" r="H122" connectionId="0">
    <xmlCellPr id="1" uniqueName="1">
      <xmlPr mapId="43" xpath="/ns1:Root/ns1:Prog/ns1:Target_P1_3" xmlDataType="double"/>
    </xmlCellPr>
  </singleXmlCell>
  <singleXmlCell id="615" r="I122" connectionId="0">
    <xmlCellPr id="1" uniqueName="1">
      <xmlPr mapId="43" xpath="/ns1:Root/ns1:Prog/ns1:Target_P2_3" xmlDataType="double"/>
    </xmlCellPr>
  </singleXmlCell>
  <singleXmlCell id="616" r="J122" connectionId="0">
    <xmlCellPr id="1" uniqueName="1">
      <xmlPr mapId="43" xpath="/ns1:Root/ns1:Prog/ns1:Target_P3_3" xmlDataType="double"/>
    </xmlCellPr>
  </singleXmlCell>
  <singleXmlCell id="617" r="K122" connectionId="0">
    <xmlCellPr id="1" uniqueName="1">
      <xmlPr mapId="43" xpath="/ns1:Root/ns1:Prog/ns1:Target_P4_3" xmlDataType="double"/>
    </xmlCellPr>
  </singleXmlCell>
  <singleXmlCell id="618" r="L122" connectionId="0">
    <xmlCellPr id="1" uniqueName="1">
      <xmlPr mapId="43" xpath="/ns1:Root/ns1:Prog/ns1:Target_P5_3" xmlDataType="double"/>
    </xmlCellPr>
  </singleXmlCell>
  <singleXmlCell id="619" r="M122" connectionId="0">
    <xmlCellPr id="1" uniqueName="1">
      <xmlPr mapId="43" xpath="/ns1:Root/ns1:Prog/ns1:Target_P6_3" xmlDataType="double"/>
    </xmlCellPr>
  </singleXmlCell>
  <singleXmlCell id="620" r="N122" connectionId="0">
    <xmlCellPr id="1" uniqueName="1">
      <xmlPr mapId="43" xpath="/ns1:Root/ns1:Prog/ns1:Target_P7_3" xmlDataType="double"/>
    </xmlCellPr>
  </singleXmlCell>
  <singleXmlCell id="621" r="O122" connectionId="0">
    <xmlCellPr id="1" uniqueName="1">
      <xmlPr mapId="43" xpath="/ns1:Root/ns1:Prog/ns1:Target_P8_3" xmlDataType="double"/>
    </xmlCellPr>
  </singleXmlCell>
  <singleXmlCell id="622" r="P122" connectionId="0">
    <xmlCellPr id="1" uniqueName="1">
      <xmlPr mapId="43" xpath="/ns1:Root/ns1:Prog/ns1:Target_P9_3" xmlDataType="double"/>
    </xmlCellPr>
  </singleXmlCell>
  <singleXmlCell id="623" r="Q122" connectionId="0">
    <xmlCellPr id="1" uniqueName="1">
      <xmlPr mapId="43" xpath="/ns1:Root/ns1:Prog/ns1:Target_P10_3" xmlDataType="string"/>
    </xmlCellPr>
  </singleXmlCell>
  <singleXmlCell id="624" r="R122" connectionId="0">
    <xmlCellPr id="1" uniqueName="1">
      <xmlPr mapId="43" xpath="/ns1:Root/ns1:Prog/ns1:Target_P11_3" xmlDataType="string"/>
    </xmlCellPr>
  </singleXmlCell>
  <singleXmlCell id="625" r="S122" connectionId="0">
    <xmlCellPr id="1" uniqueName="1">
      <xmlPr mapId="43" xpath="/ns1:Root/ns1:Prog/ns1:Target_P12_3" xmlDataType="double"/>
    </xmlCellPr>
  </singleXmlCell>
  <singleXmlCell id="626" r="H123" connectionId="0">
    <xmlCellPr id="1" uniqueName="1">
      <xmlPr mapId="43" xpath="/ns1:Root/ns1:Prog/ns1:Achieved__P1_3" xmlDataType="string"/>
    </xmlCellPr>
  </singleXmlCell>
  <singleXmlCell id="627" r="I123" connectionId="0">
    <xmlCellPr id="1" uniqueName="1">
      <xmlPr mapId="43" xpath="/ns1:Root/ns1:Prog/ns1:Achieved__P2_3" xmlDataType="double"/>
    </xmlCellPr>
  </singleXmlCell>
  <singleXmlCell id="628" r="J123" connectionId="0">
    <xmlCellPr id="1" uniqueName="1">
      <xmlPr mapId="43" xpath="/ns1:Root/ns1:Prog/ns1:Achieved__P3_3" xmlDataType="string"/>
    </xmlCellPr>
  </singleXmlCell>
  <singleXmlCell id="629" r="K123" connectionId="0">
    <xmlCellPr id="1" uniqueName="1">
      <xmlPr mapId="43" xpath="/ns1:Root/ns1:Prog/ns1:Achieved__P4_3" xmlDataType="double"/>
    </xmlCellPr>
  </singleXmlCell>
  <singleXmlCell id="630" r="L123" connectionId="0">
    <xmlCellPr id="1" uniqueName="1">
      <xmlPr mapId="43" xpath="/ns1:Root/ns1:Prog/ns1:Achieved__P5_3" xmlDataType="string"/>
    </xmlCellPr>
  </singleXmlCell>
  <singleXmlCell id="631" r="M123" connectionId="0">
    <xmlCellPr id="1" uniqueName="1">
      <xmlPr mapId="43" xpath="/ns1:Root/ns1:Prog/ns1:Achieved__P6_3" xmlDataType="string"/>
    </xmlCellPr>
  </singleXmlCell>
  <singleXmlCell id="632" r="N123" connectionId="0">
    <xmlCellPr id="1" uniqueName="1">
      <xmlPr mapId="43" xpath="/ns1:Root/ns1:Prog/ns1:Achieved__P7_3" xmlDataType="string"/>
    </xmlCellPr>
  </singleXmlCell>
  <singleXmlCell id="633" r="O123" connectionId="0">
    <xmlCellPr id="1" uniqueName="1">
      <xmlPr mapId="43" xpath="/ns1:Root/ns1:Prog/ns1:Achieved__P8_3" xmlDataType="string"/>
    </xmlCellPr>
  </singleXmlCell>
  <singleXmlCell id="634" r="P123" connectionId="0">
    <xmlCellPr id="1" uniqueName="1">
      <xmlPr mapId="43" xpath="/ns1:Root/ns1:Prog/ns1:Achieved__P9_3" xmlDataType="string"/>
    </xmlCellPr>
  </singleXmlCell>
  <singleXmlCell id="635" r="Q123" connectionId="0">
    <xmlCellPr id="1" uniqueName="1">
      <xmlPr mapId="43" xpath="/ns1:Root/ns1:Prog/ns1:Achieved__P10_3" xmlDataType="string"/>
    </xmlCellPr>
  </singleXmlCell>
  <singleXmlCell id="636" r="R123" connectionId="0">
    <xmlCellPr id="1" uniqueName="1">
      <xmlPr mapId="43" xpath="/ns1:Root/ns1:Prog/ns1:Achieved__P11_3" xmlDataType="string"/>
    </xmlCellPr>
  </singleXmlCell>
  <singleXmlCell id="637" r="S123" connectionId="0">
    <xmlCellPr id="1" uniqueName="1">
      <xmlPr mapId="43" xpath="/ns1:Root/ns1:Prog/ns1:Achieved__P12_3" xmlDataType="string"/>
    </xmlCellPr>
  </singleXmlCell>
  <singleXmlCell id="638" r="H124" connectionId="0">
    <xmlCellPr id="1" uniqueName="1">
      <xmlPr mapId="43" xpath="/ns1:Root/ns1:Prog/ns1:Target_P1_4" xmlDataType="string"/>
    </xmlCellPr>
  </singleXmlCell>
  <singleXmlCell id="639" r="I124" connectionId="0">
    <xmlCellPr id="1" uniqueName="1">
      <xmlPr mapId="43" xpath="/ns1:Root/ns1:Prog/ns1:Target_P2_4" xmlDataType="string"/>
    </xmlCellPr>
  </singleXmlCell>
  <singleXmlCell id="640" r="J124" connectionId="0">
    <xmlCellPr id="1" uniqueName="1">
      <xmlPr mapId="43" xpath="/ns1:Root/ns1:Prog/ns1:Target_P3_4" xmlDataType="string"/>
    </xmlCellPr>
  </singleXmlCell>
  <singleXmlCell id="641" r="K124" connectionId="0">
    <xmlCellPr id="1" uniqueName="1">
      <xmlPr mapId="43" xpath="/ns1:Root/ns1:Prog/ns1:Target_P4_4" xmlDataType="double"/>
    </xmlCellPr>
  </singleXmlCell>
  <singleXmlCell id="642" r="L124" connectionId="0">
    <xmlCellPr id="1" uniqueName="1">
      <xmlPr mapId="43" xpath="/ns1:Root/ns1:Prog/ns1:Target_P5_4" xmlDataType="string"/>
    </xmlCellPr>
  </singleXmlCell>
  <singleXmlCell id="643" r="M124" connectionId="0">
    <xmlCellPr id="1" uniqueName="1">
      <xmlPr mapId="43" xpath="/ns1:Root/ns1:Prog/ns1:Target_P6_4" xmlDataType="string"/>
    </xmlCellPr>
  </singleXmlCell>
  <singleXmlCell id="644" r="N124" connectionId="0">
    <xmlCellPr id="1" uniqueName="1">
      <xmlPr mapId="43" xpath="/ns1:Root/ns1:Prog/ns1:Target_P7_4" xmlDataType="string"/>
    </xmlCellPr>
  </singleXmlCell>
  <singleXmlCell id="645" r="O124" connectionId="0">
    <xmlCellPr id="1" uniqueName="1">
      <xmlPr mapId="43" xpath="/ns1:Root/ns1:Prog/ns1:Target_P8_4" xmlDataType="double"/>
    </xmlCellPr>
  </singleXmlCell>
  <singleXmlCell id="646" r="P124" connectionId="0">
    <xmlCellPr id="1" uniqueName="1">
      <xmlPr mapId="43" xpath="/ns1:Root/ns1:Prog/ns1:Target_P9_4" xmlDataType="string"/>
    </xmlCellPr>
  </singleXmlCell>
  <singleXmlCell id="647" r="Q124" connectionId="0">
    <xmlCellPr id="1" uniqueName="1">
      <xmlPr mapId="43" xpath="/ns1:Root/ns1:Prog/ns1:Target_P10_4" xmlDataType="string"/>
    </xmlCellPr>
  </singleXmlCell>
  <singleXmlCell id="648" r="R124" connectionId="0">
    <xmlCellPr id="1" uniqueName="1">
      <xmlPr mapId="43" xpath="/ns1:Root/ns1:Prog/ns1:Target_P11_4" xmlDataType="string"/>
    </xmlCellPr>
  </singleXmlCell>
  <singleXmlCell id="649" r="S124" connectionId="0">
    <xmlCellPr id="1" uniqueName="1">
      <xmlPr mapId="43" xpath="/ns1:Root/ns1:Prog/ns1:Target_P12_4" xmlDataType="double"/>
    </xmlCellPr>
  </singleXmlCell>
  <singleXmlCell id="650" r="H125" connectionId="0">
    <xmlCellPr id="1" uniqueName="1">
      <xmlPr mapId="43" xpath="/ns1:Root/ns1:Prog/ns1:Achieved__P1_4" xmlDataType="string"/>
    </xmlCellPr>
  </singleXmlCell>
  <singleXmlCell id="651" r="I125" connectionId="0">
    <xmlCellPr id="1" uniqueName="1">
      <xmlPr mapId="43" xpath="/ns1:Root/ns1:Prog/ns1:Achieved__P2_4" xmlDataType="string"/>
    </xmlCellPr>
  </singleXmlCell>
  <singleXmlCell id="652" r="J125" connectionId="0">
    <xmlCellPr id="1" uniqueName="1">
      <xmlPr mapId="43" xpath="/ns1:Root/ns1:Prog/ns1:Achieved__P3_4" xmlDataType="string"/>
    </xmlCellPr>
  </singleXmlCell>
  <singleXmlCell id="653" r="K125" connectionId="0">
    <xmlCellPr id="1" uniqueName="1">
      <xmlPr mapId="43" xpath="/ns1:Root/ns1:Prog/ns1:Achieved__P4_4" xmlDataType="double"/>
    </xmlCellPr>
  </singleXmlCell>
  <singleXmlCell id="654" r="L125" connectionId="0">
    <xmlCellPr id="1" uniqueName="1">
      <xmlPr mapId="43" xpath="/ns1:Root/ns1:Prog/ns1:Achieved__P5_4" xmlDataType="string"/>
    </xmlCellPr>
  </singleXmlCell>
  <singleXmlCell id="655" r="M125" connectionId="0">
    <xmlCellPr id="1" uniqueName="1">
      <xmlPr mapId="43" xpath="/ns1:Root/ns1:Prog/ns1:Achieved__P6_4" xmlDataType="string"/>
    </xmlCellPr>
  </singleXmlCell>
  <singleXmlCell id="656" r="N125" connectionId="0">
    <xmlCellPr id="1" uniqueName="1">
      <xmlPr mapId="43" xpath="/ns1:Root/ns1:Prog/ns1:Achieved__P7_4" xmlDataType="string"/>
    </xmlCellPr>
  </singleXmlCell>
  <singleXmlCell id="657" r="O125" connectionId="0">
    <xmlCellPr id="1" uniqueName="1">
      <xmlPr mapId="43" xpath="/ns1:Root/ns1:Prog/ns1:Achieved__P8_4" xmlDataType="string"/>
    </xmlCellPr>
  </singleXmlCell>
  <singleXmlCell id="658" r="P125" connectionId="0">
    <xmlCellPr id="1" uniqueName="1">
      <xmlPr mapId="43" xpath="/ns1:Root/ns1:Prog/ns1:Achieved__P9_4" xmlDataType="string"/>
    </xmlCellPr>
  </singleXmlCell>
  <singleXmlCell id="659" r="Q125" connectionId="0">
    <xmlCellPr id="1" uniqueName="1">
      <xmlPr mapId="43" xpath="/ns1:Root/ns1:Prog/ns1:Achieved__P10_4" xmlDataType="string"/>
    </xmlCellPr>
  </singleXmlCell>
  <singleXmlCell id="660" r="R125" connectionId="0">
    <xmlCellPr id="1" uniqueName="1">
      <xmlPr mapId="43" xpath="/ns1:Root/ns1:Prog/ns1:Achieved__P11_4" xmlDataType="string"/>
    </xmlCellPr>
  </singleXmlCell>
  <singleXmlCell id="661" r="S125" connectionId="0">
    <xmlCellPr id="1" uniqueName="1">
      <xmlPr mapId="43" xpath="/ns1:Root/ns1:Prog/ns1:Achieved__P12_4" xmlDataType="string"/>
    </xmlCellPr>
  </singleXmlCell>
  <singleXmlCell id="662" r="H126" connectionId="0">
    <xmlCellPr id="1" uniqueName="1">
      <xmlPr mapId="43" xpath="/ns1:Root/ns1:Prog/ns1:Target_P1_5" xmlDataType="double"/>
    </xmlCellPr>
  </singleXmlCell>
  <singleXmlCell id="663" r="I126" connectionId="0">
    <xmlCellPr id="1" uniqueName="1">
      <xmlPr mapId="43" xpath="/ns1:Root/ns1:Prog/ns1:Target_P2_5" xmlDataType="double"/>
    </xmlCellPr>
  </singleXmlCell>
  <singleXmlCell id="664" r="J126" connectionId="0">
    <xmlCellPr id="1" uniqueName="1">
      <xmlPr mapId="43" xpath="/ns1:Root/ns1:Prog/ns1:Target_P3_5" xmlDataType="double"/>
    </xmlCellPr>
  </singleXmlCell>
  <singleXmlCell id="665" r="K126" connectionId="0">
    <xmlCellPr id="1" uniqueName="1">
      <xmlPr mapId="43" xpath="/ns1:Root/ns1:Prog/ns1:Target_P4_5" xmlDataType="double"/>
    </xmlCellPr>
  </singleXmlCell>
  <singleXmlCell id="666" r="L126" connectionId="0">
    <xmlCellPr id="1" uniqueName="1">
      <xmlPr mapId="43" xpath="/ns1:Root/ns1:Prog/ns1:Target_P5_5" xmlDataType="double"/>
    </xmlCellPr>
  </singleXmlCell>
  <singleXmlCell id="667" r="M126" connectionId="0">
    <xmlCellPr id="1" uniqueName="1">
      <xmlPr mapId="43" xpath="/ns1:Root/ns1:Prog/ns1:Target_P6_5" xmlDataType="double"/>
    </xmlCellPr>
  </singleXmlCell>
  <singleXmlCell id="668" r="N126" connectionId="0">
    <xmlCellPr id="1" uniqueName="1">
      <xmlPr mapId="43" xpath="/ns1:Root/ns1:Prog/ns1:Target_P7_5" xmlDataType="double"/>
    </xmlCellPr>
  </singleXmlCell>
  <singleXmlCell id="669" r="O126" connectionId="0">
    <xmlCellPr id="1" uniqueName="1">
      <xmlPr mapId="43" xpath="/ns1:Root/ns1:Prog/ns1:Target_P8_5" xmlDataType="double"/>
    </xmlCellPr>
  </singleXmlCell>
  <singleXmlCell id="670" r="P126" connectionId="0">
    <xmlCellPr id="1" uniqueName="1">
      <xmlPr mapId="43" xpath="/ns1:Root/ns1:Prog/ns1:Target_P9_5" xmlDataType="double"/>
    </xmlCellPr>
  </singleXmlCell>
  <singleXmlCell id="671" r="Q126" connectionId="0">
    <xmlCellPr id="1" uniqueName="1">
      <xmlPr mapId="43" xpath="/ns1:Root/ns1:Prog/ns1:Target_P10_5" xmlDataType="double"/>
    </xmlCellPr>
  </singleXmlCell>
  <singleXmlCell id="672" r="R126" connectionId="0">
    <xmlCellPr id="1" uniqueName="1">
      <xmlPr mapId="43" xpath="/ns1:Root/ns1:Prog/ns1:Target_P11_5" xmlDataType="double"/>
    </xmlCellPr>
  </singleXmlCell>
  <singleXmlCell id="673" r="S126" connectionId="0">
    <xmlCellPr id="1" uniqueName="1">
      <xmlPr mapId="43" xpath="/ns1:Root/ns1:Prog/ns1:Target_P12_5" xmlDataType="double"/>
    </xmlCellPr>
  </singleXmlCell>
  <singleXmlCell id="674" r="H127" connectionId="0">
    <xmlCellPr id="1" uniqueName="1">
      <xmlPr mapId="43" xpath="/ns1:Root/ns1:Prog/ns1:Achieved__P1_5" xmlDataType="double"/>
    </xmlCellPr>
  </singleXmlCell>
  <singleXmlCell id="675" r="I127" connectionId="0">
    <xmlCellPr id="1" uniqueName="1">
      <xmlPr mapId="43" xpath="/ns1:Root/ns1:Prog/ns1:Achieved__P2_5" xmlDataType="double"/>
    </xmlCellPr>
  </singleXmlCell>
  <singleXmlCell id="676" r="J127" connectionId="0">
    <xmlCellPr id="1" uniqueName="1">
      <xmlPr mapId="43" xpath="/ns1:Root/ns1:Prog/ns1:Achieved__P3_5" xmlDataType="double"/>
    </xmlCellPr>
  </singleXmlCell>
  <singleXmlCell id="677" r="K127" connectionId="0">
    <xmlCellPr id="1" uniqueName="1">
      <xmlPr mapId="43" xpath="/ns1:Root/ns1:Prog/ns1:Achieved__P4_5" xmlDataType="double"/>
    </xmlCellPr>
  </singleXmlCell>
  <singleXmlCell id="678" r="L127" connectionId="0">
    <xmlCellPr id="1" uniqueName="1">
      <xmlPr mapId="43" xpath="/ns1:Root/ns1:Prog/ns1:Achieved__P5_5" xmlDataType="string"/>
    </xmlCellPr>
  </singleXmlCell>
  <singleXmlCell id="679" r="M127" connectionId="0">
    <xmlCellPr id="1" uniqueName="1">
      <xmlPr mapId="43" xpath="/ns1:Root/ns1:Prog/ns1:Achieved__P6_5" xmlDataType="string"/>
    </xmlCellPr>
  </singleXmlCell>
  <singleXmlCell id="680" r="N127" connectionId="0">
    <xmlCellPr id="1" uniqueName="1">
      <xmlPr mapId="43" xpath="/ns1:Root/ns1:Prog/ns1:Achieved__P7_5" xmlDataType="string"/>
    </xmlCellPr>
  </singleXmlCell>
  <singleXmlCell id="681" r="O127" connectionId="0">
    <xmlCellPr id="1" uniqueName="1">
      <xmlPr mapId="43" xpath="/ns1:Root/ns1:Prog/ns1:Achieved__P8_5" xmlDataType="string"/>
    </xmlCellPr>
  </singleXmlCell>
  <singleXmlCell id="682" r="P127" connectionId="0">
    <xmlCellPr id="1" uniqueName="1">
      <xmlPr mapId="43" xpath="/ns1:Root/ns1:Prog/ns1:Achieved__P9_5" xmlDataType="string"/>
    </xmlCellPr>
  </singleXmlCell>
  <singleXmlCell id="683" r="Q127" connectionId="0">
    <xmlCellPr id="1" uniqueName="1">
      <xmlPr mapId="43" xpath="/ns1:Root/ns1:Prog/ns1:Achieved__P10_5" xmlDataType="string"/>
    </xmlCellPr>
  </singleXmlCell>
  <singleXmlCell id="684" r="R127" connectionId="0">
    <xmlCellPr id="1" uniqueName="1">
      <xmlPr mapId="43" xpath="/ns1:Root/ns1:Prog/ns1:Achieved__P11_5" xmlDataType="string"/>
    </xmlCellPr>
  </singleXmlCell>
  <singleXmlCell id="685" r="S127" connectionId="0">
    <xmlCellPr id="1" uniqueName="1">
      <xmlPr mapId="43" xpath="/ns1:Root/ns1:Prog/ns1:Achieved__P12_5" xmlDataType="string"/>
    </xmlCellPr>
  </singleXmlCell>
  <singleXmlCell id="686" r="H128" connectionId="0">
    <xmlCellPr id="1" uniqueName="1">
      <xmlPr mapId="43" xpath="/ns1:Root/ns1:Prog/ns1:Target_P1_6" xmlDataType="double"/>
    </xmlCellPr>
  </singleXmlCell>
  <singleXmlCell id="687" r="I128" connectionId="0">
    <xmlCellPr id="1" uniqueName="1">
      <xmlPr mapId="43" xpath="/ns1:Root/ns1:Prog/ns1:Target_P2_6" xmlDataType="double"/>
    </xmlCellPr>
  </singleXmlCell>
  <singleXmlCell id="688" r="J128" connectionId="0">
    <xmlCellPr id="1" uniqueName="1">
      <xmlPr mapId="43" xpath="/ns1:Root/ns1:Prog/ns1:Target_P3_6" xmlDataType="double"/>
    </xmlCellPr>
  </singleXmlCell>
  <singleXmlCell id="689" r="K128" connectionId="0">
    <xmlCellPr id="1" uniqueName="1">
      <xmlPr mapId="43" xpath="/ns1:Root/ns1:Prog/ns1:Target_P4_6" xmlDataType="double"/>
    </xmlCellPr>
  </singleXmlCell>
  <singleXmlCell id="690" r="L128" connectionId="0">
    <xmlCellPr id="1" uniqueName="1">
      <xmlPr mapId="43" xpath="/ns1:Root/ns1:Prog/ns1:Target_P5_6" xmlDataType="double"/>
    </xmlCellPr>
  </singleXmlCell>
  <singleXmlCell id="691" r="M128" connectionId="0">
    <xmlCellPr id="1" uniqueName="1">
      <xmlPr mapId="43" xpath="/ns1:Root/ns1:Prog/ns1:Target_P6_6" xmlDataType="double"/>
    </xmlCellPr>
  </singleXmlCell>
  <singleXmlCell id="692" r="N128" connectionId="0">
    <xmlCellPr id="1" uniqueName="1">
      <xmlPr mapId="43" xpath="/ns1:Root/ns1:Prog/ns1:Target_P7_6" xmlDataType="double"/>
    </xmlCellPr>
  </singleXmlCell>
  <singleXmlCell id="693" r="O128" connectionId="0">
    <xmlCellPr id="1" uniqueName="1">
      <xmlPr mapId="43" xpath="/ns1:Root/ns1:Prog/ns1:Target_P8_6" xmlDataType="double"/>
    </xmlCellPr>
  </singleXmlCell>
  <singleXmlCell id="694" r="P128" connectionId="0">
    <xmlCellPr id="1" uniqueName="1">
      <xmlPr mapId="43" xpath="/ns1:Root/ns1:Prog/ns1:Target_P9_6" xmlDataType="double"/>
    </xmlCellPr>
  </singleXmlCell>
  <singleXmlCell id="695" r="Q128" connectionId="0">
    <xmlCellPr id="1" uniqueName="1">
      <xmlPr mapId="43" xpath="/ns1:Root/ns1:Prog/ns1:Target_P10_6" xmlDataType="double"/>
    </xmlCellPr>
  </singleXmlCell>
  <singleXmlCell id="696" r="R128" connectionId="0">
    <xmlCellPr id="1" uniqueName="1">
      <xmlPr mapId="43" xpath="/ns1:Root/ns1:Prog/ns1:Target_P11_6" xmlDataType="double"/>
    </xmlCellPr>
  </singleXmlCell>
  <singleXmlCell id="697" r="S128" connectionId="0">
    <xmlCellPr id="1" uniqueName="1">
      <xmlPr mapId="43" xpath="/ns1:Root/ns1:Prog/ns1:Target_P12_6" xmlDataType="double"/>
    </xmlCellPr>
  </singleXmlCell>
  <singleXmlCell id="698" r="H129" connectionId="0">
    <xmlCellPr id="1" uniqueName="1">
      <xmlPr mapId="43" xpath="/ns1:Root/ns1:Prog/ns1:Achieved__P1_6" xmlDataType="double"/>
    </xmlCellPr>
  </singleXmlCell>
  <singleXmlCell id="699" r="I129" connectionId="0">
    <xmlCellPr id="1" uniqueName="1">
      <xmlPr mapId="43" xpath="/ns1:Root/ns1:Prog/ns1:Achieved__P2_6" xmlDataType="double"/>
    </xmlCellPr>
  </singleXmlCell>
  <singleXmlCell id="700" r="J129" connectionId="0">
    <xmlCellPr id="1" uniqueName="1">
      <xmlPr mapId="43" xpath="/ns1:Root/ns1:Prog/ns1:Achieved__P3_6" xmlDataType="double"/>
    </xmlCellPr>
  </singleXmlCell>
  <singleXmlCell id="701" r="K129" connectionId="0">
    <xmlCellPr id="1" uniqueName="1">
      <xmlPr mapId="43" xpath="/ns1:Root/ns1:Prog/ns1:Achieved__P4_6" xmlDataType="double"/>
    </xmlCellPr>
  </singleXmlCell>
  <singleXmlCell id="702" r="L129" connectionId="0">
    <xmlCellPr id="1" uniqueName="1">
      <xmlPr mapId="43" xpath="/ns1:Root/ns1:Prog/ns1:Achieved__P5_6" xmlDataType="string"/>
    </xmlCellPr>
  </singleXmlCell>
  <singleXmlCell id="703" r="M129" connectionId="0">
    <xmlCellPr id="1" uniqueName="1">
      <xmlPr mapId="43" xpath="/ns1:Root/ns1:Prog/ns1:Achieved__P6_6" xmlDataType="string"/>
    </xmlCellPr>
  </singleXmlCell>
  <singleXmlCell id="704" r="N129" connectionId="0">
    <xmlCellPr id="1" uniqueName="1">
      <xmlPr mapId="43" xpath="/ns1:Root/ns1:Prog/ns1:Achieved__P7_6" xmlDataType="string"/>
    </xmlCellPr>
  </singleXmlCell>
  <singleXmlCell id="705" r="O129" connectionId="0">
    <xmlCellPr id="1" uniqueName="1">
      <xmlPr mapId="43" xpath="/ns1:Root/ns1:Prog/ns1:Achieved__P8_6" xmlDataType="string"/>
    </xmlCellPr>
  </singleXmlCell>
  <singleXmlCell id="706" r="P129" connectionId="0">
    <xmlCellPr id="1" uniqueName="1">
      <xmlPr mapId="43" xpath="/ns1:Root/ns1:Prog/ns1:Achieved__P9_6" xmlDataType="string"/>
    </xmlCellPr>
  </singleXmlCell>
  <singleXmlCell id="707" r="Q129" connectionId="0">
    <xmlCellPr id="1" uniqueName="1">
      <xmlPr mapId="43" xpath="/ns1:Root/ns1:Prog/ns1:Achieved__P10_6" xmlDataType="string"/>
    </xmlCellPr>
  </singleXmlCell>
  <singleXmlCell id="708" r="R129" connectionId="0">
    <xmlCellPr id="1" uniqueName="1">
      <xmlPr mapId="43" xpath="/ns1:Root/ns1:Prog/ns1:Achieved__P11_6" xmlDataType="string"/>
    </xmlCellPr>
  </singleXmlCell>
  <singleXmlCell id="709" r="S129" connectionId="0">
    <xmlCellPr id="1" uniqueName="1">
      <xmlPr mapId="43" xpath="/ns1:Root/ns1:Prog/ns1:Achieved__P12_6" xmlDataType="string"/>
    </xmlCellPr>
  </singleXmlCell>
  <singleXmlCell id="710" r="H130" connectionId="0">
    <xmlCellPr id="1" uniqueName="1">
      <xmlPr mapId="43" xpath="/ns1:Root/ns1:Prog/ns1:Target_P1_7" xmlDataType="double"/>
    </xmlCellPr>
  </singleXmlCell>
  <singleXmlCell id="711" r="I130" connectionId="0">
    <xmlCellPr id="1" uniqueName="1">
      <xmlPr mapId="43" xpath="/ns1:Root/ns1:Prog/ns1:Target_P2_7" xmlDataType="double"/>
    </xmlCellPr>
  </singleXmlCell>
  <singleXmlCell id="712" r="J130" connectionId="0">
    <xmlCellPr id="1" uniqueName="1">
      <xmlPr mapId="43" xpath="/ns1:Root/ns1:Prog/ns1:Target_P3_7" xmlDataType="double"/>
    </xmlCellPr>
  </singleXmlCell>
  <singleXmlCell id="713" r="K130" connectionId="0">
    <xmlCellPr id="1" uniqueName="1">
      <xmlPr mapId="43" xpath="/ns1:Root/ns1:Prog/ns1:Target_P4_7" xmlDataType="double"/>
    </xmlCellPr>
  </singleXmlCell>
  <singleXmlCell id="714" r="L130" connectionId="0">
    <xmlCellPr id="1" uniqueName="1">
      <xmlPr mapId="43" xpath="/ns1:Root/ns1:Prog/ns1:Target_P5_7" xmlDataType="double"/>
    </xmlCellPr>
  </singleXmlCell>
  <singleXmlCell id="715" r="M130" connectionId="0">
    <xmlCellPr id="1" uniqueName="1">
      <xmlPr mapId="43" xpath="/ns1:Root/ns1:Prog/ns1:Target_P6_7" xmlDataType="double"/>
    </xmlCellPr>
  </singleXmlCell>
  <singleXmlCell id="716" r="N130" connectionId="0">
    <xmlCellPr id="1" uniqueName="1">
      <xmlPr mapId="43" xpath="/ns1:Root/ns1:Prog/ns1:Target_P7_7" xmlDataType="double"/>
    </xmlCellPr>
  </singleXmlCell>
  <singleXmlCell id="717" r="O130" connectionId="0">
    <xmlCellPr id="1" uniqueName="1">
      <xmlPr mapId="43" xpath="/ns1:Root/ns1:Prog/ns1:Target_P8_7" xmlDataType="double"/>
    </xmlCellPr>
  </singleXmlCell>
  <singleXmlCell id="718" r="P130" connectionId="0">
    <xmlCellPr id="1" uniqueName="1">
      <xmlPr mapId="43" xpath="/ns1:Root/ns1:Prog/ns1:Target_P9_7" xmlDataType="double"/>
    </xmlCellPr>
  </singleXmlCell>
  <singleXmlCell id="719" r="Q130" connectionId="0">
    <xmlCellPr id="1" uniqueName="1">
      <xmlPr mapId="43" xpath="/ns1:Root/ns1:Prog/ns1:Target_P10_7" xmlDataType="double"/>
    </xmlCellPr>
  </singleXmlCell>
  <singleXmlCell id="720" r="R130" connectionId="0">
    <xmlCellPr id="1" uniqueName="1">
      <xmlPr mapId="43" xpath="/ns1:Root/ns1:Prog/ns1:Target_P11_7" xmlDataType="double"/>
    </xmlCellPr>
  </singleXmlCell>
  <singleXmlCell id="721" r="S130" connectionId="0">
    <xmlCellPr id="1" uniqueName="1">
      <xmlPr mapId="43" xpath="/ns1:Root/ns1:Prog/ns1:Target_P12_7" xmlDataType="double"/>
    </xmlCellPr>
  </singleXmlCell>
  <singleXmlCell id="722" r="H131" connectionId="0">
    <xmlCellPr id="1" uniqueName="1">
      <xmlPr mapId="43" xpath="/ns1:Root/ns1:Prog/ns1:Achieved__P1_7" xmlDataType="double"/>
    </xmlCellPr>
  </singleXmlCell>
  <singleXmlCell id="723" r="I131" connectionId="0">
    <xmlCellPr id="1" uniqueName="1">
      <xmlPr mapId="43" xpath="/ns1:Root/ns1:Prog/ns1:Achieved__P2_7" xmlDataType="double"/>
    </xmlCellPr>
  </singleXmlCell>
  <singleXmlCell id="724" r="J131" connectionId="0">
    <xmlCellPr id="1" uniqueName="1">
      <xmlPr mapId="43" xpath="/ns1:Root/ns1:Prog/ns1:Achieved__P3_7" xmlDataType="double"/>
    </xmlCellPr>
  </singleXmlCell>
  <singleXmlCell id="725" r="K131" connectionId="0">
    <xmlCellPr id="1" uniqueName="1">
      <xmlPr mapId="43" xpath="/ns1:Root/ns1:Prog/ns1:Achieved__P4_7" xmlDataType="double"/>
    </xmlCellPr>
  </singleXmlCell>
  <singleXmlCell id="726" r="L131" connectionId="0">
    <xmlCellPr id="1" uniqueName="1">
      <xmlPr mapId="43" xpath="/ns1:Root/ns1:Prog/ns1:Achieved__P5_7" xmlDataType="string"/>
    </xmlCellPr>
  </singleXmlCell>
  <singleXmlCell id="727" r="M131" connectionId="0">
    <xmlCellPr id="1" uniqueName="1">
      <xmlPr mapId="43" xpath="/ns1:Root/ns1:Prog/ns1:Achieved__P6_7" xmlDataType="string"/>
    </xmlCellPr>
  </singleXmlCell>
  <singleXmlCell id="728" r="N131" connectionId="0">
    <xmlCellPr id="1" uniqueName="1">
      <xmlPr mapId="43" xpath="/ns1:Root/ns1:Prog/ns1:Achieved__P7_7" xmlDataType="string"/>
    </xmlCellPr>
  </singleXmlCell>
  <singleXmlCell id="729" r="O131" connectionId="0">
    <xmlCellPr id="1" uniqueName="1">
      <xmlPr mapId="43" xpath="/ns1:Root/ns1:Prog/ns1:Achieved__P8_7" xmlDataType="string"/>
    </xmlCellPr>
  </singleXmlCell>
  <singleXmlCell id="730" r="P131" connectionId="0">
    <xmlCellPr id="1" uniqueName="1">
      <xmlPr mapId="43" xpath="/ns1:Root/ns1:Prog/ns1:Achieved__P9_7" xmlDataType="string"/>
    </xmlCellPr>
  </singleXmlCell>
  <singleXmlCell id="731" r="Q131" connectionId="0">
    <xmlCellPr id="1" uniqueName="1">
      <xmlPr mapId="43" xpath="/ns1:Root/ns1:Prog/ns1:Achieved__P10_7" xmlDataType="string"/>
    </xmlCellPr>
  </singleXmlCell>
  <singleXmlCell id="732" r="R131" connectionId="0">
    <xmlCellPr id="1" uniqueName="1">
      <xmlPr mapId="43" xpath="/ns1:Root/ns1:Prog/ns1:Achieved__P11_7" xmlDataType="string"/>
    </xmlCellPr>
  </singleXmlCell>
  <singleXmlCell id="733" r="S131" connectionId="0">
    <xmlCellPr id="1" uniqueName="1">
      <xmlPr mapId="43" xpath="/ns1:Root/ns1:Prog/ns1:Achieved__P12_7" xmlDataType="string"/>
    </xmlCellPr>
  </singleXmlCell>
  <singleXmlCell id="734" r="H132" connectionId="0">
    <xmlCellPr id="1" uniqueName="1">
      <xmlPr mapId="43" xpath="/ns1:Root/ns1:Prog/ns1:Target_P1_8" xmlDataType="string"/>
    </xmlCellPr>
  </singleXmlCell>
  <singleXmlCell id="735" r="I132" connectionId="0">
    <xmlCellPr id="1" uniqueName="1">
      <xmlPr mapId="43" xpath="/ns1:Root/ns1:Prog/ns1:Target_P2_8" xmlDataType="double"/>
    </xmlCellPr>
  </singleXmlCell>
  <singleXmlCell id="736" r="J132" connectionId="0">
    <xmlCellPr id="1" uniqueName="1">
      <xmlPr mapId="43" xpath="/ns1:Root/ns1:Prog/ns1:Target_P3_8" xmlDataType="string"/>
    </xmlCellPr>
  </singleXmlCell>
  <singleXmlCell id="737" r="K132" connectionId="0">
    <xmlCellPr id="1" uniqueName="1">
      <xmlPr mapId="43" xpath="/ns1:Root/ns1:Prog/ns1:Target_P4_8" xmlDataType="double"/>
    </xmlCellPr>
  </singleXmlCell>
  <singleXmlCell id="738" r="L132" connectionId="0">
    <xmlCellPr id="1" uniqueName="1">
      <xmlPr mapId="43" xpath="/ns1:Root/ns1:Prog/ns1:Target_P5_8" xmlDataType="string"/>
    </xmlCellPr>
  </singleXmlCell>
  <singleXmlCell id="739" r="M132" connectionId="0">
    <xmlCellPr id="1" uniqueName="1">
      <xmlPr mapId="43" xpath="/ns1:Root/ns1:Prog/ns1:Target_P6_8" xmlDataType="double"/>
    </xmlCellPr>
  </singleXmlCell>
  <singleXmlCell id="740" r="N132" connectionId="0">
    <xmlCellPr id="1" uniqueName="1">
      <xmlPr mapId="43" xpath="/ns1:Root/ns1:Prog/ns1:Target_P7_8" xmlDataType="string"/>
    </xmlCellPr>
  </singleXmlCell>
  <singleXmlCell id="741" r="O132" connectionId="0">
    <xmlCellPr id="1" uniqueName="1">
      <xmlPr mapId="43" xpath="/ns1:Root/ns1:Prog/ns1:Target_P8_8" xmlDataType="double"/>
    </xmlCellPr>
  </singleXmlCell>
  <singleXmlCell id="742" r="P132" connectionId="0">
    <xmlCellPr id="1" uniqueName="1">
      <xmlPr mapId="43" xpath="/ns1:Root/ns1:Prog/ns1:Target_P9_8" xmlDataType="double"/>
    </xmlCellPr>
  </singleXmlCell>
  <singleXmlCell id="743" r="Q132" connectionId="0">
    <xmlCellPr id="1" uniqueName="1">
      <xmlPr mapId="43" xpath="/ns1:Root/ns1:Prog/ns1:Target_P10_8" xmlDataType="double"/>
    </xmlCellPr>
  </singleXmlCell>
  <singleXmlCell id="744" r="R132" connectionId="0">
    <xmlCellPr id="1" uniqueName="1">
      <xmlPr mapId="43" xpath="/ns1:Root/ns1:Prog/ns1:Target_P11_8" xmlDataType="double"/>
    </xmlCellPr>
  </singleXmlCell>
  <singleXmlCell id="745" r="S132" connectionId="0">
    <xmlCellPr id="1" uniqueName="1">
      <xmlPr mapId="43" xpath="/ns1:Root/ns1:Prog/ns1:Target_P12_8" xmlDataType="double"/>
    </xmlCellPr>
  </singleXmlCell>
  <singleXmlCell id="746" r="H133" connectionId="0">
    <xmlCellPr id="1" uniqueName="1">
      <xmlPr mapId="43" xpath="/ns1:Root/ns1:Prog/ns1:Achieved__P1_8" xmlDataType="string"/>
    </xmlCellPr>
  </singleXmlCell>
  <singleXmlCell id="747" r="I133" connectionId="0">
    <xmlCellPr id="1" uniqueName="1">
      <xmlPr mapId="43" xpath="/ns1:Root/ns1:Prog/ns1:Achieved__P2_8" xmlDataType="string"/>
    </xmlCellPr>
  </singleXmlCell>
  <singleXmlCell id="748" r="J133" connectionId="0">
    <xmlCellPr id="1" uniqueName="1">
      <xmlPr mapId="43" xpath="/ns1:Root/ns1:Prog/ns1:Achieved__P3_8" xmlDataType="string"/>
    </xmlCellPr>
  </singleXmlCell>
  <singleXmlCell id="749" r="K133" connectionId="0">
    <xmlCellPr id="1" uniqueName="1">
      <xmlPr mapId="43" xpath="/ns1:Root/ns1:Prog/ns1:Achieved__P4_8" xmlDataType="string"/>
    </xmlCellPr>
  </singleXmlCell>
  <singleXmlCell id="750" r="L133" connectionId="0">
    <xmlCellPr id="1" uniqueName="1">
      <xmlPr mapId="43" xpath="/ns1:Root/ns1:Prog/ns1:Achieved__P5_8" xmlDataType="string"/>
    </xmlCellPr>
  </singleXmlCell>
  <singleXmlCell id="751" r="M133" connectionId="0">
    <xmlCellPr id="1" uniqueName="1">
      <xmlPr mapId="43" xpath="/ns1:Root/ns1:Prog/ns1:Achieved__P6_8" xmlDataType="string"/>
    </xmlCellPr>
  </singleXmlCell>
  <singleXmlCell id="752" r="N133" connectionId="0">
    <xmlCellPr id="1" uniqueName="1">
      <xmlPr mapId="43" xpath="/ns1:Root/ns1:Prog/ns1:Achieved__P7_8" xmlDataType="string"/>
    </xmlCellPr>
  </singleXmlCell>
  <singleXmlCell id="753" r="O133" connectionId="0">
    <xmlCellPr id="1" uniqueName="1">
      <xmlPr mapId="43" xpath="/ns1:Root/ns1:Prog/ns1:Achieved__P8_8" xmlDataType="string"/>
    </xmlCellPr>
  </singleXmlCell>
  <singleXmlCell id="754" r="P133" connectionId="0">
    <xmlCellPr id="1" uniqueName="1">
      <xmlPr mapId="43" xpath="/ns1:Root/ns1:Prog/ns1:Achieved__P9_8" xmlDataType="string"/>
    </xmlCellPr>
  </singleXmlCell>
  <singleXmlCell id="755" r="Q133" connectionId="0">
    <xmlCellPr id="1" uniqueName="1">
      <xmlPr mapId="43" xpath="/ns1:Root/ns1:Prog/ns1:Achieved__P10_8" xmlDataType="string"/>
    </xmlCellPr>
  </singleXmlCell>
  <singleXmlCell id="756" r="R133" connectionId="0">
    <xmlCellPr id="1" uniqueName="1">
      <xmlPr mapId="43" xpath="/ns1:Root/ns1:Prog/ns1:Achieved__P11_8" xmlDataType="string"/>
    </xmlCellPr>
  </singleXmlCell>
  <singleXmlCell id="757" r="S133" connectionId="0">
    <xmlCellPr id="1" uniqueName="1">
      <xmlPr mapId="43" xpath="/ns1:Root/ns1:Prog/ns1:Achieved__P12_8" xmlDataType="string"/>
    </xmlCellPr>
  </singleXmlCell>
  <singleXmlCell id="758" r="H134" connectionId="0">
    <xmlCellPr id="1" uniqueName="1">
      <xmlPr mapId="43" xpath="/ns1:Root/ns1:Prog/ns1:Target_P1_9" xmlDataType="double"/>
    </xmlCellPr>
  </singleXmlCell>
  <singleXmlCell id="759" r="I134" connectionId="0">
    <xmlCellPr id="1" uniqueName="1">
      <xmlPr mapId="43" xpath="/ns1:Root/ns1:Prog/ns1:Target_P2_9" xmlDataType="double"/>
    </xmlCellPr>
  </singleXmlCell>
  <singleXmlCell id="760" r="J134" connectionId="0">
    <xmlCellPr id="1" uniqueName="1">
      <xmlPr mapId="43" xpath="/ns1:Root/ns1:Prog/ns1:Target_P3_9" xmlDataType="double"/>
    </xmlCellPr>
  </singleXmlCell>
  <singleXmlCell id="761" r="K134" connectionId="0">
    <xmlCellPr id="1" uniqueName="1">
      <xmlPr mapId="43" xpath="/ns1:Root/ns1:Prog/ns1:Target_P4_9" xmlDataType="double"/>
    </xmlCellPr>
  </singleXmlCell>
  <singleXmlCell id="762" r="L134" connectionId="0">
    <xmlCellPr id="1" uniqueName="1">
      <xmlPr mapId="43" xpath="/ns1:Root/ns1:Prog/ns1:Target_P5_9" xmlDataType="double"/>
    </xmlCellPr>
  </singleXmlCell>
  <singleXmlCell id="763" r="M134" connectionId="0">
    <xmlCellPr id="1" uniqueName="1">
      <xmlPr mapId="43" xpath="/ns1:Root/ns1:Prog/ns1:Target_P6_9" xmlDataType="double"/>
    </xmlCellPr>
  </singleXmlCell>
  <singleXmlCell id="764" r="N134" connectionId="0">
    <xmlCellPr id="1" uniqueName="1">
      <xmlPr mapId="43" xpath="/ns1:Root/ns1:Prog/ns1:Target_P7_9" xmlDataType="double"/>
    </xmlCellPr>
  </singleXmlCell>
  <singleXmlCell id="765" r="O134" connectionId="0">
    <xmlCellPr id="1" uniqueName="1">
      <xmlPr mapId="43" xpath="/ns1:Root/ns1:Prog/ns1:Target_P8_9" xmlDataType="double"/>
    </xmlCellPr>
  </singleXmlCell>
  <singleXmlCell id="766" r="P134" connectionId="0">
    <xmlCellPr id="1" uniqueName="1">
      <xmlPr mapId="43" xpath="/ns1:Root/ns1:Prog/ns1:Target_P9_9" xmlDataType="double"/>
    </xmlCellPr>
  </singleXmlCell>
  <singleXmlCell id="767" r="Q134" connectionId="0">
    <xmlCellPr id="1" uniqueName="1">
      <xmlPr mapId="43" xpath="/ns1:Root/ns1:Prog/ns1:Target_P10_9" xmlDataType="double"/>
    </xmlCellPr>
  </singleXmlCell>
  <singleXmlCell id="768" r="R134" connectionId="0">
    <xmlCellPr id="1" uniqueName="1">
      <xmlPr mapId="43" xpath="/ns1:Root/ns1:Prog/ns1:Target_P11_9" xmlDataType="double"/>
    </xmlCellPr>
  </singleXmlCell>
  <singleXmlCell id="769" r="S134" connectionId="0">
    <xmlCellPr id="1" uniqueName="1">
      <xmlPr mapId="43" xpath="/ns1:Root/ns1:Prog/ns1:Target_P12_9" xmlDataType="double"/>
    </xmlCellPr>
  </singleXmlCell>
  <singleXmlCell id="770" r="H135" connectionId="0">
    <xmlCellPr id="1" uniqueName="1">
      <xmlPr mapId="43" xpath="/ns1:Root/ns1:Prog/ns1:Achieved__P1_9" xmlDataType="string"/>
    </xmlCellPr>
  </singleXmlCell>
  <singleXmlCell id="771" r="I135" connectionId="0">
    <xmlCellPr id="1" uniqueName="1">
      <xmlPr mapId="43" xpath="/ns1:Root/ns1:Prog/ns1:Achieved__P2_9" xmlDataType="double"/>
    </xmlCellPr>
  </singleXmlCell>
  <singleXmlCell id="772" r="J135" connectionId="0">
    <xmlCellPr id="1" uniqueName="1">
      <xmlPr mapId="43" xpath="/ns1:Root/ns1:Prog/ns1:Achieved__P3_9" xmlDataType="string"/>
    </xmlCellPr>
  </singleXmlCell>
  <singleXmlCell id="773" r="K135" connectionId="0">
    <xmlCellPr id="1" uniqueName="1">
      <xmlPr mapId="43" xpath="/ns1:Root/ns1:Prog/ns1:Achieved__P4_9" xmlDataType="double"/>
    </xmlCellPr>
  </singleXmlCell>
  <singleXmlCell id="774" r="L135" connectionId="0">
    <xmlCellPr id="1" uniqueName="1">
      <xmlPr mapId="43" xpath="/ns1:Root/ns1:Prog/ns1:Achieved__P5_9" xmlDataType="string"/>
    </xmlCellPr>
  </singleXmlCell>
  <singleXmlCell id="775" r="M135" connectionId="0">
    <xmlCellPr id="1" uniqueName="1">
      <xmlPr mapId="43" xpath="/ns1:Root/ns1:Prog/ns1:Achieved__P6_9" xmlDataType="string"/>
    </xmlCellPr>
  </singleXmlCell>
  <singleXmlCell id="776" r="N135" connectionId="0">
    <xmlCellPr id="1" uniqueName="1">
      <xmlPr mapId="43" xpath="/ns1:Root/ns1:Prog/ns1:Achieved__P7_9" xmlDataType="string"/>
    </xmlCellPr>
  </singleXmlCell>
  <singleXmlCell id="777" r="O135" connectionId="0">
    <xmlCellPr id="1" uniqueName="1">
      <xmlPr mapId="43" xpath="/ns1:Root/ns1:Prog/ns1:Achieved__P8_9" xmlDataType="string"/>
    </xmlCellPr>
  </singleXmlCell>
  <singleXmlCell id="778" r="P135" connectionId="0">
    <xmlCellPr id="1" uniqueName="1">
      <xmlPr mapId="43" xpath="/ns1:Root/ns1:Prog/ns1:Achieved__P9_9" xmlDataType="string"/>
    </xmlCellPr>
  </singleXmlCell>
  <singleXmlCell id="779" r="Q135" connectionId="0">
    <xmlCellPr id="1" uniqueName="1">
      <xmlPr mapId="43" xpath="/ns1:Root/ns1:Prog/ns1:Achieved__P10_9" xmlDataType="string"/>
    </xmlCellPr>
  </singleXmlCell>
  <singleXmlCell id="780" r="R135" connectionId="0">
    <xmlCellPr id="1" uniqueName="1">
      <xmlPr mapId="43" xpath="/ns1:Root/ns1:Prog/ns1:Achieved__P11_9" xmlDataType="string"/>
    </xmlCellPr>
  </singleXmlCell>
  <singleXmlCell id="781" r="S135" connectionId="0">
    <xmlCellPr id="1" uniqueName="1">
      <xmlPr mapId="43" xpath="/ns1:Root/ns1:Prog/ns1:Achieved__P12_9" xmlDataType="string"/>
    </xmlCellPr>
  </singleXmlCell>
  <singleXmlCell id="782" r="H136" connectionId="0">
    <xmlCellPr id="1" uniqueName="1">
      <xmlPr mapId="43" xpath="/ns1:Root/ns1:Prog/ns1:Target_P1" xmlDataType="string"/>
    </xmlCellPr>
  </singleXmlCell>
  <singleXmlCell id="783" r="I136" connectionId="0">
    <xmlCellPr id="1" uniqueName="1">
      <xmlPr mapId="43" xpath="/ns1:Root/ns1:Prog/ns1:Target_P2" xmlDataType="string"/>
    </xmlCellPr>
  </singleXmlCell>
  <singleXmlCell id="784" r="J136" connectionId="0">
    <xmlCellPr id="1" uniqueName="1">
      <xmlPr mapId="43" xpath="/ns1:Root/ns1:Prog/ns1:Target_P3" xmlDataType="string"/>
    </xmlCellPr>
  </singleXmlCell>
  <singleXmlCell id="785" r="K136" connectionId="0">
    <xmlCellPr id="1" uniqueName="1">
      <xmlPr mapId="43" xpath="/ns1:Root/ns1:Prog/ns1:Target_P4" xmlDataType="double"/>
    </xmlCellPr>
  </singleXmlCell>
  <singleXmlCell id="786" r="L136" connectionId="0">
    <xmlCellPr id="1" uniqueName="1">
      <xmlPr mapId="43" xpath="/ns1:Root/ns1:Prog/ns1:Target_P5" xmlDataType="string"/>
    </xmlCellPr>
  </singleXmlCell>
  <singleXmlCell id="787" r="M136" connectionId="0">
    <xmlCellPr id="1" uniqueName="1">
      <xmlPr mapId="43" xpath="/ns1:Root/ns1:Prog/ns1:Target_P6" xmlDataType="string"/>
    </xmlCellPr>
  </singleXmlCell>
  <singleXmlCell id="788" r="N136" connectionId="0">
    <xmlCellPr id="1" uniqueName="1">
      <xmlPr mapId="43" xpath="/ns1:Root/ns1:Prog/ns1:Target_P7" xmlDataType="string"/>
    </xmlCellPr>
  </singleXmlCell>
  <singleXmlCell id="789" r="O136" connectionId="0">
    <xmlCellPr id="1" uniqueName="1">
      <xmlPr mapId="43" xpath="/ns1:Root/ns1:Prog/ns1:Target_P8" xmlDataType="string"/>
    </xmlCellPr>
  </singleXmlCell>
  <singleXmlCell id="790" r="P136" connectionId="0">
    <xmlCellPr id="1" uniqueName="1">
      <xmlPr mapId="43" xpath="/ns1:Root/ns1:Prog/ns1:Target_P9" xmlDataType="string"/>
    </xmlCellPr>
  </singleXmlCell>
  <singleXmlCell id="791" r="Q136" connectionId="0">
    <xmlCellPr id="1" uniqueName="1">
      <xmlPr mapId="43" xpath="/ns1:Root/ns1:Prog/ns1:Target_P10" xmlDataType="string"/>
    </xmlCellPr>
  </singleXmlCell>
  <singleXmlCell id="792" r="R136" connectionId="0">
    <xmlCellPr id="1" uniqueName="1">
      <xmlPr mapId="43" xpath="/ns1:Root/ns1:Prog/ns1:Target_P11" xmlDataType="string"/>
    </xmlCellPr>
  </singleXmlCell>
  <singleXmlCell id="793" r="S136" connectionId="0">
    <xmlCellPr id="1" uniqueName="1">
      <xmlPr mapId="43" xpath="/ns1:Root/ns1:Prog/ns1:Target_P12" xmlDataType="string"/>
    </xmlCellPr>
  </singleXmlCell>
  <singleXmlCell id="794" r="H137" connectionId="0">
    <xmlCellPr id="1" uniqueName="1">
      <xmlPr mapId="43" xpath="/ns1:Root/ns1:Prog/ns1:Achieved__P1" xmlDataType="string"/>
    </xmlCellPr>
  </singleXmlCell>
  <singleXmlCell id="795" r="I137" connectionId="0">
    <xmlCellPr id="1" uniqueName="1">
      <xmlPr mapId="43" xpath="/ns1:Root/ns1:Prog/ns1:Achieved__P2" xmlDataType="string"/>
    </xmlCellPr>
  </singleXmlCell>
  <singleXmlCell id="796" r="J137" connectionId="0">
    <xmlCellPr id="1" uniqueName="1">
      <xmlPr mapId="43" xpath="/ns1:Root/ns1:Prog/ns1:Achieved__P3" xmlDataType="string"/>
    </xmlCellPr>
  </singleXmlCell>
  <singleXmlCell id="797" r="K137" connectionId="0">
    <xmlCellPr id="1" uniqueName="1">
      <xmlPr mapId="43" xpath="/ns1:Root/ns1:Prog/ns1:Achieved__P4" xmlDataType="string"/>
    </xmlCellPr>
  </singleXmlCell>
  <singleXmlCell id="798" r="L137" connectionId="0">
    <xmlCellPr id="1" uniqueName="1">
      <xmlPr mapId="43" xpath="/ns1:Root/ns1:Prog/ns1:Achieved__P5" xmlDataType="string"/>
    </xmlCellPr>
  </singleXmlCell>
  <singleXmlCell id="799" r="M137" connectionId="0">
    <xmlCellPr id="1" uniqueName="1">
      <xmlPr mapId="43" xpath="/ns1:Root/ns1:Prog/ns1:Achieved__P6" xmlDataType="string"/>
    </xmlCellPr>
  </singleXmlCell>
  <singleXmlCell id="800" r="N137" connectionId="0">
    <xmlCellPr id="1" uniqueName="1">
      <xmlPr mapId="43" xpath="/ns1:Root/ns1:Prog/ns1:Achieved__P7" xmlDataType="string"/>
    </xmlCellPr>
  </singleXmlCell>
  <singleXmlCell id="801" r="O137" connectionId="0">
    <xmlCellPr id="1" uniqueName="1">
      <xmlPr mapId="43" xpath="/ns1:Root/ns1:Prog/ns1:Achieved__P8" xmlDataType="string"/>
    </xmlCellPr>
  </singleXmlCell>
  <singleXmlCell id="802" r="P137" connectionId="0">
    <xmlCellPr id="1" uniqueName="1">
      <xmlPr mapId="43" xpath="/ns1:Root/ns1:Prog/ns1:Achieved__P9" xmlDataType="string"/>
    </xmlCellPr>
  </singleXmlCell>
  <singleXmlCell id="803" r="Q137" connectionId="0">
    <xmlCellPr id="1" uniqueName="1">
      <xmlPr mapId="43" xpath="/ns1:Root/ns1:Prog/ns1:Achieved__P10" xmlDataType="string"/>
    </xmlCellPr>
  </singleXmlCell>
  <singleXmlCell id="804" r="R137" connectionId="0">
    <xmlCellPr id="1" uniqueName="1">
      <xmlPr mapId="43" xpath="/ns1:Root/ns1:Prog/ns1:Achieved__P11" xmlDataType="string"/>
    </xmlCellPr>
  </singleXmlCell>
  <singleXmlCell id="805" r="S137" connectionId="0">
    <xmlCellPr id="1" uniqueName="1">
      <xmlPr mapId="43" xpath="/ns1:Root/ns1:Prog/ns1:Achieved__P12" xmlDataType="string"/>
    </xmlCellPr>
  </singleXmlCell>
  <singleXmlCell id="806" r="K120" connectionId="0">
    <xmlCellPr id="1" uniqueName="1">
      <xmlPr mapId="43" xpath="/ns1:Root/ns1:Prog/ns1:Target_P4_2" xmlDataType="double"/>
    </xmlCellPr>
  </singleXmlCell>
  <singleXmlCell id="807" r="B118" connectionId="0">
    <xmlCellPr id="1" uniqueName="1">
      <xmlPr mapId="43" xpath="/ns1:Root/ns1:P1" xmlDataType="string"/>
    </xmlCellPr>
  </singleXmlCell>
  <singleXmlCell id="808" r="E118" connectionId="0">
    <xmlCellPr id="1" uniqueName="1">
      <xmlPr mapId="43" xpath="/ns1:Root/ns1:P1_Code" xmlDataType="double"/>
    </xmlCellPr>
  </singleXmlCell>
  <singleXmlCell id="809" r="F118" connectionId="0">
    <xmlCellPr id="1" uniqueName="1">
      <xmlPr mapId="43" xpath="/ns1:Root/ns1:P1_Tied" xmlDataType="string"/>
    </xmlCellPr>
  </singleXmlCell>
  <singleXmlCell id="810" r="B120" connectionId="0">
    <xmlCellPr id="1" uniqueName="1">
      <xmlPr mapId="43" xpath="/ns1:Root/ns1:P2" xmlDataType="string"/>
    </xmlCellPr>
  </singleXmlCell>
  <singleXmlCell id="811" r="E120" connectionId="0">
    <xmlCellPr id="1" uniqueName="1">
      <xmlPr mapId="43" xpath="/ns1:Root/ns1:P2_Code" xmlDataType="double"/>
    </xmlCellPr>
  </singleXmlCell>
  <singleXmlCell id="812" r="F120" connectionId="0">
    <xmlCellPr id="1" uniqueName="1">
      <xmlPr mapId="43" xpath="/ns1:Root/ns1:P2_Tied" xmlDataType="string"/>
    </xmlCellPr>
  </singleXmlCell>
  <singleXmlCell id="813" r="B122" connectionId="0">
    <xmlCellPr id="1" uniqueName="1">
      <xmlPr mapId="43" xpath="/ns1:Root/ns1:P3" xmlDataType="string"/>
    </xmlCellPr>
  </singleXmlCell>
  <singleXmlCell id="814" r="E122" connectionId="0">
    <xmlCellPr id="1" uniqueName="1">
      <xmlPr mapId="43" xpath="/ns1:Root/ns1:P3_Code" xmlDataType="double"/>
    </xmlCellPr>
  </singleXmlCell>
  <singleXmlCell id="815" r="F122" connectionId="0">
    <xmlCellPr id="1" uniqueName="1">
      <xmlPr mapId="43" xpath="/ns1:Root/ns1:P3_Tied" xmlDataType="string"/>
    </xmlCellPr>
  </singleXmlCell>
  <singleXmlCell id="816" r="B124" connectionId="0">
    <xmlCellPr id="1" uniqueName="1">
      <xmlPr mapId="43" xpath="/ns1:Root/ns1:P4" xmlDataType="string"/>
    </xmlCellPr>
  </singleXmlCell>
  <singleXmlCell id="817" r="E124" connectionId="0">
    <xmlCellPr id="1" uniqueName="1">
      <xmlPr mapId="43" xpath="/ns1:Root/ns1:P4_Code" xmlDataType="double"/>
    </xmlCellPr>
  </singleXmlCell>
  <singleXmlCell id="818" r="F124" connectionId="0">
    <xmlCellPr id="1" uniqueName="1">
      <xmlPr mapId="43" xpath="/ns1:Root/ns1:P4_Tied" xmlDataType="string"/>
    </xmlCellPr>
  </singleXmlCell>
  <singleXmlCell id="819" r="B126" connectionId="0">
    <xmlCellPr id="1" uniqueName="1">
      <xmlPr mapId="43" xpath="/ns1:Root/ns1:P5" xmlDataType="string"/>
    </xmlCellPr>
  </singleXmlCell>
  <singleXmlCell id="820" r="E126" connectionId="0">
    <xmlCellPr id="1" uniqueName="1">
      <xmlPr mapId="43" xpath="/ns1:Root/ns1:P5_Code" xmlDataType="double"/>
    </xmlCellPr>
  </singleXmlCell>
  <singleXmlCell id="821" r="F126" connectionId="0">
    <xmlCellPr id="1" uniqueName="1">
      <xmlPr mapId="43" xpath="/ns1:Root/ns1:P5_Tied" xmlDataType="string"/>
    </xmlCellPr>
  </singleXmlCell>
  <singleXmlCell id="822" r="B128" connectionId="0">
    <xmlCellPr id="1" uniqueName="1">
      <xmlPr mapId="43" xpath="/ns1:Root/ns1:P6" xmlDataType="string"/>
    </xmlCellPr>
  </singleXmlCell>
  <singleXmlCell id="823" r="E128" connectionId="0">
    <xmlCellPr id="1" uniqueName="1">
      <xmlPr mapId="43" xpath="/ns1:Root/ns1:P6_Code" xmlDataType="double"/>
    </xmlCellPr>
  </singleXmlCell>
  <singleXmlCell id="824" r="F128" connectionId="0">
    <xmlCellPr id="1" uniqueName="1">
      <xmlPr mapId="43" xpath="/ns1:Root/ns1:P6_Tied" xmlDataType="string"/>
    </xmlCellPr>
  </singleXmlCell>
  <singleXmlCell id="825" r="B130" connectionId="0">
    <xmlCellPr id="1" uniqueName="1">
      <xmlPr mapId="43" xpath="/ns1:Root/ns1:P7" xmlDataType="string"/>
    </xmlCellPr>
  </singleXmlCell>
  <singleXmlCell id="826" r="E130" connectionId="0">
    <xmlCellPr id="1" uniqueName="1">
      <xmlPr mapId="43" xpath="/ns1:Root/ns1:P7_Code" xmlDataType="double"/>
    </xmlCellPr>
  </singleXmlCell>
  <singleXmlCell id="827" r="F130" connectionId="0">
    <xmlCellPr id="1" uniqueName="1">
      <xmlPr mapId="43" xpath="/ns1:Root/ns1:P7_Tied" xmlDataType="string"/>
    </xmlCellPr>
  </singleXmlCell>
  <singleXmlCell id="828" r="B132" connectionId="0">
    <xmlCellPr id="1" uniqueName="1">
      <xmlPr mapId="43" xpath="/ns1:Root/ns1:P8" xmlDataType="string"/>
    </xmlCellPr>
  </singleXmlCell>
  <singleXmlCell id="829" r="E132" connectionId="0">
    <xmlCellPr id="1" uniqueName="1">
      <xmlPr mapId="43" xpath="/ns1:Root/ns1:P8_Code" xmlDataType="double"/>
    </xmlCellPr>
  </singleXmlCell>
  <singleXmlCell id="830" r="F132" connectionId="0">
    <xmlCellPr id="1" uniqueName="1">
      <xmlPr mapId="43" xpath="/ns1:Root/ns1:P8_Tied" xmlDataType="string"/>
    </xmlCellPr>
  </singleXmlCell>
  <singleXmlCell id="831" r="B134" connectionId="0">
    <xmlCellPr id="1" uniqueName="1">
      <xmlPr mapId="43" xpath="/ns1:Root/ns1:P9" xmlDataType="string"/>
    </xmlCellPr>
  </singleXmlCell>
  <singleXmlCell id="832" r="E134" connectionId="0">
    <xmlCellPr id="1" uniqueName="1">
      <xmlPr mapId="43" xpath="/ns1:Root/ns1:P9_Code" xmlDataType="double"/>
    </xmlCellPr>
  </singleXmlCell>
  <singleXmlCell id="833" r="F134" connectionId="0">
    <xmlCellPr id="1" uniqueName="1">
      <xmlPr mapId="43" xpath="/ns1:Root/ns1:P9_Tied" xmlDataType="double"/>
    </xmlCellPr>
  </singleXmlCell>
  <singleXmlCell id="834" r="B136" connectionId="0">
    <xmlCellPr id="1" uniqueName="1">
      <xmlPr mapId="43" xpath="/ns1:Root/ns1:P10" xmlDataType="string"/>
    </xmlCellPr>
  </singleXmlCell>
  <singleXmlCell id="835" r="E136" connectionId="0">
    <xmlCellPr id="1" uniqueName="1">
      <xmlPr mapId="43" xpath="/ns1:Root/ns1:P10_Code" xmlDataType="double"/>
    </xmlCellPr>
  </singleXmlCell>
  <singleXmlCell id="836" r="F136" connectionId="0">
    <xmlCellPr id="1" uniqueName="1">
      <xmlPr mapId="43" xpath="/ns1:Root/ns1:P10_Tied" xmlDataType="string"/>
    </xmlCellPr>
  </singleXmlCell>
  <singleXmlCell id="837" r="D26" connectionId="0">
    <xmlCellPr id="1" uniqueName="1">
      <xmlPr mapId="43" xpath="/ns1:Root/ns1:Currency" xmlDataType="string"/>
    </xmlCellPr>
  </singleXmlCell>
  <singleXmlCell id="568" r="I118" connectionId="0">
    <xmlCellPr id="1" uniqueName="1">
      <xmlPr mapId="43" xpath="/ns1:Root/ns1:Prog/ns1:Target_P2_1" xmlDataType="double"/>
    </xmlCellPr>
  </singleXmlCell>
  <singleXmlCell id="569" r="J118" connectionId="0">
    <xmlCellPr id="1" uniqueName="1">
      <xmlPr mapId="43" xpath="/ns1:Root/ns1:Prog/ns1:Target_P3_1" xmlDataType="double"/>
    </xmlCellPr>
  </singleXmlCell>
  <singleXmlCell id="570" r="K118" connectionId="0">
    <xmlCellPr id="1" uniqueName="1">
      <xmlPr mapId="43" xpath="/ns1:Root/ns1:Prog/ns1:Target_P4_1" xmlDataType="double"/>
    </xmlCellPr>
  </singleXmlCell>
  <singleXmlCell id="462" r="C40" connectionId="0">
    <xmlCellPr id="1" uniqueName="1">
      <xmlPr mapId="43" xpath="/ns1:Root/ns1:F2/ns1:TB__ID_cases_Cumulative_Budget__in___" xmlDataType="double"/>
    </xmlCellPr>
  </singleXmlCell>
  <singleXmlCell id="464" r="C41" connectionId="0">
    <xmlCellPr id="1" uniqueName="1">
      <xmlPr mapId="43" xpath="/ns1:Root/ns1:F2/ns1:TB_HIV__Cumulative_Budget__in___" xmlDataType="double"/>
    </xmlCellPr>
  </singleXmlCell>
  <singleXmlCell id="466" r="C42" connectionId="0">
    <xmlCellPr id="1" uniqueName="1">
      <xmlPr mapId="43" xpath="/ns1:Root/ns1:F2/ns1:Advocacy__Commun__SocMob_Cumulative_Budget__in___" xmlDataType="double"/>
    </xmlCellPr>
  </singleXmlCell>
  <singleXmlCell id="468" r="C43" connectionId="0">
    <xmlCellPr id="1" uniqueName="1">
      <xmlPr mapId="43" xpath="/ns1:Root/ns1:F2/ns1:Environ__Community_TB_care__Cumulative_Budget__in___" xmlDataType="double"/>
    </xmlCellPr>
  </singleXmlCell>
  <singleXmlCell id="470" r="C44" connectionId="0">
    <xmlCellPr id="1" uniqueName="1">
      <xmlPr mapId="43" xpath="/ns1:Root/ns1:F2/ns1:_Cumulative_Budget__in____1" xmlDataType="string"/>
    </xmlCellPr>
  </singleXmlCell>
  <singleXmlCell id="472" r="C45" connectionId="0">
    <xmlCellPr id="1" uniqueName="1">
      <xmlPr mapId="43" xpath="/ns1:Root/ns1:F2/ns1:_Cumulative_Budget__in____2"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zoomScale="120" workbookViewId="0">
      <selection activeCell="B22" sqref="B22:L22"/>
    </sheetView>
  </sheetViews>
  <sheetFormatPr defaultColWidth="11" defaultRowHeight="15"/>
  <cols>
    <col min="1" max="1" width="1.140625" customWidth="1"/>
    <col min="2" max="10" width="11.42578125" customWidth="1"/>
    <col min="11" max="11" width="1.7109375" customWidth="1"/>
  </cols>
  <sheetData>
    <row r="1" spans="2:15" ht="25.5" customHeight="1"/>
    <row r="2" spans="2:15" ht="36">
      <c r="B2" s="499" t="str">
        <f>+'Grant Detail'!B3:J3</f>
        <v>Dashboard:  Georgia - TB</v>
      </c>
      <c r="C2" s="499"/>
      <c r="D2" s="499"/>
      <c r="E2" s="499"/>
      <c r="F2" s="499"/>
      <c r="G2" s="499"/>
      <c r="H2" s="499"/>
      <c r="I2" s="499"/>
      <c r="J2" s="499"/>
      <c r="K2" s="499"/>
      <c r="L2" s="499"/>
      <c r="M2" s="1"/>
      <c r="N2" s="1"/>
      <c r="O2" s="1"/>
    </row>
    <row r="4" spans="2:15" ht="21">
      <c r="B4" s="500" t="str">
        <f>+IF('Data Entry'!G6="Please Select", "",'Data Entry'!G6) &amp;"  "&amp;+IF('Data Entry'!G8="Please Select", "", 'Data Entry'!G8&amp;",  ")&amp;+IF('Data Entry'!I8="Please Select","",'Data Entry'!I8)</f>
        <v>TB  NFM,  Phase 1</v>
      </c>
      <c r="C4" s="500"/>
      <c r="D4" s="500"/>
      <c r="E4" s="501"/>
      <c r="F4" s="233"/>
      <c r="G4" s="233"/>
      <c r="H4" s="355" t="str">
        <f>+'Data Entry'!B6&amp;" "&amp;+'Data Entry'!C6</f>
        <v>Grant No.: GEO-T-NCDC</v>
      </c>
      <c r="I4" s="355"/>
      <c r="J4" s="232"/>
      <c r="K4" s="233"/>
      <c r="L4" s="233"/>
    </row>
    <row r="22" spans="2:12" ht="26.25">
      <c r="B22" s="502" t="s">
        <v>408</v>
      </c>
      <c r="C22" s="503"/>
      <c r="D22" s="503"/>
      <c r="E22" s="503"/>
      <c r="F22" s="503"/>
      <c r="G22" s="503"/>
      <c r="H22" s="503"/>
      <c r="I22" s="503"/>
      <c r="J22" s="503"/>
      <c r="K22" s="503"/>
      <c r="L22" s="503"/>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topLeftCell="C1" zoomScale="80" zoomScaleNormal="80" zoomScalePageLayoutView="80" workbookViewId="0">
      <selection activeCell="G24" sqref="G24"/>
    </sheetView>
  </sheetViews>
  <sheetFormatPr defaultColWidth="11" defaultRowHeight="15"/>
  <cols>
    <col min="1" max="1" width="11.42578125" customWidth="1"/>
    <col min="2" max="2" width="16.140625" customWidth="1"/>
    <col min="3" max="3" width="14.7109375" customWidth="1"/>
    <col min="4" max="4" width="15.42578125" customWidth="1"/>
    <col min="5" max="6" width="11.42578125" customWidth="1"/>
    <col min="7" max="7" width="14.42578125" customWidth="1"/>
    <col min="8" max="8" width="35.42578125" customWidth="1"/>
    <col min="9" max="9" width="45.7109375" customWidth="1"/>
    <col min="10" max="10" width="33.42578125" customWidth="1"/>
    <col min="11" max="12" width="11.42578125" customWidth="1"/>
    <col min="13" max="13" width="28.42578125" customWidth="1"/>
    <col min="14" max="14" width="46.42578125" customWidth="1"/>
  </cols>
  <sheetData>
    <row r="2" spans="2:15" ht="25.5" customHeight="1"/>
    <row r="3" spans="2:15" ht="36">
      <c r="B3" s="911" t="str">
        <f>'Grant Detail'!B3:J3</f>
        <v>Dashboard:  Georgia - TB</v>
      </c>
      <c r="C3" s="911"/>
      <c r="D3" s="911"/>
      <c r="E3" s="911"/>
      <c r="F3" s="911"/>
      <c r="G3" s="911"/>
      <c r="H3" s="911"/>
      <c r="I3" s="1"/>
    </row>
    <row r="6" spans="2:15" ht="18.75">
      <c r="B6" s="863" t="s">
        <v>320</v>
      </c>
      <c r="C6" s="863"/>
      <c r="D6" s="863"/>
      <c r="E6" s="863"/>
      <c r="F6" s="863"/>
      <c r="G6" s="863"/>
      <c r="H6" s="863"/>
    </row>
    <row r="8" spans="2:15" ht="18.75">
      <c r="B8" s="62" t="s">
        <v>33</v>
      </c>
      <c r="C8" s="62" t="s">
        <v>36</v>
      </c>
      <c r="D8" s="62" t="s">
        <v>37</v>
      </c>
      <c r="E8" s="62" t="s">
        <v>42</v>
      </c>
      <c r="F8" s="62" t="s">
        <v>287</v>
      </c>
      <c r="G8" s="62" t="s">
        <v>266</v>
      </c>
      <c r="H8" s="62" t="s">
        <v>294</v>
      </c>
      <c r="I8" s="63" t="s">
        <v>88</v>
      </c>
      <c r="J8" s="63" t="s">
        <v>130</v>
      </c>
      <c r="M8" s="19"/>
      <c r="N8" s="19"/>
      <c r="O8" s="19"/>
    </row>
    <row r="9" spans="2:15">
      <c r="B9" s="86" t="s">
        <v>374</v>
      </c>
      <c r="C9" s="86" t="s">
        <v>374</v>
      </c>
      <c r="D9" s="86" t="s">
        <v>374</v>
      </c>
      <c r="E9" s="86" t="s">
        <v>374</v>
      </c>
      <c r="F9" s="86" t="s">
        <v>374</v>
      </c>
      <c r="G9" s="86" t="s">
        <v>374</v>
      </c>
      <c r="H9" s="86" t="s">
        <v>374</v>
      </c>
      <c r="I9" s="418" t="s">
        <v>374</v>
      </c>
      <c r="J9" s="86" t="s">
        <v>374</v>
      </c>
      <c r="M9" s="19"/>
      <c r="N9" s="19"/>
      <c r="O9" s="19"/>
    </row>
    <row r="10" spans="2:15">
      <c r="B10" s="57" t="s">
        <v>28</v>
      </c>
      <c r="C10" s="57" t="s">
        <v>19</v>
      </c>
      <c r="D10" s="57" t="s">
        <v>17</v>
      </c>
      <c r="E10" s="57" t="s">
        <v>18</v>
      </c>
      <c r="F10" s="57" t="s">
        <v>106</v>
      </c>
      <c r="G10" s="426" t="s">
        <v>44</v>
      </c>
      <c r="H10" s="60" t="s">
        <v>49</v>
      </c>
      <c r="I10" s="27" t="s">
        <v>300</v>
      </c>
      <c r="J10" s="86" t="s">
        <v>131</v>
      </c>
      <c r="M10" s="19"/>
      <c r="N10" s="19"/>
      <c r="O10" s="19"/>
    </row>
    <row r="11" spans="2:15">
      <c r="B11" s="57" t="s">
        <v>34</v>
      </c>
      <c r="C11" s="57" t="s">
        <v>14</v>
      </c>
      <c r="D11" s="57" t="s">
        <v>20</v>
      </c>
      <c r="E11" s="57" t="s">
        <v>16</v>
      </c>
      <c r="F11" s="57" t="s">
        <v>107</v>
      </c>
      <c r="G11" s="426" t="s">
        <v>45</v>
      </c>
      <c r="H11" s="60" t="s">
        <v>50</v>
      </c>
      <c r="I11" s="27" t="s">
        <v>301</v>
      </c>
      <c r="J11" s="86" t="s">
        <v>132</v>
      </c>
      <c r="M11" s="19"/>
      <c r="N11" s="19"/>
      <c r="O11" s="19"/>
    </row>
    <row r="12" spans="2:15">
      <c r="B12" s="57" t="s">
        <v>35</v>
      </c>
      <c r="D12" s="57" t="s">
        <v>23</v>
      </c>
      <c r="E12" s="57" t="s">
        <v>24</v>
      </c>
      <c r="F12" s="57" t="s">
        <v>108</v>
      </c>
      <c r="G12" s="426" t="s">
        <v>46</v>
      </c>
      <c r="H12" s="60" t="s">
        <v>51</v>
      </c>
      <c r="I12" s="27" t="s">
        <v>302</v>
      </c>
      <c r="J12" s="86" t="s">
        <v>133</v>
      </c>
      <c r="M12" s="199"/>
      <c r="N12" s="19"/>
      <c r="O12" s="19"/>
    </row>
    <row r="13" spans="2:15">
      <c r="B13" s="57" t="s">
        <v>84</v>
      </c>
      <c r="D13" s="57" t="s">
        <v>25</v>
      </c>
      <c r="E13" s="58"/>
      <c r="F13" s="57" t="s">
        <v>109</v>
      </c>
      <c r="G13" s="426" t="s">
        <v>47</v>
      </c>
      <c r="H13" s="60" t="s">
        <v>52</v>
      </c>
      <c r="I13" s="27" t="s">
        <v>303</v>
      </c>
      <c r="J13" s="86" t="s">
        <v>134</v>
      </c>
      <c r="M13" s="199"/>
      <c r="N13" s="19"/>
      <c r="O13" s="19"/>
    </row>
    <row r="14" spans="2:15">
      <c r="B14" s="57" t="s">
        <v>85</v>
      </c>
      <c r="D14" s="57" t="s">
        <v>38</v>
      </c>
      <c r="F14" s="57" t="s">
        <v>121</v>
      </c>
      <c r="G14" s="426" t="s">
        <v>48</v>
      </c>
      <c r="H14" s="60" t="s">
        <v>53</v>
      </c>
      <c r="I14" s="27" t="s">
        <v>272</v>
      </c>
      <c r="J14" s="86" t="s">
        <v>135</v>
      </c>
      <c r="M14" s="199"/>
      <c r="N14" s="19"/>
      <c r="O14" s="19"/>
    </row>
    <row r="15" spans="2:15">
      <c r="D15" s="57" t="s">
        <v>39</v>
      </c>
      <c r="F15" s="57" t="s">
        <v>122</v>
      </c>
      <c r="H15" s="60" t="s">
        <v>54</v>
      </c>
      <c r="I15" s="27" t="s">
        <v>71</v>
      </c>
      <c r="J15" s="86" t="s">
        <v>136</v>
      </c>
      <c r="M15" s="199"/>
      <c r="N15" s="19"/>
      <c r="O15" s="19"/>
    </row>
    <row r="16" spans="2:15">
      <c r="D16" s="57" t="s">
        <v>40</v>
      </c>
      <c r="F16" s="57" t="s">
        <v>123</v>
      </c>
      <c r="H16" s="60" t="s">
        <v>55</v>
      </c>
      <c r="I16" s="27" t="s">
        <v>72</v>
      </c>
      <c r="J16" s="86" t="s">
        <v>137</v>
      </c>
      <c r="M16" s="199"/>
      <c r="N16" s="19"/>
      <c r="O16" s="19"/>
    </row>
    <row r="17" spans="4:15">
      <c r="D17" s="57" t="s">
        <v>41</v>
      </c>
      <c r="F17" s="57" t="s">
        <v>124</v>
      </c>
      <c r="H17" s="60" t="s">
        <v>56</v>
      </c>
      <c r="I17" s="27" t="s">
        <v>73</v>
      </c>
      <c r="J17" s="86" t="s">
        <v>138</v>
      </c>
      <c r="M17" s="199"/>
      <c r="N17" s="19"/>
      <c r="O17" s="19"/>
    </row>
    <row r="18" spans="4:15">
      <c r="D18" s="57" t="s">
        <v>15</v>
      </c>
      <c r="F18" s="57" t="s">
        <v>125</v>
      </c>
      <c r="H18" s="60" t="s">
        <v>57</v>
      </c>
      <c r="I18" s="27" t="s">
        <v>74</v>
      </c>
      <c r="J18" s="86" t="s">
        <v>139</v>
      </c>
      <c r="M18" s="199"/>
      <c r="N18" s="19"/>
      <c r="O18" s="19"/>
    </row>
    <row r="19" spans="4:15">
      <c r="D19" s="425" t="s">
        <v>370</v>
      </c>
      <c r="F19" s="57" t="s">
        <v>126</v>
      </c>
      <c r="H19" s="60" t="s">
        <v>58</v>
      </c>
      <c r="I19" s="27" t="s">
        <v>75</v>
      </c>
      <c r="J19" s="86" t="s">
        <v>140</v>
      </c>
      <c r="M19" s="199"/>
      <c r="N19" s="19"/>
      <c r="O19" s="19"/>
    </row>
    <row r="20" spans="4:15">
      <c r="D20" s="59"/>
      <c r="F20" s="57" t="s">
        <v>127</v>
      </c>
      <c r="H20" s="60" t="s">
        <v>263</v>
      </c>
      <c r="I20" s="27" t="s">
        <v>76</v>
      </c>
      <c r="J20" s="86" t="s">
        <v>141</v>
      </c>
      <c r="M20" s="19"/>
      <c r="N20" s="19"/>
      <c r="O20" s="19"/>
    </row>
    <row r="21" spans="4:15">
      <c r="D21" s="61"/>
      <c r="F21" s="57" t="s">
        <v>288</v>
      </c>
      <c r="H21" s="61"/>
      <c r="I21" s="27" t="s">
        <v>78</v>
      </c>
      <c r="J21" s="86" t="s">
        <v>142</v>
      </c>
      <c r="M21" s="19"/>
      <c r="N21" s="19"/>
      <c r="O21" s="19"/>
    </row>
    <row r="22" spans="4:15">
      <c r="H22" s="61"/>
      <c r="I22" s="27" t="s">
        <v>79</v>
      </c>
      <c r="J22" s="86" t="s">
        <v>143</v>
      </c>
      <c r="M22" s="19"/>
      <c r="N22" s="19"/>
      <c r="O22" s="19"/>
    </row>
    <row r="23" spans="4:15">
      <c r="I23" s="27" t="s">
        <v>77</v>
      </c>
      <c r="J23" s="86" t="s">
        <v>144</v>
      </c>
      <c r="M23" s="19"/>
      <c r="N23" s="19"/>
      <c r="O23" s="19"/>
    </row>
    <row r="24" spans="4:15">
      <c r="I24" s="27" t="s">
        <v>311</v>
      </c>
      <c r="J24" s="86" t="s">
        <v>145</v>
      </c>
      <c r="M24" s="19"/>
      <c r="N24" s="19"/>
      <c r="O24" s="19"/>
    </row>
    <row r="25" spans="4:15">
      <c r="I25" s="45"/>
      <c r="J25" s="86" t="s">
        <v>146</v>
      </c>
    </row>
    <row r="26" spans="4:15">
      <c r="I26" s="27" t="s">
        <v>315</v>
      </c>
      <c r="J26" s="86" t="s">
        <v>147</v>
      </c>
    </row>
    <row r="27" spans="4:15">
      <c r="I27" s="27" t="s">
        <v>310</v>
      </c>
      <c r="J27" s="86" t="s">
        <v>148</v>
      </c>
    </row>
    <row r="28" spans="4:15">
      <c r="I28" s="45"/>
      <c r="J28" s="86" t="s">
        <v>149</v>
      </c>
    </row>
    <row r="29" spans="4:15">
      <c r="I29" s="45"/>
      <c r="J29" s="86" t="s">
        <v>150</v>
      </c>
    </row>
    <row r="30" spans="4:15">
      <c r="I30" s="45"/>
      <c r="J30" s="86" t="s">
        <v>151</v>
      </c>
    </row>
    <row r="31" spans="4:15">
      <c r="J31" s="86" t="s">
        <v>152</v>
      </c>
    </row>
    <row r="32" spans="4:15">
      <c r="J32" s="86" t="s">
        <v>153</v>
      </c>
    </row>
    <row r="33" spans="10:10">
      <c r="J33" s="86" t="s">
        <v>154</v>
      </c>
    </row>
    <row r="34" spans="10:10">
      <c r="J34" s="86" t="s">
        <v>155</v>
      </c>
    </row>
    <row r="35" spans="10:10">
      <c r="J35" s="86" t="s">
        <v>156</v>
      </c>
    </row>
    <row r="36" spans="10:10">
      <c r="J36" s="86" t="s">
        <v>156</v>
      </c>
    </row>
    <row r="37" spans="10:10">
      <c r="J37" s="86" t="s">
        <v>157</v>
      </c>
    </row>
    <row r="38" spans="10:10">
      <c r="J38" s="86" t="s">
        <v>158</v>
      </c>
    </row>
    <row r="39" spans="10:10">
      <c r="J39" s="86" t="s">
        <v>159</v>
      </c>
    </row>
    <row r="40" spans="10:10">
      <c r="J40" s="86" t="s">
        <v>160</v>
      </c>
    </row>
    <row r="41" spans="10:10">
      <c r="J41" s="86" t="s">
        <v>161</v>
      </c>
    </row>
    <row r="42" spans="10:10">
      <c r="J42" s="86" t="s">
        <v>162</v>
      </c>
    </row>
    <row r="43" spans="10:10">
      <c r="J43" s="86" t="s">
        <v>163</v>
      </c>
    </row>
    <row r="44" spans="10:10">
      <c r="J44" s="86" t="s">
        <v>164</v>
      </c>
    </row>
    <row r="45" spans="10:10">
      <c r="J45" s="86" t="s">
        <v>165</v>
      </c>
    </row>
    <row r="46" spans="10:10">
      <c r="J46" s="86" t="s">
        <v>166</v>
      </c>
    </row>
    <row r="47" spans="10:10">
      <c r="J47" s="86" t="s">
        <v>167</v>
      </c>
    </row>
    <row r="48" spans="10:10">
      <c r="J48" s="86" t="s">
        <v>168</v>
      </c>
    </row>
    <row r="49" spans="10:10">
      <c r="J49" s="86" t="s">
        <v>169</v>
      </c>
    </row>
    <row r="50" spans="10:10">
      <c r="J50" s="86" t="s">
        <v>170</v>
      </c>
    </row>
    <row r="51" spans="10:10">
      <c r="J51" s="86" t="s">
        <v>171</v>
      </c>
    </row>
    <row r="52" spans="10:10">
      <c r="J52" s="86" t="s">
        <v>172</v>
      </c>
    </row>
    <row r="53" spans="10:10">
      <c r="J53" s="86" t="s">
        <v>173</v>
      </c>
    </row>
    <row r="54" spans="10:10">
      <c r="J54" s="86" t="s">
        <v>174</v>
      </c>
    </row>
    <row r="55" spans="10:10">
      <c r="J55" s="86" t="s">
        <v>175</v>
      </c>
    </row>
    <row r="56" spans="10:10">
      <c r="J56" s="86" t="s">
        <v>176</v>
      </c>
    </row>
    <row r="57" spans="10:10">
      <c r="J57" s="86" t="s">
        <v>177</v>
      </c>
    </row>
    <row r="58" spans="10:10">
      <c r="J58" s="86" t="s">
        <v>178</v>
      </c>
    </row>
    <row r="59" spans="10:10">
      <c r="J59" s="86" t="s">
        <v>179</v>
      </c>
    </row>
    <row r="60" spans="10:10">
      <c r="J60" s="86" t="s">
        <v>180</v>
      </c>
    </row>
    <row r="61" spans="10:10">
      <c r="J61" s="86" t="s">
        <v>181</v>
      </c>
    </row>
    <row r="62" spans="10:10">
      <c r="J62" s="86" t="s">
        <v>182</v>
      </c>
    </row>
    <row r="63" spans="10:10">
      <c r="J63" s="86" t="s">
        <v>183</v>
      </c>
    </row>
    <row r="64" spans="10:10">
      <c r="J64" s="86" t="s">
        <v>184</v>
      </c>
    </row>
    <row r="65" spans="10:10">
      <c r="J65" s="86" t="s">
        <v>185</v>
      </c>
    </row>
    <row r="66" spans="10:10">
      <c r="J66" s="86" t="s">
        <v>186</v>
      </c>
    </row>
    <row r="67" spans="10:10">
      <c r="J67" s="86" t="s">
        <v>187</v>
      </c>
    </row>
    <row r="68" spans="10:10">
      <c r="J68" s="86" t="s">
        <v>188</v>
      </c>
    </row>
    <row r="69" spans="10:10">
      <c r="J69" s="86" t="s">
        <v>189</v>
      </c>
    </row>
    <row r="70" spans="10:10">
      <c r="J70" s="86" t="s">
        <v>190</v>
      </c>
    </row>
    <row r="71" spans="10:10">
      <c r="J71" s="86" t="s">
        <v>191</v>
      </c>
    </row>
    <row r="72" spans="10:10">
      <c r="J72" s="86" t="s">
        <v>192</v>
      </c>
    </row>
    <row r="73" spans="10:10">
      <c r="J73" s="86" t="s">
        <v>193</v>
      </c>
    </row>
    <row r="74" spans="10:10">
      <c r="J74" s="86" t="s">
        <v>194</v>
      </c>
    </row>
    <row r="75" spans="10:10">
      <c r="J75" s="86" t="s">
        <v>195</v>
      </c>
    </row>
    <row r="76" spans="10:10">
      <c r="J76" s="86" t="s">
        <v>196</v>
      </c>
    </row>
    <row r="77" spans="10:10">
      <c r="J77" s="86" t="s">
        <v>197</v>
      </c>
    </row>
    <row r="78" spans="10:10">
      <c r="J78" s="86" t="s">
        <v>198</v>
      </c>
    </row>
    <row r="79" spans="10:10">
      <c r="J79" s="86" t="s">
        <v>199</v>
      </c>
    </row>
    <row r="80" spans="10:10">
      <c r="J80" s="86" t="s">
        <v>200</v>
      </c>
    </row>
    <row r="81" spans="10:10">
      <c r="J81" s="86" t="s">
        <v>201</v>
      </c>
    </row>
    <row r="82" spans="10:10">
      <c r="J82" s="86" t="s">
        <v>202</v>
      </c>
    </row>
    <row r="83" spans="10:10">
      <c r="J83" s="86" t="s">
        <v>203</v>
      </c>
    </row>
    <row r="84" spans="10:10">
      <c r="J84" s="86" t="s">
        <v>204</v>
      </c>
    </row>
    <row r="85" spans="10:10">
      <c r="J85" s="86" t="s">
        <v>205</v>
      </c>
    </row>
    <row r="86" spans="10:10">
      <c r="J86" s="86" t="s">
        <v>206</v>
      </c>
    </row>
    <row r="87" spans="10:10">
      <c r="J87" s="86" t="s">
        <v>207</v>
      </c>
    </row>
    <row r="88" spans="10:10">
      <c r="J88" s="86" t="s">
        <v>208</v>
      </c>
    </row>
    <row r="89" spans="10:10">
      <c r="J89" s="86" t="s">
        <v>209</v>
      </c>
    </row>
    <row r="90" spans="10:10">
      <c r="J90" s="86" t="s">
        <v>210</v>
      </c>
    </row>
    <row r="91" spans="10:10">
      <c r="J91" s="86" t="s">
        <v>211</v>
      </c>
    </row>
    <row r="92" spans="10:10">
      <c r="J92" s="86" t="s">
        <v>212</v>
      </c>
    </row>
    <row r="93" spans="10:10">
      <c r="J93" s="86" t="s">
        <v>213</v>
      </c>
    </row>
    <row r="94" spans="10:10">
      <c r="J94" s="86" t="s">
        <v>214</v>
      </c>
    </row>
    <row r="95" spans="10:10">
      <c r="J95" s="86" t="s">
        <v>215</v>
      </c>
    </row>
    <row r="96" spans="10:10">
      <c r="J96" s="86" t="s">
        <v>216</v>
      </c>
    </row>
    <row r="97" spans="10:10">
      <c r="J97" s="86" t="s">
        <v>217</v>
      </c>
    </row>
    <row r="98" spans="10:10">
      <c r="J98" s="86" t="s">
        <v>218</v>
      </c>
    </row>
    <row r="99" spans="10:10">
      <c r="J99" s="86" t="s">
        <v>219</v>
      </c>
    </row>
    <row r="100" spans="10:10">
      <c r="J100" s="86" t="s">
        <v>220</v>
      </c>
    </row>
    <row r="101" spans="10:10">
      <c r="J101" s="86" t="s">
        <v>221</v>
      </c>
    </row>
    <row r="102" spans="10:10">
      <c r="J102" s="86" t="s">
        <v>222</v>
      </c>
    </row>
    <row r="103" spans="10:10">
      <c r="J103" s="86" t="s">
        <v>223</v>
      </c>
    </row>
    <row r="104" spans="10:10">
      <c r="J104" s="86" t="s">
        <v>224</v>
      </c>
    </row>
    <row r="105" spans="10:10">
      <c r="J105" s="86" t="s">
        <v>225</v>
      </c>
    </row>
    <row r="106" spans="10:10">
      <c r="J106" s="86" t="s">
        <v>226</v>
      </c>
    </row>
    <row r="107" spans="10:10">
      <c r="J107" s="86" t="s">
        <v>227</v>
      </c>
    </row>
    <row r="108" spans="10:10">
      <c r="J108" s="86" t="s">
        <v>228</v>
      </c>
    </row>
    <row r="109" spans="10:10">
      <c r="J109" s="86" t="s">
        <v>229</v>
      </c>
    </row>
    <row r="110" spans="10:10">
      <c r="J110" s="86" t="s">
        <v>230</v>
      </c>
    </row>
    <row r="111" spans="10:10">
      <c r="J111" s="86" t="s">
        <v>81</v>
      </c>
    </row>
    <row r="112" spans="10:10">
      <c r="J112" s="86" t="s">
        <v>231</v>
      </c>
    </row>
    <row r="113" spans="10:10">
      <c r="J113" s="86" t="s">
        <v>232</v>
      </c>
    </row>
    <row r="114" spans="10:10">
      <c r="J114" s="86" t="s">
        <v>233</v>
      </c>
    </row>
    <row r="115" spans="10:10">
      <c r="J115" s="86" t="s">
        <v>234</v>
      </c>
    </row>
    <row r="116" spans="10:10">
      <c r="J116" s="86" t="s">
        <v>235</v>
      </c>
    </row>
    <row r="117" spans="10:10">
      <c r="J117" s="86" t="s">
        <v>236</v>
      </c>
    </row>
    <row r="118" spans="10:10">
      <c r="J118" s="86" t="s">
        <v>237</v>
      </c>
    </row>
    <row r="119" spans="10:10">
      <c r="J119" s="86" t="s">
        <v>238</v>
      </c>
    </row>
    <row r="120" spans="10:10">
      <c r="J120" s="86" t="s">
        <v>239</v>
      </c>
    </row>
    <row r="121" spans="10:10">
      <c r="J121" s="86" t="s">
        <v>240</v>
      </c>
    </row>
    <row r="122" spans="10:10">
      <c r="J122" s="86" t="s">
        <v>241</v>
      </c>
    </row>
    <row r="123" spans="10:10">
      <c r="J123" s="86" t="s">
        <v>242</v>
      </c>
    </row>
    <row r="124" spans="10:10">
      <c r="J124" s="86" t="s">
        <v>243</v>
      </c>
    </row>
    <row r="125" spans="10:10">
      <c r="J125" s="86" t="s">
        <v>244</v>
      </c>
    </row>
    <row r="126" spans="10:10">
      <c r="J126" s="86" t="s">
        <v>245</v>
      </c>
    </row>
    <row r="127" spans="10:10">
      <c r="J127" s="86" t="s">
        <v>246</v>
      </c>
    </row>
    <row r="128" spans="10:10">
      <c r="J128" s="86" t="s">
        <v>247</v>
      </c>
    </row>
    <row r="129" spans="10:10">
      <c r="J129" s="86" t="s">
        <v>248</v>
      </c>
    </row>
    <row r="130" spans="10:10">
      <c r="J130" s="86" t="s">
        <v>249</v>
      </c>
    </row>
    <row r="131" spans="10:10">
      <c r="J131" s="86" t="s">
        <v>250</v>
      </c>
    </row>
    <row r="132" spans="10:10">
      <c r="J132" s="86" t="s">
        <v>251</v>
      </c>
    </row>
    <row r="133" spans="10:10">
      <c r="J133" s="86" t="s">
        <v>252</v>
      </c>
    </row>
    <row r="134" spans="10:10">
      <c r="J134" s="86" t="s">
        <v>253</v>
      </c>
    </row>
    <row r="135" spans="10:10">
      <c r="J135" s="86" t="s">
        <v>254</v>
      </c>
    </row>
    <row r="136" spans="10:10">
      <c r="J136" s="86" t="s">
        <v>255</v>
      </c>
    </row>
    <row r="137" spans="10:10">
      <c r="J137" s="86" t="s">
        <v>256</v>
      </c>
    </row>
    <row r="138" spans="10:10">
      <c r="J138" s="86" t="s">
        <v>257</v>
      </c>
    </row>
    <row r="139" spans="10:10">
      <c r="J139" s="86" t="s">
        <v>258</v>
      </c>
    </row>
    <row r="140" spans="10:10">
      <c r="J140" s="86" t="s">
        <v>259</v>
      </c>
    </row>
    <row r="141" spans="10:10">
      <c r="J141" s="86" t="s">
        <v>260</v>
      </c>
    </row>
    <row r="142" spans="10:10">
      <c r="J142" s="86" t="s">
        <v>261</v>
      </c>
    </row>
    <row r="143" spans="10:10">
      <c r="J143" s="86" t="s">
        <v>262</v>
      </c>
    </row>
    <row r="144" spans="10:10">
      <c r="J144" s="416"/>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3"/>
  <sheetViews>
    <sheetView showGridLines="0" zoomScale="80" zoomScaleNormal="80" zoomScalePageLayoutView="80" workbookViewId="0">
      <pane ySplit="2" topLeftCell="A24" activePane="bottomLeft" state="frozen"/>
      <selection activeCell="E22" sqref="E22"/>
      <selection pane="bottomLeft"/>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9.42578125" customWidth="1"/>
    <col min="14" max="14" width="2.42578125" style="36" customWidth="1"/>
    <col min="15" max="15" width="3" style="36" customWidth="1"/>
    <col min="16" max="16" width="2.42578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34.5" customHeight="1">
      <c r="A1" s="3"/>
      <c r="B1" s="3"/>
      <c r="C1" s="3"/>
      <c r="D1" s="3"/>
      <c r="E1" s="3"/>
      <c r="F1" s="3"/>
      <c r="G1" s="3"/>
      <c r="H1" s="3"/>
      <c r="I1" s="3"/>
      <c r="J1" s="3"/>
      <c r="K1" s="3"/>
      <c r="L1" s="3"/>
      <c r="M1" s="3"/>
    </row>
    <row r="2" spans="1:15" ht="36" customHeight="1">
      <c r="A2" s="3"/>
      <c r="B2" s="508" t="str">
        <f>+"Dashboard: "&amp;" "&amp;+IF('Data Entry'!C4="Please Select","",'Data Entry'!C4&amp;" - ")&amp;+IF('Data Entry'!G6="Please Select","",'Data Entry'!G6)</f>
        <v>Dashboard:  Georgia - TB</v>
      </c>
      <c r="C2" s="508"/>
      <c r="D2" s="508"/>
      <c r="E2" s="508"/>
      <c r="F2" s="508"/>
      <c r="G2" s="508"/>
      <c r="H2" s="508"/>
      <c r="I2" s="508"/>
      <c r="J2" s="508"/>
      <c r="K2" s="508"/>
      <c r="L2" s="508"/>
      <c r="M2" s="508"/>
    </row>
    <row r="3" spans="1:15" ht="15.75" customHeight="1">
      <c r="A3" s="3"/>
      <c r="B3" s="224"/>
      <c r="C3" s="224"/>
      <c r="D3" s="224"/>
      <c r="E3" s="224"/>
      <c r="F3" s="224"/>
      <c r="G3" s="224"/>
      <c r="H3" s="224"/>
      <c r="I3" s="224"/>
      <c r="J3" s="224"/>
      <c r="K3" s="225"/>
      <c r="L3" s="225"/>
      <c r="M3" s="3"/>
    </row>
    <row r="5" spans="1:15" ht="23.25">
      <c r="B5" s="509" t="s">
        <v>284</v>
      </c>
      <c r="C5" s="509"/>
      <c r="D5" s="509"/>
      <c r="E5" s="509"/>
      <c r="F5" s="509"/>
      <c r="G5" s="509"/>
      <c r="H5" s="509"/>
      <c r="I5" s="509"/>
      <c r="J5" s="509"/>
      <c r="K5" s="509"/>
      <c r="L5" s="509"/>
      <c r="M5" s="509"/>
      <c r="N5" s="509"/>
      <c r="O5" s="509"/>
    </row>
    <row r="7" spans="1:15" ht="21">
      <c r="B7" s="510" t="s">
        <v>273</v>
      </c>
      <c r="C7" s="511"/>
      <c r="D7" s="512"/>
      <c r="E7" s="510" t="s">
        <v>274</v>
      </c>
      <c r="F7" s="511"/>
      <c r="G7" s="511"/>
      <c r="H7" s="511"/>
      <c r="I7" s="512"/>
      <c r="J7" s="510" t="s">
        <v>275</v>
      </c>
      <c r="K7" s="511"/>
      <c r="L7" s="512"/>
      <c r="M7" s="510" t="s">
        <v>348</v>
      </c>
      <c r="N7" s="511"/>
      <c r="O7" s="512"/>
    </row>
    <row r="8" spans="1:15" ht="92.25" customHeight="1">
      <c r="B8" s="524" t="str">
        <f>+'Data Entry'!B27</f>
        <v>F1: Budget and disbursements by Global Fund</v>
      </c>
      <c r="C8" s="525"/>
      <c r="D8" s="526"/>
      <c r="E8" s="513" t="s">
        <v>395</v>
      </c>
      <c r="F8" s="514"/>
      <c r="G8" s="514"/>
      <c r="H8" s="514"/>
      <c r="I8" s="515"/>
      <c r="J8" s="504" t="s">
        <v>349</v>
      </c>
      <c r="K8" s="505"/>
      <c r="L8" s="506"/>
      <c r="M8" s="504" t="s">
        <v>396</v>
      </c>
      <c r="N8" s="505"/>
      <c r="O8" s="506"/>
    </row>
    <row r="9" spans="1:15" ht="117.75" customHeight="1">
      <c r="B9" s="524" t="str">
        <f>+'Data Entry'!B36</f>
        <v>F2: Budget and actual expenditures by Grant Objective</v>
      </c>
      <c r="C9" s="525"/>
      <c r="D9" s="526"/>
      <c r="E9" s="521" t="s">
        <v>357</v>
      </c>
      <c r="F9" s="522"/>
      <c r="G9" s="522"/>
      <c r="H9" s="522"/>
      <c r="I9" s="523"/>
      <c r="J9" s="504" t="s">
        <v>351</v>
      </c>
      <c r="K9" s="505"/>
      <c r="L9" s="506"/>
      <c r="M9" s="504" t="s">
        <v>396</v>
      </c>
      <c r="N9" s="505"/>
      <c r="O9" s="506"/>
    </row>
    <row r="10" spans="1:15" ht="152.25" customHeight="1">
      <c r="B10" s="516" t="str">
        <f>+'Data Entry'!B49</f>
        <v>F3: Disbursements and expenditures</v>
      </c>
      <c r="C10" s="519"/>
      <c r="D10" s="520"/>
      <c r="E10" s="521" t="s">
        <v>397</v>
      </c>
      <c r="F10" s="522"/>
      <c r="G10" s="522"/>
      <c r="H10" s="522"/>
      <c r="I10" s="523"/>
      <c r="J10" s="504" t="s">
        <v>358</v>
      </c>
      <c r="K10" s="505"/>
      <c r="L10" s="506"/>
      <c r="M10" s="504" t="s">
        <v>350</v>
      </c>
      <c r="N10" s="505"/>
      <c r="O10" s="506"/>
    </row>
    <row r="11" spans="1:15" ht="279.75" customHeight="1">
      <c r="B11" s="516" t="str">
        <f>+'Data Entry'!B58</f>
        <v>F4: Latest PR reporting and disbursement cycle</v>
      </c>
      <c r="C11" s="517"/>
      <c r="D11" s="518"/>
      <c r="E11" s="521" t="s">
        <v>409</v>
      </c>
      <c r="F11" s="522"/>
      <c r="G11" s="522"/>
      <c r="H11" s="522"/>
      <c r="I11" s="523"/>
      <c r="J11" s="504" t="s">
        <v>359</v>
      </c>
      <c r="K11" s="505"/>
      <c r="L11" s="506"/>
      <c r="M11" s="504" t="s">
        <v>278</v>
      </c>
      <c r="N11" s="505"/>
      <c r="O11" s="506"/>
    </row>
    <row r="12" spans="1:15" s="19" customFormat="1">
      <c r="B12" s="543"/>
      <c r="C12" s="543"/>
      <c r="D12" s="543"/>
      <c r="E12" s="507"/>
      <c r="F12" s="507"/>
      <c r="G12" s="507"/>
      <c r="H12" s="507"/>
      <c r="I12" s="507"/>
      <c r="J12" s="507"/>
      <c r="K12" s="507"/>
      <c r="L12" s="507"/>
      <c r="M12" s="507"/>
      <c r="N12" s="507"/>
      <c r="O12" s="507"/>
    </row>
    <row r="13" spans="1:15" s="19" customFormat="1">
      <c r="B13" s="539"/>
      <c r="C13" s="539"/>
      <c r="D13" s="539"/>
      <c r="E13" s="540"/>
      <c r="F13" s="540"/>
      <c r="G13" s="540"/>
      <c r="H13" s="540"/>
      <c r="I13" s="540"/>
      <c r="J13" s="540"/>
      <c r="K13" s="540"/>
      <c r="L13" s="540"/>
      <c r="M13" s="540"/>
      <c r="N13" s="540"/>
      <c r="O13" s="540"/>
    </row>
    <row r="14" spans="1:15" s="19" customFormat="1">
      <c r="B14" s="539"/>
      <c r="C14" s="539"/>
      <c r="D14" s="539"/>
      <c r="E14" s="540"/>
      <c r="F14" s="540"/>
      <c r="G14" s="540"/>
      <c r="H14" s="540"/>
      <c r="I14" s="540"/>
      <c r="J14" s="540"/>
      <c r="K14" s="540"/>
      <c r="L14" s="540"/>
      <c r="M14" s="540"/>
      <c r="N14" s="540"/>
      <c r="O14" s="540"/>
    </row>
    <row r="15" spans="1:15" s="19" customFormat="1">
      <c r="B15" s="539"/>
      <c r="C15" s="539"/>
      <c r="D15" s="539"/>
      <c r="E15" s="540"/>
      <c r="F15" s="540"/>
      <c r="G15" s="540"/>
      <c r="H15" s="540"/>
      <c r="I15" s="540"/>
      <c r="J15" s="540"/>
      <c r="K15" s="540"/>
      <c r="L15" s="540"/>
      <c r="M15" s="540"/>
      <c r="N15" s="540"/>
      <c r="O15" s="540"/>
    </row>
    <row r="16" spans="1:15" ht="23.25">
      <c r="B16" s="509" t="s">
        <v>285</v>
      </c>
      <c r="C16" s="509"/>
      <c r="D16" s="509"/>
      <c r="E16" s="509"/>
      <c r="F16" s="509"/>
      <c r="G16" s="509"/>
      <c r="H16" s="509"/>
      <c r="I16" s="509"/>
      <c r="J16" s="509"/>
      <c r="K16" s="509"/>
      <c r="L16" s="509"/>
      <c r="M16" s="509"/>
      <c r="N16" s="509"/>
      <c r="O16" s="509"/>
    </row>
    <row r="18" spans="1:15" ht="21">
      <c r="B18" s="536" t="s">
        <v>273</v>
      </c>
      <c r="C18" s="537"/>
      <c r="D18" s="538"/>
      <c r="E18" s="536" t="s">
        <v>274</v>
      </c>
      <c r="F18" s="537"/>
      <c r="G18" s="537"/>
      <c r="H18" s="537"/>
      <c r="I18" s="538"/>
      <c r="J18" s="536" t="s">
        <v>275</v>
      </c>
      <c r="K18" s="537"/>
      <c r="L18" s="538"/>
      <c r="M18" s="536" t="s">
        <v>276</v>
      </c>
      <c r="N18" s="537"/>
      <c r="O18" s="538"/>
    </row>
    <row r="19" spans="1:15" ht="114" customHeight="1">
      <c r="B19" s="524" t="str">
        <f>+'Data Entry'!B69</f>
        <v>M1: Status of Conditions Precedent (CPs) and Time Bound Actions (TBAs)</v>
      </c>
      <c r="C19" s="541"/>
      <c r="D19" s="542"/>
      <c r="E19" s="521" t="s">
        <v>283</v>
      </c>
      <c r="F19" s="522"/>
      <c r="G19" s="522"/>
      <c r="H19" s="522"/>
      <c r="I19" s="523"/>
      <c r="J19" s="504" t="s">
        <v>352</v>
      </c>
      <c r="K19" s="505"/>
      <c r="L19" s="506"/>
      <c r="M19" s="504" t="s">
        <v>353</v>
      </c>
      <c r="N19" s="505"/>
      <c r="O19" s="506"/>
    </row>
    <row r="20" spans="1:15" ht="102.75" customHeight="1">
      <c r="B20" s="524" t="str">
        <f>+'Data Entry'!B76</f>
        <v>M2: Status of key PR management positions</v>
      </c>
      <c r="C20" s="541"/>
      <c r="D20" s="542"/>
      <c r="E20" s="521" t="s">
        <v>398</v>
      </c>
      <c r="F20" s="522"/>
      <c r="G20" s="522"/>
      <c r="H20" s="522"/>
      <c r="I20" s="523"/>
      <c r="J20" s="504" t="s">
        <v>280</v>
      </c>
      <c r="K20" s="505"/>
      <c r="L20" s="506"/>
      <c r="M20" s="504" t="s">
        <v>279</v>
      </c>
      <c r="N20" s="505"/>
      <c r="O20" s="506"/>
    </row>
    <row r="21" spans="1:15" ht="111.75" customHeight="1">
      <c r="B21" s="524" t="str">
        <f>+'Data Entry'!B81</f>
        <v xml:space="preserve">M3: Contractual arrangements (SRs) </v>
      </c>
      <c r="C21" s="541"/>
      <c r="D21" s="542"/>
      <c r="E21" s="568" t="s">
        <v>0</v>
      </c>
      <c r="F21" s="522"/>
      <c r="G21" s="522"/>
      <c r="H21" s="522"/>
      <c r="I21" s="523"/>
      <c r="J21" s="504" t="s">
        <v>354</v>
      </c>
      <c r="K21" s="505"/>
      <c r="L21" s="506"/>
      <c r="M21" s="504" t="s">
        <v>355</v>
      </c>
      <c r="N21" s="505"/>
      <c r="O21" s="506"/>
    </row>
    <row r="22" spans="1:15" ht="74.25" customHeight="1">
      <c r="B22" s="524" t="str">
        <f>+'Data Entry'!B86</f>
        <v>M4: Number of complete reports received on time</v>
      </c>
      <c r="C22" s="541"/>
      <c r="D22" s="542"/>
      <c r="E22" s="568" t="s">
        <v>410</v>
      </c>
      <c r="F22" s="569"/>
      <c r="G22" s="569"/>
      <c r="H22" s="569"/>
      <c r="I22" s="570"/>
      <c r="J22" s="504" t="s">
        <v>360</v>
      </c>
      <c r="K22" s="505"/>
      <c r="L22" s="506"/>
      <c r="M22" s="504" t="s">
        <v>281</v>
      </c>
      <c r="N22" s="505"/>
      <c r="O22" s="506"/>
    </row>
    <row r="23" spans="1:15" ht="207.75" customHeight="1">
      <c r="B23" s="603" t="str">
        <f>+'Data Entry'!B92</f>
        <v>M5: Budget and Procurement of health products, health equipment, medicines and pharmaceuticals</v>
      </c>
      <c r="C23" s="604"/>
      <c r="D23" s="605"/>
      <c r="E23" s="580" t="s">
        <v>361</v>
      </c>
      <c r="F23" s="581"/>
      <c r="G23" s="581"/>
      <c r="H23" s="581"/>
      <c r="I23" s="582"/>
      <c r="J23" s="574" t="s">
        <v>277</v>
      </c>
      <c r="K23" s="575"/>
      <c r="L23" s="576"/>
      <c r="M23" s="574" t="s">
        <v>282</v>
      </c>
      <c r="N23" s="575"/>
      <c r="O23" s="576"/>
    </row>
    <row r="24" spans="1:15" ht="114.75" customHeight="1">
      <c r="B24" s="606"/>
      <c r="C24" s="607"/>
      <c r="D24" s="608"/>
      <c r="E24" s="583" t="s">
        <v>356</v>
      </c>
      <c r="F24" s="584"/>
      <c r="G24" s="584"/>
      <c r="H24" s="584"/>
      <c r="I24" s="585"/>
      <c r="J24" s="577"/>
      <c r="K24" s="578"/>
      <c r="L24" s="579"/>
      <c r="M24" s="577"/>
      <c r="N24" s="578"/>
      <c r="O24" s="579"/>
    </row>
    <row r="25" spans="1:15" ht="409.5" customHeight="1">
      <c r="B25" s="524" t="str">
        <f>+'Data Entry'!B105</f>
        <v>M6: Difference between current and safety stock</v>
      </c>
      <c r="C25" s="541"/>
      <c r="D25" s="542"/>
      <c r="E25" s="586" t="s">
        <v>411</v>
      </c>
      <c r="F25" s="587"/>
      <c r="G25" s="587"/>
      <c r="H25" s="587"/>
      <c r="I25" s="588"/>
      <c r="J25" s="592" t="s">
        <v>362</v>
      </c>
      <c r="K25" s="593"/>
      <c r="L25" s="594"/>
      <c r="M25" s="589" t="s">
        <v>367</v>
      </c>
      <c r="N25" s="590"/>
      <c r="O25" s="591"/>
    </row>
    <row r="29" spans="1:15" ht="18.75">
      <c r="B29" s="259"/>
    </row>
    <row r="30" spans="1:15" ht="23.25">
      <c r="B30" s="509" t="s">
        <v>298</v>
      </c>
      <c r="C30" s="509"/>
      <c r="D30" s="509"/>
      <c r="E30" s="509"/>
      <c r="F30" s="509"/>
      <c r="G30" s="509"/>
      <c r="H30" s="509"/>
      <c r="I30" s="509"/>
      <c r="J30" s="509"/>
      <c r="K30" s="509"/>
      <c r="L30" s="509"/>
      <c r="M30" s="509"/>
      <c r="N30" s="509"/>
      <c r="O30" s="509"/>
    </row>
    <row r="32" spans="1:15" ht="28.5" customHeight="1">
      <c r="A32" s="250"/>
      <c r="B32" s="547" t="s">
        <v>346</v>
      </c>
      <c r="C32" s="548"/>
      <c r="D32" s="549"/>
      <c r="E32" s="550" t="s">
        <v>304</v>
      </c>
      <c r="F32" s="551"/>
      <c r="G32" s="551"/>
      <c r="H32" s="551"/>
      <c r="I32" s="552"/>
      <c r="J32" s="550" t="s">
        <v>275</v>
      </c>
      <c r="K32" s="551"/>
      <c r="L32" s="552"/>
      <c r="M32" s="550" t="s">
        <v>276</v>
      </c>
      <c r="N32" s="551"/>
      <c r="O32" s="552"/>
    </row>
    <row r="33" spans="1:15" ht="47.25" customHeight="1">
      <c r="A33" s="251"/>
      <c r="B33" s="595"/>
      <c r="C33" s="596"/>
      <c r="D33" s="597"/>
      <c r="E33" s="530"/>
      <c r="F33" s="531"/>
      <c r="G33" s="531"/>
      <c r="H33" s="531"/>
      <c r="I33" s="532"/>
      <c r="J33" s="533"/>
      <c r="K33" s="534"/>
      <c r="L33" s="535"/>
      <c r="M33" s="533"/>
      <c r="N33" s="534"/>
      <c r="O33" s="535"/>
    </row>
    <row r="34" spans="1:15" ht="59.25" customHeight="1">
      <c r="A34" s="251"/>
      <c r="B34" s="595"/>
      <c r="C34" s="596"/>
      <c r="D34" s="597"/>
      <c r="E34" s="530"/>
      <c r="F34" s="531"/>
      <c r="G34" s="531"/>
      <c r="H34" s="531"/>
      <c r="I34" s="532"/>
      <c r="J34" s="533"/>
      <c r="K34" s="534"/>
      <c r="L34" s="535"/>
      <c r="M34" s="533"/>
      <c r="N34" s="534"/>
      <c r="O34" s="535"/>
    </row>
    <row r="35" spans="1:15" ht="57.75" customHeight="1">
      <c r="A35" s="251"/>
      <c r="B35" s="595"/>
      <c r="C35" s="596"/>
      <c r="D35" s="597"/>
      <c r="E35" s="533"/>
      <c r="F35" s="534"/>
      <c r="G35" s="534"/>
      <c r="H35" s="534"/>
      <c r="I35" s="535"/>
      <c r="J35" s="533"/>
      <c r="K35" s="534"/>
      <c r="L35" s="535"/>
      <c r="M35" s="533"/>
      <c r="N35" s="534"/>
      <c r="O35" s="535"/>
    </row>
    <row r="36" spans="1:15" ht="9.75" customHeight="1">
      <c r="A36" s="251"/>
      <c r="B36" s="598"/>
      <c r="C36" s="599"/>
      <c r="D36" s="600"/>
      <c r="E36" s="252"/>
      <c r="F36" s="253"/>
      <c r="G36" s="253"/>
      <c r="H36" s="253"/>
      <c r="I36" s="254"/>
      <c r="J36" s="271"/>
      <c r="K36" s="272"/>
      <c r="L36" s="273"/>
      <c r="M36" s="271"/>
      <c r="N36" s="272"/>
      <c r="O36" s="273"/>
    </row>
    <row r="37" spans="1:15" ht="46.5" customHeight="1">
      <c r="A37" s="251"/>
      <c r="B37" s="595"/>
      <c r="C37" s="596"/>
      <c r="D37" s="597"/>
      <c r="E37" s="533"/>
      <c r="F37" s="601"/>
      <c r="G37" s="601"/>
      <c r="H37" s="601"/>
      <c r="I37" s="602"/>
      <c r="J37" s="266"/>
      <c r="K37" s="267"/>
      <c r="L37" s="268"/>
      <c r="M37" s="266"/>
      <c r="N37" s="267"/>
      <c r="O37" s="268"/>
    </row>
    <row r="38" spans="1:15" ht="69" customHeight="1">
      <c r="A38" s="251"/>
      <c r="B38" s="595"/>
      <c r="C38" s="596"/>
      <c r="D38" s="597"/>
      <c r="E38" s="530"/>
      <c r="F38" s="531"/>
      <c r="G38" s="531"/>
      <c r="H38" s="531"/>
      <c r="I38" s="532"/>
      <c r="J38" s="533"/>
      <c r="K38" s="534"/>
      <c r="L38" s="535"/>
      <c r="M38" s="533"/>
      <c r="N38" s="534"/>
      <c r="O38" s="535"/>
    </row>
    <row r="39" spans="1:15" ht="64.5" customHeight="1">
      <c r="A39" s="251"/>
      <c r="B39" s="595"/>
      <c r="C39" s="596"/>
      <c r="D39" s="597"/>
      <c r="E39" s="533"/>
      <c r="F39" s="534"/>
      <c r="G39" s="534"/>
      <c r="H39" s="534"/>
      <c r="I39" s="535"/>
      <c r="J39" s="266"/>
      <c r="K39" s="267"/>
      <c r="L39" s="268"/>
      <c r="M39" s="266"/>
      <c r="N39" s="267"/>
      <c r="O39" s="268"/>
    </row>
    <row r="40" spans="1:15" ht="45" customHeight="1">
      <c r="A40" s="251"/>
      <c r="B40" s="527"/>
      <c r="C40" s="528"/>
      <c r="D40" s="529"/>
      <c r="E40" s="565"/>
      <c r="F40" s="566"/>
      <c r="G40" s="566"/>
      <c r="H40" s="566"/>
      <c r="I40" s="567"/>
      <c r="J40" s="533"/>
      <c r="K40" s="534"/>
      <c r="L40" s="535"/>
      <c r="M40" s="533"/>
      <c r="N40" s="534"/>
      <c r="O40" s="535"/>
    </row>
    <row r="41" spans="1:15" ht="62.25" customHeight="1">
      <c r="A41" s="251"/>
      <c r="B41" s="562"/>
      <c r="C41" s="563"/>
      <c r="D41" s="564"/>
      <c r="E41" s="530"/>
      <c r="F41" s="531"/>
      <c r="G41" s="531"/>
      <c r="H41" s="531"/>
      <c r="I41" s="532"/>
      <c r="J41" s="533"/>
      <c r="K41" s="534"/>
      <c r="L41" s="535"/>
      <c r="M41" s="533"/>
      <c r="N41" s="534"/>
      <c r="O41" s="535"/>
    </row>
    <row r="42" spans="1:15" ht="84" customHeight="1">
      <c r="A42" s="251"/>
      <c r="B42" s="562"/>
      <c r="C42" s="563"/>
      <c r="D42" s="564"/>
      <c r="E42" s="533"/>
      <c r="F42" s="534"/>
      <c r="G42" s="534"/>
      <c r="H42" s="534"/>
      <c r="I42" s="535"/>
      <c r="J42" s="266"/>
      <c r="K42" s="267"/>
      <c r="L42" s="268"/>
      <c r="M42" s="266"/>
      <c r="N42" s="267"/>
      <c r="O42" s="268"/>
    </row>
    <row r="43" spans="1:15" ht="45" customHeight="1">
      <c r="A43" s="251"/>
      <c r="B43" s="562"/>
      <c r="C43" s="563"/>
      <c r="D43" s="564"/>
      <c r="E43" s="530"/>
      <c r="F43" s="531"/>
      <c r="G43" s="531"/>
      <c r="H43" s="531"/>
      <c r="I43" s="532"/>
      <c r="J43" s="533"/>
      <c r="K43" s="534"/>
      <c r="L43" s="535"/>
      <c r="M43" s="266"/>
      <c r="N43" s="267"/>
      <c r="O43" s="268"/>
    </row>
    <row r="44" spans="1:15" ht="64.5" customHeight="1">
      <c r="A44" s="251"/>
      <c r="B44" s="527"/>
      <c r="C44" s="528"/>
      <c r="D44" s="529"/>
      <c r="E44" s="530"/>
      <c r="F44" s="531"/>
      <c r="G44" s="531"/>
      <c r="H44" s="531"/>
      <c r="I44" s="532"/>
      <c r="J44" s="533"/>
      <c r="K44" s="534"/>
      <c r="L44" s="535"/>
      <c r="M44" s="266"/>
      <c r="N44" s="267"/>
      <c r="O44" s="268"/>
    </row>
    <row r="45" spans="1:15" ht="49.5" customHeight="1">
      <c r="B45" s="527"/>
      <c r="C45" s="528"/>
      <c r="D45" s="529"/>
      <c r="E45" s="530"/>
      <c r="F45" s="531"/>
      <c r="G45" s="531"/>
      <c r="H45" s="531"/>
      <c r="I45" s="532"/>
      <c r="J45" s="533"/>
      <c r="K45" s="534"/>
      <c r="L45" s="535"/>
      <c r="M45" s="266"/>
      <c r="N45" s="267"/>
      <c r="O45" s="268"/>
    </row>
    <row r="46" spans="1:15" ht="30" customHeight="1">
      <c r="B46" s="571"/>
      <c r="C46" s="572"/>
      <c r="D46" s="573"/>
      <c r="E46" s="255"/>
      <c r="F46" s="256"/>
      <c r="G46" s="256"/>
      <c r="H46" s="256"/>
      <c r="I46" s="257"/>
      <c r="J46" s="266"/>
      <c r="K46" s="267"/>
      <c r="L46" s="268"/>
      <c r="M46" s="266"/>
      <c r="N46" s="267"/>
      <c r="O46" s="268"/>
    </row>
    <row r="47" spans="1:15" ht="44.25" customHeight="1">
      <c r="B47" s="556" t="s">
        <v>299</v>
      </c>
      <c r="C47" s="557"/>
      <c r="D47" s="558"/>
      <c r="E47" s="559" t="s">
        <v>274</v>
      </c>
      <c r="F47" s="560"/>
      <c r="G47" s="560"/>
      <c r="H47" s="560"/>
      <c r="I47" s="561"/>
      <c r="J47" s="559" t="s">
        <v>275</v>
      </c>
      <c r="K47" s="560"/>
      <c r="L47" s="561"/>
      <c r="M47" s="559" t="s">
        <v>276</v>
      </c>
      <c r="N47" s="560"/>
      <c r="O47" s="561"/>
    </row>
    <row r="48" spans="1:15" ht="33.75" customHeight="1">
      <c r="B48" s="246"/>
      <c r="C48" s="247"/>
      <c r="D48" s="247"/>
      <c r="E48" s="240"/>
      <c r="F48" s="242"/>
      <c r="G48" s="242"/>
      <c r="H48" s="242"/>
      <c r="I48" s="242"/>
      <c r="J48" s="240"/>
      <c r="K48" s="240"/>
      <c r="L48" s="241"/>
      <c r="M48" s="239"/>
      <c r="N48" s="240"/>
      <c r="O48" s="241"/>
    </row>
    <row r="49" spans="2:15" ht="15.75" customHeight="1">
      <c r="B49" s="553" t="s">
        <v>296</v>
      </c>
      <c r="C49" s="554"/>
      <c r="D49" s="554"/>
      <c r="E49" s="554"/>
      <c r="F49" s="554"/>
      <c r="G49" s="554"/>
      <c r="H49" s="554"/>
      <c r="I49" s="554"/>
      <c r="J49" s="554"/>
      <c r="K49" s="554"/>
      <c r="L49" s="555"/>
      <c r="M49" s="544" t="s">
        <v>286</v>
      </c>
      <c r="N49" s="545"/>
      <c r="O49" s="546"/>
    </row>
    <row r="50" spans="2:15">
      <c r="D50" s="226"/>
    </row>
    <row r="52" spans="2:15">
      <c r="D52" s="226"/>
    </row>
    <row r="53" spans="2:15">
      <c r="D53" s="226"/>
    </row>
  </sheetData>
  <mergeCells count="120">
    <mergeCell ref="E45:I45"/>
    <mergeCell ref="B43:D43"/>
    <mergeCell ref="M20:O20"/>
    <mergeCell ref="J21:L21"/>
    <mergeCell ref="M21:O21"/>
    <mergeCell ref="M22:O22"/>
    <mergeCell ref="B39:D39"/>
    <mergeCell ref="M38:O38"/>
    <mergeCell ref="E39:I39"/>
    <mergeCell ref="B37:D37"/>
    <mergeCell ref="B35:D35"/>
    <mergeCell ref="J35:L35"/>
    <mergeCell ref="B38:D38"/>
    <mergeCell ref="E38:I38"/>
    <mergeCell ref="J38:L38"/>
    <mergeCell ref="B36:D36"/>
    <mergeCell ref="E37:I37"/>
    <mergeCell ref="E35:I35"/>
    <mergeCell ref="B20:D20"/>
    <mergeCell ref="E20:I20"/>
    <mergeCell ref="B21:D21"/>
    <mergeCell ref="E21:I21"/>
    <mergeCell ref="B22:D22"/>
    <mergeCell ref="B23:D24"/>
    <mergeCell ref="E22:I22"/>
    <mergeCell ref="J22:L22"/>
    <mergeCell ref="J20:L20"/>
    <mergeCell ref="M40:O40"/>
    <mergeCell ref="B46:D46"/>
    <mergeCell ref="M23:O24"/>
    <mergeCell ref="E23:I23"/>
    <mergeCell ref="E24:I24"/>
    <mergeCell ref="E33:I33"/>
    <mergeCell ref="E34:I34"/>
    <mergeCell ref="E25:I25"/>
    <mergeCell ref="M25:O25"/>
    <mergeCell ref="J25:L25"/>
    <mergeCell ref="J23:L24"/>
    <mergeCell ref="M33:O33"/>
    <mergeCell ref="M34:O34"/>
    <mergeCell ref="B25:D25"/>
    <mergeCell ref="B33:D33"/>
    <mergeCell ref="B34:D34"/>
    <mergeCell ref="J33:L33"/>
    <mergeCell ref="J34:L34"/>
    <mergeCell ref="J43:L43"/>
    <mergeCell ref="J44:L44"/>
    <mergeCell ref="J45:L45"/>
    <mergeCell ref="E44:I44"/>
    <mergeCell ref="B44:D44"/>
    <mergeCell ref="B45:D45"/>
    <mergeCell ref="B12:D12"/>
    <mergeCell ref="J11:L11"/>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E42:I42"/>
    <mergeCell ref="E43:I43"/>
    <mergeCell ref="B42:D42"/>
    <mergeCell ref="E40:I40"/>
    <mergeCell ref="B41:D41"/>
    <mergeCell ref="B40:D40"/>
    <mergeCell ref="E41:I41"/>
    <mergeCell ref="J40:L40"/>
    <mergeCell ref="J19:L19"/>
    <mergeCell ref="E18:I18"/>
    <mergeCell ref="J18:L18"/>
    <mergeCell ref="B18:D18"/>
    <mergeCell ref="B15:D15"/>
    <mergeCell ref="B13:D13"/>
    <mergeCell ref="B16:O16"/>
    <mergeCell ref="J15:L15"/>
    <mergeCell ref="E13:I13"/>
    <mergeCell ref="J13:L13"/>
    <mergeCell ref="M14:O14"/>
    <mergeCell ref="B14:D14"/>
    <mergeCell ref="E14:I14"/>
    <mergeCell ref="B19:D19"/>
    <mergeCell ref="M19:O19"/>
    <mergeCell ref="M15:O15"/>
    <mergeCell ref="M13:O13"/>
    <mergeCell ref="M18:O18"/>
    <mergeCell ref="J14:L14"/>
    <mergeCell ref="E15:I15"/>
    <mergeCell ref="E19:I19"/>
    <mergeCell ref="M11:O11"/>
    <mergeCell ref="J12:L12"/>
    <mergeCell ref="M12:O12"/>
    <mergeCell ref="E12:I12"/>
    <mergeCell ref="B2:M2"/>
    <mergeCell ref="B5:O5"/>
    <mergeCell ref="M8:O8"/>
    <mergeCell ref="J8:L8"/>
    <mergeCell ref="E7:I7"/>
    <mergeCell ref="B7:D7"/>
    <mergeCell ref="E8:I8"/>
    <mergeCell ref="B11:D11"/>
    <mergeCell ref="B10:D10"/>
    <mergeCell ref="E10:I10"/>
    <mergeCell ref="J10:L10"/>
    <mergeCell ref="J7:L7"/>
    <mergeCell ref="M7:O7"/>
    <mergeCell ref="M10:O10"/>
    <mergeCell ref="B8:D8"/>
    <mergeCell ref="M9:O9"/>
    <mergeCell ref="B9:D9"/>
    <mergeCell ref="E9:I9"/>
    <mergeCell ref="J9:L9"/>
    <mergeCell ref="E11:I11"/>
  </mergeCells>
  <phoneticPr fontId="30" type="noConversion"/>
  <pageMargins left="0.70866141732283472" right="0.70866141732283472" top="0.74803149606299213" bottom="0.74803149606299213" header="0.31496062992125984" footer="0.31496062992125984"/>
  <pageSetup paperSize="9" scale="44" orientation="landscape"/>
  <headerFooter alignWithMargins="0">
    <oddFooter>&amp;L&amp;F&amp;C&amp;A&amp;RV1.0          &amp;D</oddFooter>
  </headerFooter>
  <rowBreaks count="1" manualBreakCount="1">
    <brk id="11"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52"/>
  <sheetViews>
    <sheetView showGridLines="0" tabSelected="1" topLeftCell="B49" workbookViewId="0">
      <selection activeCell="D63" sqref="D63"/>
    </sheetView>
  </sheetViews>
  <sheetFormatPr defaultColWidth="11" defaultRowHeight="15"/>
  <cols>
    <col min="1" max="1" width="2.7109375" customWidth="1"/>
    <col min="2" max="2" width="46.140625" customWidth="1"/>
    <col min="3" max="3" width="23" customWidth="1"/>
    <col min="4" max="4" width="19.140625" customWidth="1"/>
    <col min="5" max="5" width="16.42578125" customWidth="1"/>
    <col min="6" max="6" width="17.42578125" customWidth="1"/>
    <col min="7" max="7" width="16.42578125" customWidth="1"/>
    <col min="8" max="8" width="17.42578125" customWidth="1"/>
    <col min="9" max="9" width="16.28515625" customWidth="1"/>
    <col min="10" max="10" width="16.85546875" customWidth="1"/>
    <col min="11" max="11" width="16" customWidth="1"/>
    <col min="12" max="12" width="15.28515625" customWidth="1"/>
    <col min="13" max="13" width="15.42578125" customWidth="1"/>
    <col min="14" max="14" width="14.28515625" style="36" customWidth="1"/>
    <col min="15" max="15" width="15.4257812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3"/>
      <c r="F1" s="3"/>
      <c r="G1" s="3"/>
      <c r="H1" s="3"/>
      <c r="I1" s="3"/>
      <c r="J1" s="3"/>
      <c r="K1" s="3"/>
      <c r="L1" s="3"/>
      <c r="M1" s="3"/>
    </row>
    <row r="2" spans="1:13" ht="15.75" customHeight="1">
      <c r="A2" s="3"/>
      <c r="B2" s="669" t="s">
        <v>375</v>
      </c>
      <c r="C2" s="669"/>
      <c r="D2" s="669"/>
      <c r="E2" s="669"/>
      <c r="F2" s="669"/>
      <c r="G2" s="669"/>
      <c r="H2" s="669"/>
      <c r="I2" s="669"/>
      <c r="J2" s="669"/>
      <c r="K2" s="290"/>
      <c r="L2" s="290"/>
      <c r="M2" s="290"/>
    </row>
    <row r="3" spans="1:13" ht="4.5" customHeight="1">
      <c r="A3" s="3"/>
      <c r="B3" s="3"/>
      <c r="C3" s="3"/>
      <c r="D3" s="3"/>
      <c r="E3" s="3"/>
      <c r="F3" s="3"/>
      <c r="G3" s="3"/>
      <c r="H3" s="3"/>
      <c r="I3" s="3"/>
      <c r="J3" s="3"/>
      <c r="K3" s="3"/>
      <c r="L3" s="3"/>
      <c r="M3" s="3"/>
    </row>
    <row r="4" spans="1:13">
      <c r="A4" s="3"/>
      <c r="B4" s="288" t="s">
        <v>26</v>
      </c>
      <c r="C4" s="678" t="s">
        <v>177</v>
      </c>
      <c r="D4" s="679"/>
      <c r="E4" s="682" t="s">
        <v>12</v>
      </c>
      <c r="F4" s="682"/>
      <c r="G4" s="683" t="s">
        <v>430</v>
      </c>
      <c r="H4" s="684"/>
      <c r="I4" s="684"/>
      <c r="J4" s="685"/>
      <c r="K4" s="3"/>
      <c r="L4" s="3"/>
      <c r="M4" s="3"/>
    </row>
    <row r="5" spans="1:13" ht="3" customHeight="1">
      <c r="A5" s="3"/>
      <c r="B5" s="288"/>
      <c r="C5" s="3"/>
      <c r="D5" s="3"/>
      <c r="E5" s="291"/>
      <c r="F5" s="291"/>
      <c r="G5" s="3"/>
      <c r="H5" s="3"/>
      <c r="I5" s="3"/>
      <c r="J5" s="3"/>
      <c r="K5" s="3"/>
      <c r="L5" s="3"/>
      <c r="M5" s="3"/>
    </row>
    <row r="6" spans="1:13">
      <c r="A6" s="3"/>
      <c r="B6" s="288" t="s">
        <v>117</v>
      </c>
      <c r="C6" s="678" t="s">
        <v>421</v>
      </c>
      <c r="D6" s="679"/>
      <c r="E6" s="682" t="s">
        <v>27</v>
      </c>
      <c r="F6" s="682"/>
      <c r="G6" s="319" t="s">
        <v>35</v>
      </c>
      <c r="H6" s="288" t="s">
        <v>322</v>
      </c>
      <c r="I6" s="686">
        <v>12125491</v>
      </c>
      <c r="J6" s="687"/>
      <c r="K6" s="3"/>
      <c r="L6" s="3"/>
      <c r="M6" s="3"/>
    </row>
    <row r="7" spans="1:13" ht="3" customHeight="1">
      <c r="A7" s="3"/>
      <c r="B7" s="288"/>
      <c r="C7" s="3"/>
      <c r="D7" s="3"/>
      <c r="E7" s="291"/>
      <c r="F7" s="291"/>
      <c r="G7" s="3"/>
      <c r="H7" s="288"/>
      <c r="I7" s="3"/>
      <c r="J7" s="3"/>
      <c r="K7" s="3"/>
      <c r="L7" s="3"/>
      <c r="M7" s="3"/>
    </row>
    <row r="8" spans="1:13">
      <c r="A8" s="3"/>
      <c r="B8" s="288" t="s">
        <v>269</v>
      </c>
      <c r="C8" s="678" t="s">
        <v>420</v>
      </c>
      <c r="D8" s="679"/>
      <c r="E8" s="292"/>
      <c r="F8" s="287" t="s">
        <v>324</v>
      </c>
      <c r="G8" s="403" t="s">
        <v>424</v>
      </c>
      <c r="H8" s="287" t="s">
        <v>323</v>
      </c>
      <c r="I8" s="678" t="s">
        <v>18</v>
      </c>
      <c r="J8" s="679"/>
      <c r="K8" s="3"/>
      <c r="L8" s="3"/>
      <c r="M8" s="3"/>
    </row>
    <row r="9" spans="1:13" ht="3" customHeight="1">
      <c r="A9" s="3"/>
      <c r="B9" s="291"/>
      <c r="C9" s="3"/>
      <c r="D9" s="3"/>
      <c r="E9" s="291"/>
      <c r="F9" s="291"/>
      <c r="G9" s="3"/>
      <c r="H9" s="3"/>
      <c r="I9" s="3"/>
      <c r="J9" s="3"/>
      <c r="K9" s="3"/>
      <c r="L9" s="3"/>
      <c r="M9" s="3"/>
    </row>
    <row r="10" spans="1:13">
      <c r="A10" s="3"/>
      <c r="B10" s="288" t="s">
        <v>405</v>
      </c>
      <c r="C10" s="680">
        <v>42736</v>
      </c>
      <c r="D10" s="681"/>
      <c r="E10" s="677" t="s">
        <v>31</v>
      </c>
      <c r="F10" s="676"/>
      <c r="G10" s="678" t="s">
        <v>263</v>
      </c>
      <c r="H10" s="689"/>
      <c r="I10" s="689"/>
      <c r="J10" s="679"/>
      <c r="K10" s="3"/>
      <c r="L10" s="3"/>
      <c r="M10" s="3"/>
    </row>
    <row r="11" spans="1:13" ht="5.25" customHeight="1">
      <c r="A11" s="3"/>
      <c r="B11" s="3"/>
      <c r="C11" s="3"/>
      <c r="D11" s="3"/>
      <c r="E11" s="3"/>
      <c r="F11" s="3"/>
      <c r="G11" s="3"/>
      <c r="H11" s="3"/>
      <c r="I11" s="3"/>
      <c r="J11" s="3"/>
      <c r="K11" s="3"/>
      <c r="L11" s="3"/>
      <c r="M11" s="3"/>
    </row>
    <row r="12" spans="1:13" ht="15" customHeight="1">
      <c r="A12" s="3"/>
      <c r="B12" s="288" t="s">
        <v>29</v>
      </c>
      <c r="C12" s="655" t="s">
        <v>45</v>
      </c>
      <c r="D12" s="655"/>
      <c r="E12" s="677" t="s">
        <v>290</v>
      </c>
      <c r="F12" s="682"/>
      <c r="G12" s="688"/>
      <c r="H12" s="688"/>
      <c r="I12" s="688"/>
      <c r="J12" s="688"/>
      <c r="K12" s="3"/>
      <c r="L12" s="3"/>
      <c r="M12" s="3"/>
    </row>
    <row r="13" spans="1:13" ht="5.25" customHeight="1">
      <c r="A13" s="3"/>
      <c r="B13" s="3"/>
      <c r="C13" s="3"/>
      <c r="D13" s="3"/>
      <c r="E13" s="3"/>
      <c r="F13" s="3"/>
      <c r="G13" s="3"/>
      <c r="H13" s="3"/>
      <c r="I13" s="3"/>
      <c r="J13" s="3"/>
      <c r="K13" s="3"/>
      <c r="L13" s="3"/>
      <c r="M13" s="3"/>
    </row>
    <row r="14" spans="1:13" ht="15.75" customHeight="1">
      <c r="A14" s="3"/>
      <c r="B14" s="669" t="s">
        <v>2</v>
      </c>
      <c r="C14" s="669"/>
      <c r="D14" s="669"/>
      <c r="E14" s="669"/>
      <c r="F14" s="669"/>
      <c r="G14" s="669"/>
      <c r="H14" s="669"/>
      <c r="I14" s="669"/>
      <c r="J14" s="669"/>
      <c r="K14" s="3"/>
      <c r="L14" s="3"/>
      <c r="M14" s="3"/>
    </row>
    <row r="15" spans="1:13" ht="3" customHeight="1">
      <c r="A15" s="3"/>
      <c r="B15" s="3"/>
      <c r="C15" s="3"/>
      <c r="D15" s="3"/>
      <c r="E15" s="3"/>
      <c r="F15" s="3"/>
      <c r="G15" s="3"/>
      <c r="H15" s="3"/>
      <c r="I15" s="3"/>
      <c r="J15" s="3"/>
      <c r="K15" s="3"/>
      <c r="L15" s="3"/>
      <c r="M15" s="3"/>
    </row>
    <row r="16" spans="1:13">
      <c r="A16" s="3"/>
      <c r="B16" s="288" t="s">
        <v>21</v>
      </c>
      <c r="C16" s="403" t="s">
        <v>288</v>
      </c>
      <c r="D16" s="287" t="s">
        <v>325</v>
      </c>
      <c r="E16" s="293">
        <v>43831</v>
      </c>
      <c r="F16" s="289" t="s">
        <v>8</v>
      </c>
      <c r="G16" s="293">
        <v>43921</v>
      </c>
      <c r="H16" s="677" t="s">
        <v>326</v>
      </c>
      <c r="I16" s="676"/>
      <c r="J16" s="481">
        <v>43528</v>
      </c>
      <c r="K16" s="3"/>
      <c r="L16" s="3"/>
      <c r="M16" s="3"/>
    </row>
    <row r="17" spans="1:35" ht="3" customHeight="1">
      <c r="A17" s="3"/>
      <c r="B17" s="3"/>
      <c r="C17" s="3"/>
      <c r="D17" s="3"/>
      <c r="E17" s="3"/>
      <c r="F17" s="3"/>
      <c r="G17" s="3"/>
      <c r="H17" s="3"/>
      <c r="I17" s="3"/>
      <c r="J17" s="3"/>
      <c r="K17" s="3"/>
      <c r="L17" s="3"/>
      <c r="M17" s="3"/>
    </row>
    <row r="18" spans="1:35">
      <c r="A18" s="3"/>
      <c r="B18" s="675" t="s">
        <v>32</v>
      </c>
      <c r="C18" s="676"/>
      <c r="D18" s="656" t="s">
        <v>442</v>
      </c>
      <c r="E18" s="656"/>
      <c r="F18" s="656"/>
      <c r="G18" s="294"/>
      <c r="H18" s="294"/>
      <c r="I18" s="294"/>
      <c r="J18" s="294"/>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69" t="s">
        <v>363</v>
      </c>
      <c r="C21" s="669"/>
      <c r="D21" s="669"/>
      <c r="E21" s="669"/>
      <c r="F21" s="669"/>
      <c r="G21" s="669"/>
      <c r="H21" s="669"/>
      <c r="I21" s="669"/>
      <c r="J21" s="669"/>
      <c r="K21" s="3"/>
      <c r="L21" s="3"/>
      <c r="M21" s="3"/>
    </row>
    <row r="22" spans="1:35">
      <c r="A22" s="3"/>
      <c r="B22" s="291" t="s">
        <v>3</v>
      </c>
      <c r="C22" s="3"/>
      <c r="D22" s="3"/>
      <c r="E22" s="295"/>
      <c r="F22" s="295"/>
      <c r="G22" s="3"/>
      <c r="H22" s="3"/>
      <c r="I22" s="295"/>
      <c r="J22" s="295"/>
      <c r="K22" s="3"/>
      <c r="L22" s="3"/>
      <c r="M22" s="3"/>
    </row>
    <row r="23" spans="1:35" ht="3" customHeight="1">
      <c r="A23" s="3"/>
      <c r="B23" s="3"/>
      <c r="C23" s="3"/>
      <c r="D23" s="3"/>
      <c r="E23" s="3"/>
      <c r="F23" s="3"/>
      <c r="G23" s="3"/>
      <c r="H23" s="3"/>
      <c r="I23" s="3"/>
      <c r="J23" s="3"/>
      <c r="K23" s="3"/>
      <c r="L23" s="3"/>
      <c r="M23" s="3"/>
    </row>
    <row r="24" spans="1:35" ht="15.75" thickBot="1">
      <c r="A24" s="3"/>
      <c r="B24" s="288" t="s">
        <v>400</v>
      </c>
      <c r="C24" s="390"/>
      <c r="D24" s="682" t="s">
        <v>401</v>
      </c>
      <c r="E24" s="682"/>
      <c r="F24" s="391"/>
      <c r="G24" s="682" t="s">
        <v>402</v>
      </c>
      <c r="H24" s="682"/>
      <c r="I24" s="690"/>
      <c r="J24" s="691"/>
      <c r="K24" s="3"/>
      <c r="L24" s="3"/>
      <c r="M24" s="3"/>
      <c r="N24" s="20"/>
    </row>
    <row r="25" spans="1:35" ht="19.5" thickBot="1">
      <c r="A25" s="3"/>
      <c r="B25" s="87" t="s">
        <v>400</v>
      </c>
      <c r="C25" s="88"/>
      <c r="D25" s="88"/>
      <c r="E25" s="88"/>
      <c r="F25" s="88"/>
      <c r="G25" s="88"/>
      <c r="H25" s="274"/>
      <c r="I25" s="89"/>
      <c r="J25" s="89"/>
      <c r="K25" s="274" t="s">
        <v>327</v>
      </c>
      <c r="L25" s="88"/>
      <c r="M25" s="88"/>
      <c r="N25" s="411"/>
      <c r="O25" s="40"/>
      <c r="AI25" s="44"/>
    </row>
    <row r="26" spans="1:35">
      <c r="A26" s="3"/>
      <c r="B26" s="661" t="s">
        <v>371</v>
      </c>
      <c r="C26" s="662"/>
      <c r="D26" s="424" t="s">
        <v>19</v>
      </c>
      <c r="E26" s="91"/>
      <c r="F26" s="91"/>
      <c r="G26" s="91"/>
      <c r="H26" s="91"/>
      <c r="I26" s="91"/>
      <c r="J26" s="92"/>
      <c r="K26" s="91"/>
      <c r="L26" s="91"/>
      <c r="M26" s="91"/>
      <c r="N26" s="40"/>
      <c r="O26" s="40"/>
      <c r="AI26" s="44"/>
    </row>
    <row r="27" spans="1:35" ht="18.75">
      <c r="A27" s="3"/>
      <c r="B27" s="90" t="s">
        <v>381</v>
      </c>
      <c r="C27" s="91"/>
      <c r="D27" s="91"/>
      <c r="E27" s="91"/>
      <c r="F27" s="91"/>
      <c r="G27" s="91"/>
      <c r="H27" s="91"/>
      <c r="I27" s="91"/>
      <c r="J27" s="92"/>
      <c r="K27" s="91"/>
      <c r="L27" s="91"/>
      <c r="M27" s="91"/>
      <c r="N27" s="40"/>
      <c r="O27" s="40"/>
      <c r="AI27" s="44"/>
    </row>
    <row r="28" spans="1:35" ht="15.75" thickBot="1">
      <c r="A28" s="3"/>
      <c r="B28" s="3"/>
      <c r="C28" s="3"/>
      <c r="D28" s="3"/>
      <c r="E28" s="3"/>
      <c r="F28" s="3"/>
      <c r="G28" s="3"/>
      <c r="H28" s="3"/>
      <c r="I28" s="3"/>
      <c r="J28" s="3"/>
      <c r="K28" s="3"/>
      <c r="L28" s="3"/>
      <c r="M28" s="3"/>
    </row>
    <row r="29" spans="1:35" ht="15.75" thickBot="1">
      <c r="A29" s="3"/>
      <c r="B29" s="693" t="s">
        <v>60</v>
      </c>
      <c r="C29" s="694"/>
      <c r="D29" s="694"/>
      <c r="E29" s="694"/>
      <c r="F29" s="694"/>
      <c r="G29" s="694"/>
      <c r="H29" s="694"/>
      <c r="I29" s="694"/>
      <c r="J29" s="694"/>
      <c r="K29" s="694"/>
      <c r="L29" s="694"/>
      <c r="M29" s="694"/>
      <c r="N29" s="695"/>
      <c r="P29" s="211"/>
      <c r="Q29" s="212"/>
      <c r="R29" s="213">
        <f>+C33</f>
        <v>444558.86488592584</v>
      </c>
      <c r="S29" s="211"/>
    </row>
    <row r="30" spans="1:35">
      <c r="A30" s="3"/>
      <c r="B30" s="93" t="s">
        <v>268</v>
      </c>
      <c r="C30" s="371" t="s">
        <v>106</v>
      </c>
      <c r="D30" s="371" t="s">
        <v>107</v>
      </c>
      <c r="E30" s="371" t="s">
        <v>108</v>
      </c>
      <c r="F30" s="371" t="s">
        <v>109</v>
      </c>
      <c r="G30" s="371" t="s">
        <v>121</v>
      </c>
      <c r="H30" s="371" t="s">
        <v>122</v>
      </c>
      <c r="I30" s="371" t="s">
        <v>123</v>
      </c>
      <c r="J30" s="371" t="s">
        <v>124</v>
      </c>
      <c r="K30" s="371" t="s">
        <v>125</v>
      </c>
      <c r="L30" s="371" t="s">
        <v>126</v>
      </c>
      <c r="M30" s="371" t="s">
        <v>127</v>
      </c>
      <c r="N30" s="372" t="s">
        <v>288</v>
      </c>
      <c r="O30" s="373" t="s">
        <v>4</v>
      </c>
      <c r="P30" s="211"/>
      <c r="Q30" s="212"/>
      <c r="R30" s="213">
        <f>+D33</f>
        <v>2614252.7382121803</v>
      </c>
      <c r="S30" s="211"/>
    </row>
    <row r="31" spans="1:35">
      <c r="A31" s="3"/>
      <c r="B31" s="284" t="str">
        <f>CONCATENATE("Budget (in ",'Data Entry'!$D$26,")")</f>
        <v>Budget (in $)</v>
      </c>
      <c r="C31" s="383">
        <v>444558.86488592584</v>
      </c>
      <c r="D31" s="382">
        <v>2169693.8733262545</v>
      </c>
      <c r="E31" s="382">
        <v>1537816.9650550163</v>
      </c>
      <c r="F31" s="382">
        <v>1536942.7249900626</v>
      </c>
      <c r="G31" s="382">
        <v>705914.63009024388</v>
      </c>
      <c r="H31" s="382">
        <v>1524545.7024829609</v>
      </c>
      <c r="I31" s="382">
        <v>1108922.3783291313</v>
      </c>
      <c r="J31" s="382">
        <v>473041.77150525991</v>
      </c>
      <c r="K31" s="382">
        <v>515541.4678072643</v>
      </c>
      <c r="L31" s="382">
        <v>1002225.2847618536</v>
      </c>
      <c r="M31" s="382">
        <v>764900.50255428348</v>
      </c>
      <c r="N31" s="382">
        <v>341386.51477899484</v>
      </c>
      <c r="O31" s="609">
        <f>+SUM(C35:N35)</f>
        <v>0.99999980697133706</v>
      </c>
      <c r="P31" s="211"/>
      <c r="Q31" s="212"/>
      <c r="R31" s="213">
        <f>+E33</f>
        <v>4152069.7032671967</v>
      </c>
      <c r="S31" s="211"/>
    </row>
    <row r="32" spans="1:35">
      <c r="A32" s="3"/>
      <c r="B32" s="93" t="str">
        <f>CONCATENATE("Disbursements by GF (in ", $D$26,")")</f>
        <v>Disbursements by GF (in $)</v>
      </c>
      <c r="C32" s="383">
        <f>444559+428004</f>
        <v>872563</v>
      </c>
      <c r="D32" s="383"/>
      <c r="E32" s="383">
        <f>854012+2416543</f>
        <v>3270555</v>
      </c>
      <c r="F32" s="383">
        <f>1536942+25000</f>
        <v>1561942</v>
      </c>
      <c r="G32" s="383">
        <v>655915</v>
      </c>
      <c r="H32" s="383">
        <v>1524546</v>
      </c>
      <c r="I32" s="383">
        <v>0</v>
      </c>
      <c r="J32" s="382">
        <v>153849.34</v>
      </c>
      <c r="K32" s="382">
        <v>0</v>
      </c>
      <c r="L32" s="382">
        <v>921570.49</v>
      </c>
      <c r="M32" s="382">
        <v>1558841.77</v>
      </c>
      <c r="N32" s="382">
        <v>1605705.74</v>
      </c>
      <c r="O32" s="610"/>
      <c r="P32" s="211"/>
      <c r="Q32" s="212"/>
      <c r="R32" s="213">
        <f>+F33</f>
        <v>5689012.4282572595</v>
      </c>
      <c r="S32" s="211"/>
    </row>
    <row r="33" spans="1:35">
      <c r="A33" s="3"/>
      <c r="B33" s="94" t="s">
        <v>387</v>
      </c>
      <c r="C33" s="384">
        <f>+C31</f>
        <v>444558.86488592584</v>
      </c>
      <c r="D33" s="384">
        <f>IF(AND(D31=0,D32=0),0,+C33+D31)</f>
        <v>2614252.7382121803</v>
      </c>
      <c r="E33" s="384">
        <f t="shared" ref="E33:N33" si="0">IF(AND(E31=0,E32=0),0,+D33+E31)</f>
        <v>4152069.7032671967</v>
      </c>
      <c r="F33" s="384">
        <f t="shared" si="0"/>
        <v>5689012.4282572595</v>
      </c>
      <c r="G33" s="384">
        <f>IF(AND(G31=0,G32=0),0,+F33+G31)</f>
        <v>6394927.0583475037</v>
      </c>
      <c r="H33" s="384">
        <f t="shared" si="0"/>
        <v>7919472.7608304648</v>
      </c>
      <c r="I33" s="384">
        <f t="shared" si="0"/>
        <v>9028395.1391595956</v>
      </c>
      <c r="J33" s="384">
        <f>IF(AND(J31=0,J32=0),0,+I33+J31)</f>
        <v>9501436.9106648564</v>
      </c>
      <c r="K33" s="384">
        <f t="shared" si="0"/>
        <v>10016978.378472121</v>
      </c>
      <c r="L33" s="384">
        <f t="shared" si="0"/>
        <v>11019203.663233975</v>
      </c>
      <c r="M33" s="384">
        <f t="shared" si="0"/>
        <v>11784104.165788259</v>
      </c>
      <c r="N33" s="384">
        <f t="shared" si="0"/>
        <v>12125490.680567253</v>
      </c>
      <c r="O33" s="610"/>
      <c r="P33" s="368"/>
      <c r="Q33" s="212"/>
      <c r="R33" s="213">
        <f>+G33</f>
        <v>6394927.0583475037</v>
      </c>
      <c r="S33" s="211"/>
    </row>
    <row r="34" spans="1:35" ht="15.75" thickBot="1">
      <c r="A34" s="3"/>
      <c r="B34" s="95" t="s">
        <v>388</v>
      </c>
      <c r="C34" s="385">
        <f>+C32</f>
        <v>872563</v>
      </c>
      <c r="D34" s="385">
        <f>IF(AND(D31=0,D32=0),0,+C34+D32)</f>
        <v>872563</v>
      </c>
      <c r="E34" s="385">
        <f t="shared" ref="E34:N34" si="1">IF(AND(E31=0,E32=0),0,+D34+E32)</f>
        <v>4143118</v>
      </c>
      <c r="F34" s="385">
        <f t="shared" si="1"/>
        <v>5705060</v>
      </c>
      <c r="G34" s="385">
        <f>IF(AND(G31=0,G32=0),0,+F34+G32)</f>
        <v>6360975</v>
      </c>
      <c r="H34" s="385">
        <f t="shared" si="1"/>
        <v>7885521</v>
      </c>
      <c r="I34" s="385">
        <f t="shared" si="1"/>
        <v>7885521</v>
      </c>
      <c r="J34" s="385">
        <f t="shared" si="1"/>
        <v>8039370.3399999999</v>
      </c>
      <c r="K34" s="385">
        <f t="shared" si="1"/>
        <v>8039370.3399999999</v>
      </c>
      <c r="L34" s="385">
        <f t="shared" si="1"/>
        <v>8960940.8300000001</v>
      </c>
      <c r="M34" s="385">
        <f t="shared" si="1"/>
        <v>10519782.6</v>
      </c>
      <c r="N34" s="385">
        <f t="shared" si="1"/>
        <v>12125488.34</v>
      </c>
      <c r="O34" s="611"/>
      <c r="P34" s="368"/>
      <c r="Q34" s="212"/>
      <c r="R34" s="213">
        <f>+H33</f>
        <v>7919472.7608304648</v>
      </c>
      <c r="S34" s="211"/>
    </row>
    <row r="35" spans="1:35">
      <c r="A35" s="3"/>
      <c r="B35" s="3"/>
      <c r="C35" s="347">
        <f>+IF(AND(C30=$C$16,C33&lt;&gt;0),C34/C33,0)</f>
        <v>0</v>
      </c>
      <c r="D35" s="347">
        <f t="shared" ref="D35:N35" si="2">+IF(AND(D30=$C$16,D33&lt;&gt;0),D34/D33,0)</f>
        <v>0</v>
      </c>
      <c r="E35" s="347">
        <f t="shared" si="2"/>
        <v>0</v>
      </c>
      <c r="F35" s="347">
        <f t="shared" si="2"/>
        <v>0</v>
      </c>
      <c r="G35" s="347">
        <f t="shared" si="2"/>
        <v>0</v>
      </c>
      <c r="H35" s="347">
        <f t="shared" si="2"/>
        <v>0</v>
      </c>
      <c r="I35" s="347">
        <f t="shared" si="2"/>
        <v>0</v>
      </c>
      <c r="J35" s="347">
        <f t="shared" si="2"/>
        <v>0</v>
      </c>
      <c r="K35" s="347">
        <f t="shared" si="2"/>
        <v>0</v>
      </c>
      <c r="L35" s="347">
        <f t="shared" si="2"/>
        <v>0</v>
      </c>
      <c r="M35" s="347">
        <f t="shared" si="2"/>
        <v>0</v>
      </c>
      <c r="N35" s="347">
        <f t="shared" si="2"/>
        <v>0.99999980697133706</v>
      </c>
      <c r="O35" s="296"/>
      <c r="P35" s="214"/>
      <c r="Q35" s="215"/>
      <c r="R35" s="213">
        <f>+I33</f>
        <v>9028395.1391595956</v>
      </c>
      <c r="S35" s="211"/>
    </row>
    <row r="36" spans="1:35" ht="18.75">
      <c r="A36" s="3"/>
      <c r="B36" s="90" t="s">
        <v>380</v>
      </c>
      <c r="C36" s="3"/>
      <c r="D36" s="3"/>
      <c r="E36" s="361"/>
      <c r="F36" s="3"/>
      <c r="G36" s="265"/>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394" t="s">
        <v>404</v>
      </c>
      <c r="C38" s="395" t="str">
        <f>CONCATENATE("Cumulative Budget (in ",'Data Entry'!$D$26,")")</f>
        <v>Cumulative Budget (in $)</v>
      </c>
      <c r="D38" s="396" t="str">
        <f>CONCATENATE("Cumulative Expenditures (in ",'Data Entry'!$D$26,")")</f>
        <v>Cumulative Expenditures (in $)</v>
      </c>
      <c r="E38" s="280"/>
      <c r="F38" s="491"/>
      <c r="G38" s="3"/>
      <c r="H38" s="3"/>
      <c r="I38" s="3"/>
      <c r="J38" s="101"/>
      <c r="K38" s="42"/>
      <c r="N38"/>
      <c r="O38"/>
      <c r="AE38" s="20"/>
      <c r="AF38" s="36"/>
    </row>
    <row r="39" spans="1:35" ht="27.75" customHeight="1">
      <c r="A39" s="3"/>
      <c r="B39" s="397" t="s">
        <v>434</v>
      </c>
      <c r="C39" s="393">
        <v>8304568.9276775159</v>
      </c>
      <c r="D39" s="489">
        <v>8891182.3848383091</v>
      </c>
      <c r="E39" s="369"/>
      <c r="F39" s="485"/>
      <c r="G39" s="370"/>
      <c r="H39" s="496"/>
      <c r="I39" s="205"/>
      <c r="J39" s="102"/>
      <c r="K39" s="43"/>
      <c r="N39"/>
      <c r="O39"/>
      <c r="AE39" s="20"/>
      <c r="AF39" s="36"/>
    </row>
    <row r="40" spans="1:35" ht="14.25" customHeight="1">
      <c r="A40" s="3"/>
      <c r="B40" s="397" t="s">
        <v>435</v>
      </c>
      <c r="C40" s="393">
        <v>1073038.1964587213</v>
      </c>
      <c r="D40" s="489">
        <v>877820.65613768226</v>
      </c>
      <c r="E40" s="369"/>
      <c r="F40" s="485"/>
      <c r="G40" s="370"/>
      <c r="H40" s="496"/>
      <c r="I40" s="205"/>
      <c r="J40" s="3"/>
      <c r="K40" s="43"/>
      <c r="N40"/>
      <c r="O40"/>
      <c r="AE40" s="20"/>
      <c r="AF40" s="36"/>
    </row>
    <row r="41" spans="1:35" ht="18" customHeight="1">
      <c r="A41" s="3"/>
      <c r="B41" s="399" t="s">
        <v>436</v>
      </c>
      <c r="C41" s="393">
        <v>179020.462790597</v>
      </c>
      <c r="D41" s="489">
        <v>137769.60548093973</v>
      </c>
      <c r="E41" s="369"/>
      <c r="F41" s="485"/>
      <c r="G41" s="3"/>
      <c r="H41" s="496"/>
      <c r="I41" s="205"/>
      <c r="J41" s="3"/>
      <c r="K41" s="43"/>
      <c r="N41"/>
      <c r="O41"/>
      <c r="AE41" s="20"/>
      <c r="AF41" s="36"/>
    </row>
    <row r="42" spans="1:35" ht="27" customHeight="1">
      <c r="A42" s="3"/>
      <c r="B42" s="397" t="s">
        <v>437</v>
      </c>
      <c r="C42" s="393">
        <v>902712.64556907234</v>
      </c>
      <c r="D42" s="489">
        <v>793295.68307760905</v>
      </c>
      <c r="E42" s="369"/>
      <c r="F42" s="485"/>
      <c r="G42" s="3"/>
      <c r="H42" s="496"/>
      <c r="I42" s="205"/>
      <c r="J42" s="3"/>
      <c r="K42" s="20"/>
      <c r="N42"/>
      <c r="O42"/>
      <c r="AE42" s="20"/>
      <c r="AF42" s="36"/>
    </row>
    <row r="43" spans="1:35">
      <c r="A43" s="3"/>
      <c r="B43" s="399" t="s">
        <v>438</v>
      </c>
      <c r="C43" s="393">
        <v>892300.96540975804</v>
      </c>
      <c r="D43" s="489">
        <v>798778.55303018016</v>
      </c>
      <c r="E43" s="369"/>
      <c r="F43" s="485"/>
      <c r="G43" s="3"/>
      <c r="H43" s="496"/>
      <c r="I43" s="205"/>
      <c r="J43" s="3"/>
      <c r="K43" s="20"/>
      <c r="N43"/>
      <c r="O43"/>
      <c r="AE43" s="20"/>
      <c r="AF43" s="36"/>
    </row>
    <row r="44" spans="1:35">
      <c r="A44" s="3"/>
      <c r="B44" s="399" t="s">
        <v>439</v>
      </c>
      <c r="C44" s="393">
        <v>553229.49045413232</v>
      </c>
      <c r="D44" s="489">
        <v>435083.80650697515</v>
      </c>
      <c r="E44" s="369"/>
      <c r="F44" s="485"/>
      <c r="G44" s="3"/>
      <c r="H44" s="496"/>
      <c r="I44" s="205"/>
      <c r="J44" s="3"/>
      <c r="K44" s="20"/>
      <c r="N44"/>
      <c r="O44"/>
      <c r="AE44" s="20"/>
      <c r="AF44" s="36"/>
    </row>
    <row r="45" spans="1:35">
      <c r="A45" s="3"/>
      <c r="B45" s="399" t="s">
        <v>440</v>
      </c>
      <c r="C45" s="393">
        <v>220619.99220745487</v>
      </c>
      <c r="D45" s="489">
        <v>163520.38517769938</v>
      </c>
      <c r="E45" s="369"/>
      <c r="F45" s="485"/>
      <c r="G45" s="15"/>
      <c r="H45" s="496"/>
      <c r="I45" s="205"/>
      <c r="J45" s="15"/>
      <c r="K45" s="20"/>
      <c r="N45"/>
      <c r="O45"/>
      <c r="AE45" s="36"/>
      <c r="AF45" s="36"/>
    </row>
    <row r="46" spans="1:35" ht="15.75" thickBot="1">
      <c r="A46" s="3"/>
      <c r="B46" s="400"/>
      <c r="C46" s="392"/>
      <c r="D46" s="489"/>
      <c r="E46" s="369"/>
      <c r="F46" s="369"/>
      <c r="G46" s="15"/>
      <c r="H46" s="15"/>
      <c r="I46" s="15"/>
      <c r="J46" s="15"/>
      <c r="K46" s="20"/>
      <c r="N46"/>
      <c r="O46"/>
      <c r="AE46" s="36"/>
      <c r="AF46" s="36"/>
    </row>
    <row r="47" spans="1:35" ht="15.75" thickBot="1">
      <c r="A47" s="3"/>
      <c r="B47" s="401" t="s">
        <v>59</v>
      </c>
      <c r="C47" s="402">
        <f>ROUNDUP(SUM(C39:C46),2)</f>
        <v>12125490.689999999</v>
      </c>
      <c r="D47" s="402">
        <f>ROUNDUP(SUM(D39:D46),2)</f>
        <v>12097451.08</v>
      </c>
      <c r="E47" s="296"/>
      <c r="F47" s="619" t="str">
        <f ca="1">+IF((ROUND(C47,0)=ROUND(OFFSET(B33,0,RIGHT('Data Entry'!$C$16,LEN('Data Entry'!$C$16)-1),1,1),0)),"OK: Data match","Warning: Data does not match")</f>
        <v>OK: Data match</v>
      </c>
      <c r="G47" s="620"/>
      <c r="H47" s="620"/>
      <c r="I47" s="621"/>
      <c r="J47" s="205"/>
      <c r="K47" s="205"/>
      <c r="L47" s="205"/>
      <c r="M47" s="214"/>
      <c r="N47" s="215"/>
      <c r="O47" s="213"/>
      <c r="P47" s="211"/>
      <c r="AE47" s="36"/>
      <c r="AF47" s="36"/>
    </row>
    <row r="48" spans="1:35">
      <c r="A48" s="3"/>
      <c r="B48" s="3"/>
      <c r="C48" s="205"/>
      <c r="D48" s="205"/>
      <c r="E48" s="277"/>
      <c r="F48" s="205"/>
      <c r="G48" s="205"/>
      <c r="H48" s="205"/>
      <c r="I48" s="205"/>
      <c r="J48" s="205"/>
      <c r="K48" s="205"/>
      <c r="L48" s="205"/>
      <c r="M48" s="205"/>
      <c r="N48" s="205"/>
      <c r="O48" s="205"/>
      <c r="P48" s="214"/>
      <c r="Q48" s="215"/>
      <c r="R48" s="213"/>
      <c r="S48" s="211"/>
    </row>
    <row r="49" spans="1:35" ht="18.75">
      <c r="A49" s="3"/>
      <c r="B49" s="90" t="s">
        <v>379</v>
      </c>
      <c r="C49" s="3"/>
      <c r="D49" s="3"/>
      <c r="E49" s="3"/>
      <c r="F49" s="3"/>
      <c r="G49" s="3"/>
      <c r="H49" s="3"/>
      <c r="I49" s="3"/>
      <c r="J49" s="3"/>
      <c r="K49" s="3"/>
      <c r="L49" s="3"/>
      <c r="M49" s="3"/>
      <c r="P49" s="211"/>
      <c r="Q49" s="212"/>
      <c r="R49" s="213">
        <f>+J33</f>
        <v>9501436.9106648564</v>
      </c>
      <c r="S49" s="211"/>
    </row>
    <row r="50" spans="1:35" ht="15.75" thickBot="1">
      <c r="A50" s="3"/>
      <c r="B50" s="3"/>
      <c r="C50" s="3"/>
      <c r="D50" s="3"/>
      <c r="E50" s="3"/>
      <c r="F50" s="3"/>
      <c r="G50" s="3"/>
      <c r="H50" s="3"/>
      <c r="I50" s="3"/>
      <c r="J50" s="3"/>
      <c r="K50" s="3"/>
      <c r="L50" s="3"/>
      <c r="M50" s="3"/>
      <c r="P50" s="211"/>
      <c r="Q50" s="212"/>
      <c r="R50" s="213">
        <f>+K33</f>
        <v>10016978.378472121</v>
      </c>
      <c r="S50" s="211"/>
    </row>
    <row r="51" spans="1:35" ht="35.25" customHeight="1">
      <c r="A51" s="3"/>
      <c r="B51" s="300"/>
      <c r="C51" s="301" t="s">
        <v>377</v>
      </c>
      <c r="D51" s="301" t="s">
        <v>378</v>
      </c>
      <c r="E51" s="417" t="str">
        <f>CONCATENATE("Total Spent and Disbursement (in ",D26,")")</f>
        <v>Total Spent and Disbursement (in $)</v>
      </c>
      <c r="F51" s="3"/>
      <c r="G51" s="493">
        <v>571699.43251658103</v>
      </c>
      <c r="H51" s="494" t="s">
        <v>446</v>
      </c>
      <c r="I51" s="495"/>
      <c r="J51" s="285"/>
      <c r="K51" s="285"/>
      <c r="L51" s="285"/>
      <c r="M51" s="22"/>
      <c r="N51" s="22"/>
      <c r="O51" s="211"/>
      <c r="P51" s="212"/>
      <c r="Q51" s="213">
        <f>+M33</f>
        <v>11784104.165788259</v>
      </c>
      <c r="R51" s="211"/>
      <c r="AH51" s="20"/>
    </row>
    <row r="52" spans="1:35">
      <c r="A52" s="3"/>
      <c r="B52" s="298" t="s">
        <v>312</v>
      </c>
      <c r="C52" s="393">
        <f>C32+E32+D32+F32+G32+H325+H32+I32+J32+K32+L32+M32+N32</f>
        <v>12125488.34</v>
      </c>
      <c r="D52" s="398">
        <v>0</v>
      </c>
      <c r="E52" s="386">
        <f>+D52+C52</f>
        <v>12125488.34</v>
      </c>
      <c r="F52" s="3"/>
      <c r="G52" s="97"/>
      <c r="H52" s="478"/>
      <c r="I52" s="96"/>
      <c r="J52" s="208"/>
      <c r="K52" s="209"/>
      <c r="L52" s="98"/>
      <c r="M52" s="37"/>
      <c r="N52" s="37"/>
      <c r="O52" s="211"/>
      <c r="P52" s="211"/>
      <c r="Q52" s="211"/>
      <c r="R52" s="211"/>
      <c r="AH52" s="20"/>
    </row>
    <row r="53" spans="1:35">
      <c r="A53" s="3"/>
      <c r="B53" s="298" t="s">
        <v>291</v>
      </c>
      <c r="C53" s="393">
        <f>2385633.59766922+2357119.37299572+2251217.4715301+3265406.74552332</f>
        <v>10259377.18771836</v>
      </c>
      <c r="D53" s="393">
        <v>569149.16517054103</v>
      </c>
      <c r="E53" s="386">
        <f>+D53+C53</f>
        <v>10828526.352888901</v>
      </c>
      <c r="F53" s="205"/>
      <c r="G53" s="486"/>
      <c r="H53" s="492"/>
      <c r="I53" s="488"/>
      <c r="J53" s="208"/>
      <c r="K53" s="208"/>
      <c r="L53" s="98"/>
      <c r="M53" s="38"/>
      <c r="N53" s="38"/>
      <c r="O53" s="211"/>
      <c r="P53" s="211"/>
      <c r="Q53" s="211"/>
      <c r="R53" s="211"/>
      <c r="AH53" s="20"/>
    </row>
    <row r="54" spans="1:35">
      <c r="A54" s="3"/>
      <c r="B54" s="298" t="s">
        <v>270</v>
      </c>
      <c r="C54" s="393">
        <f>1119720.49395505+109080.929580932</f>
        <v>1228801.4235359819</v>
      </c>
      <c r="D54" s="393">
        <f>40123.294759291</f>
        <v>40123.294759290999</v>
      </c>
      <c r="E54" s="386">
        <f>+D54+C54</f>
        <v>1268924.7182952729</v>
      </c>
      <c r="F54" s="205"/>
      <c r="G54" s="487"/>
      <c r="H54" s="208"/>
      <c r="I54" s="488"/>
      <c r="J54" s="208"/>
      <c r="K54" s="209"/>
      <c r="L54" s="98"/>
      <c r="M54" s="37"/>
      <c r="N54" s="37"/>
      <c r="O54"/>
      <c r="AH54" s="20"/>
    </row>
    <row r="55" spans="1:35" ht="15.75" thickBot="1">
      <c r="A55" s="3"/>
      <c r="B55" s="299" t="s">
        <v>271</v>
      </c>
      <c r="C55" s="393">
        <v>1292642.4939654195</v>
      </c>
      <c r="D55" s="393">
        <v>0</v>
      </c>
      <c r="E55" s="387">
        <f>+D55+C55</f>
        <v>1292642.4939654195</v>
      </c>
      <c r="F55" s="205"/>
      <c r="G55" s="260"/>
      <c r="H55" s="303"/>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283"/>
      <c r="E57" s="3"/>
      <c r="F57" s="3"/>
      <c r="G57" s="3"/>
      <c r="H57" s="3"/>
      <c r="I57" s="3"/>
      <c r="J57" s="3"/>
      <c r="K57" s="3"/>
      <c r="L57" s="3"/>
      <c r="M57" s="3"/>
    </row>
    <row r="58" spans="1:35" ht="18.75">
      <c r="A58" s="3"/>
      <c r="B58" s="90" t="s">
        <v>382</v>
      </c>
      <c r="C58" s="3"/>
      <c r="D58" s="3"/>
      <c r="E58" s="3"/>
      <c r="F58" s="3"/>
      <c r="G58" s="3"/>
      <c r="H58" s="3"/>
      <c r="I58" s="3"/>
      <c r="J58" s="3"/>
      <c r="K58" s="3"/>
      <c r="L58" s="3"/>
      <c r="M58" s="3"/>
    </row>
    <row r="59" spans="1:35" ht="15.75" thickBot="1">
      <c r="A59" s="3"/>
      <c r="B59" s="3"/>
      <c r="C59" s="3"/>
      <c r="D59" s="3"/>
      <c r="E59" s="3"/>
      <c r="F59" s="3"/>
      <c r="G59" s="3"/>
      <c r="H59" s="3"/>
      <c r="I59" s="3"/>
      <c r="J59" s="3"/>
      <c r="K59" s="3"/>
      <c r="L59" s="3"/>
      <c r="M59" s="3"/>
    </row>
    <row r="60" spans="1:35">
      <c r="A60" s="3"/>
      <c r="B60" s="702" t="s">
        <v>347</v>
      </c>
      <c r="C60" s="703"/>
      <c r="D60" s="704"/>
      <c r="E60" s="3"/>
      <c r="F60" s="3"/>
      <c r="G60" s="3"/>
      <c r="H60" s="3"/>
      <c r="I60" s="3"/>
      <c r="J60" s="3"/>
      <c r="K60" s="3"/>
      <c r="L60" s="3"/>
      <c r="M60" s="36"/>
      <c r="O60"/>
    </row>
    <row r="61" spans="1:35">
      <c r="A61" s="3"/>
      <c r="B61" s="103"/>
      <c r="C61" s="305" t="s">
        <v>61</v>
      </c>
      <c r="D61" s="306" t="s">
        <v>62</v>
      </c>
      <c r="E61" s="3"/>
      <c r="F61" s="3"/>
      <c r="G61" s="3"/>
      <c r="H61" s="3"/>
      <c r="I61" s="3"/>
      <c r="J61" s="3"/>
      <c r="K61" s="3"/>
      <c r="L61" s="3"/>
      <c r="M61" s="36"/>
      <c r="O61"/>
    </row>
    <row r="62" spans="1:35">
      <c r="A62" s="3"/>
      <c r="B62" s="104" t="s">
        <v>1</v>
      </c>
      <c r="C62" s="393">
        <v>60</v>
      </c>
      <c r="D62" s="480">
        <v>60</v>
      </c>
      <c r="E62" s="3"/>
      <c r="F62" s="3"/>
      <c r="G62" s="3"/>
      <c r="H62" s="3"/>
      <c r="I62" s="3"/>
      <c r="J62" s="3"/>
      <c r="K62" s="3"/>
      <c r="L62" s="3"/>
      <c r="M62" s="36"/>
      <c r="O62"/>
    </row>
    <row r="63" spans="1:35">
      <c r="A63" s="3"/>
      <c r="B63" s="304" t="s">
        <v>364</v>
      </c>
      <c r="C63" s="393">
        <v>45</v>
      </c>
      <c r="D63" s="480" t="s">
        <v>423</v>
      </c>
      <c r="E63" s="3"/>
      <c r="F63" s="3"/>
      <c r="G63" s="3"/>
      <c r="H63" s="302"/>
      <c r="I63" s="302"/>
      <c r="J63" s="3"/>
      <c r="K63" s="3"/>
      <c r="L63" s="3"/>
      <c r="M63" s="36"/>
      <c r="O63"/>
    </row>
    <row r="64" spans="1:35" ht="15.75" thickBot="1">
      <c r="A64" s="3"/>
      <c r="B64" s="105" t="s">
        <v>365</v>
      </c>
      <c r="C64" s="393">
        <v>5</v>
      </c>
      <c r="D64" s="398">
        <v>5</v>
      </c>
      <c r="E64" s="3"/>
      <c r="F64" s="3"/>
      <c r="G64" s="3"/>
      <c r="H64" s="302"/>
      <c r="I64" s="302"/>
      <c r="J64" s="3"/>
      <c r="K64" s="3"/>
      <c r="L64" s="3"/>
      <c r="M64" s="36"/>
      <c r="O64"/>
    </row>
    <row r="65" spans="1:30">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413"/>
      <c r="M66" s="3"/>
      <c r="AC66" s="19"/>
      <c r="AD66" s="19"/>
    </row>
    <row r="67" spans="1:30" ht="19.5" thickBot="1">
      <c r="A67" s="3"/>
      <c r="B67" s="106" t="s">
        <v>264</v>
      </c>
      <c r="C67" s="107"/>
      <c r="D67" s="107"/>
      <c r="E67" s="107"/>
      <c r="F67" s="107"/>
      <c r="G67" s="107"/>
      <c r="H67" s="330" t="s">
        <v>305</v>
      </c>
      <c r="I67" s="107"/>
      <c r="J67" s="108"/>
      <c r="K67" s="108"/>
      <c r="L67" s="414"/>
      <c r="M67" s="415"/>
      <c r="N67" s="84"/>
      <c r="O67" s="84"/>
      <c r="P67" s="84"/>
      <c r="S67" s="44"/>
      <c r="AC67" s="19"/>
      <c r="AD67" s="19"/>
    </row>
    <row r="68" spans="1:30" ht="18.75">
      <c r="A68" s="3"/>
      <c r="B68" s="110"/>
      <c r="C68" s="109"/>
      <c r="D68" s="109"/>
      <c r="E68" s="109"/>
      <c r="F68" s="109"/>
      <c r="G68" s="109"/>
      <c r="H68" s="109"/>
      <c r="I68" s="109"/>
      <c r="J68" s="109"/>
      <c r="K68" s="111"/>
      <c r="L68" s="111"/>
      <c r="M68" s="109"/>
      <c r="N68" s="84"/>
      <c r="O68" s="84"/>
      <c r="P68" s="84"/>
      <c r="S68" s="44"/>
      <c r="AC68" s="19"/>
      <c r="AD68" s="19"/>
    </row>
    <row r="69" spans="1:30" ht="18.75">
      <c r="A69" s="3"/>
      <c r="B69" s="110" t="s">
        <v>383</v>
      </c>
      <c r="C69" s="109"/>
      <c r="D69" s="109"/>
      <c r="E69" s="109"/>
      <c r="F69" s="109"/>
      <c r="G69" s="109"/>
      <c r="H69" s="109"/>
      <c r="I69" s="109"/>
      <c r="J69" s="109"/>
      <c r="K69" s="111"/>
      <c r="L69" s="111"/>
      <c r="M69" s="109"/>
      <c r="N69" s="84"/>
      <c r="O69" s="84"/>
      <c r="P69" s="84"/>
      <c r="S69" s="44"/>
      <c r="AC69" s="19"/>
      <c r="AD69" s="19"/>
    </row>
    <row r="70" spans="1:30" ht="15.75" thickBot="1">
      <c r="A70" s="3"/>
      <c r="B70" s="2"/>
      <c r="C70" s="112"/>
      <c r="D70" s="112"/>
      <c r="E70" s="112"/>
      <c r="F70" s="112"/>
      <c r="G70" s="112"/>
      <c r="H70" s="2"/>
      <c r="I70" s="112"/>
      <c r="J70" s="2"/>
      <c r="K70" s="2"/>
      <c r="L70" s="2"/>
      <c r="M70" s="2"/>
      <c r="N70" s="20"/>
      <c r="O70" s="19"/>
      <c r="P70" s="19"/>
      <c r="Q70" s="19"/>
      <c r="R70" s="19"/>
      <c r="S70" s="19"/>
      <c r="AD70" s="19"/>
    </row>
    <row r="71" spans="1:30" ht="30">
      <c r="A71" s="3"/>
      <c r="B71" s="659"/>
      <c r="C71" s="660"/>
      <c r="D71" s="114" t="s">
        <v>118</v>
      </c>
      <c r="E71" s="115" t="s">
        <v>297</v>
      </c>
      <c r="F71" s="115" t="s">
        <v>119</v>
      </c>
      <c r="G71" s="116" t="s">
        <v>59</v>
      </c>
      <c r="H71" s="314"/>
      <c r="I71" s="315"/>
      <c r="J71" s="15"/>
      <c r="K71" s="2"/>
      <c r="L71" s="2"/>
      <c r="M71" s="2"/>
      <c r="N71" s="20"/>
      <c r="O71" s="19"/>
      <c r="P71" s="19"/>
      <c r="Q71" s="19"/>
      <c r="R71" s="19"/>
      <c r="S71" s="19"/>
    </row>
    <row r="72" spans="1:30">
      <c r="A72" s="3"/>
      <c r="B72" s="670" t="s">
        <v>403</v>
      </c>
      <c r="C72" s="671"/>
      <c r="D72" s="262">
        <v>6</v>
      </c>
      <c r="E72" s="262">
        <v>0</v>
      </c>
      <c r="F72" s="262">
        <v>0</v>
      </c>
      <c r="G72" s="118">
        <v>6</v>
      </c>
      <c r="H72" s="297"/>
      <c r="I72" s="313"/>
      <c r="J72" s="313"/>
      <c r="K72" s="2"/>
      <c r="L72" s="2"/>
      <c r="M72" s="2"/>
      <c r="N72" s="20"/>
      <c r="O72" s="19"/>
      <c r="P72" s="19"/>
      <c r="Q72" s="19"/>
      <c r="R72" s="19"/>
      <c r="S72" s="19"/>
    </row>
    <row r="73" spans="1:30" ht="15.75" thickBot="1">
      <c r="A73" s="3"/>
      <c r="B73" s="709" t="s">
        <v>11</v>
      </c>
      <c r="C73" s="710"/>
      <c r="D73" s="263">
        <v>5</v>
      </c>
      <c r="E73" s="263">
        <v>1</v>
      </c>
      <c r="F73" s="263">
        <v>0</v>
      </c>
      <c r="G73" s="120">
        <f>SUM(D73:F73)</f>
        <v>6</v>
      </c>
      <c r="H73" s="297"/>
      <c r="I73" s="15"/>
      <c r="J73" s="15"/>
      <c r="K73" s="2"/>
      <c r="L73" s="2"/>
      <c r="M73" s="2"/>
      <c r="N73" s="19"/>
      <c r="O73" s="19"/>
      <c r="P73" s="19"/>
      <c r="Q73" s="19"/>
      <c r="R73" s="19"/>
      <c r="S73" s="19"/>
    </row>
    <row r="74" spans="1:30">
      <c r="A74" s="3"/>
      <c r="B74" s="2"/>
      <c r="C74" s="2"/>
      <c r="D74" s="2"/>
      <c r="E74" s="2"/>
      <c r="F74" s="2"/>
      <c r="G74" s="2"/>
      <c r="H74" s="2"/>
      <c r="I74" s="490"/>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8.75">
      <c r="A76" s="3"/>
      <c r="B76" s="110" t="s">
        <v>384</v>
      </c>
      <c r="C76" s="2"/>
      <c r="D76" s="2"/>
      <c r="E76" s="2"/>
      <c r="F76" s="2"/>
      <c r="G76" s="2"/>
      <c r="H76" s="2"/>
      <c r="I76" s="2"/>
      <c r="J76" s="2"/>
      <c r="K76" s="2"/>
      <c r="L76" s="2"/>
      <c r="M76" s="2"/>
      <c r="N76" s="19"/>
      <c r="O76" s="19"/>
      <c r="P76" s="19"/>
      <c r="S76" s="19"/>
    </row>
    <row r="77" spans="1:30" ht="15.75" thickBot="1">
      <c r="A77" s="3"/>
      <c r="B77" s="2"/>
      <c r="C77" s="2"/>
      <c r="D77" s="2"/>
      <c r="E77" s="2"/>
      <c r="F77" s="2"/>
      <c r="G77" s="2"/>
      <c r="H77" s="2"/>
      <c r="I77" s="2"/>
      <c r="J77" s="2"/>
      <c r="K77" s="2"/>
      <c r="L77" s="2"/>
      <c r="M77" s="2"/>
      <c r="N77" s="19"/>
      <c r="O77" s="19"/>
      <c r="P77" s="19"/>
      <c r="S77" s="19"/>
    </row>
    <row r="78" spans="1:30">
      <c r="A78" s="3"/>
      <c r="B78" s="121"/>
      <c r="C78" s="113" t="s">
        <v>64</v>
      </c>
      <c r="D78" s="113" t="s">
        <v>82</v>
      </c>
      <c r="E78" s="122" t="s">
        <v>65</v>
      </c>
      <c r="F78" s="15"/>
      <c r="G78" s="15"/>
      <c r="H78" s="15"/>
      <c r="I78" s="315"/>
      <c r="J78" s="2"/>
      <c r="K78" s="2"/>
      <c r="L78" s="2"/>
      <c r="M78" s="2"/>
      <c r="N78" s="19"/>
      <c r="O78" s="19"/>
      <c r="P78" s="19"/>
      <c r="S78" s="19"/>
    </row>
    <row r="79" spans="1:30" ht="15.75" thickBot="1">
      <c r="A79" s="3"/>
      <c r="B79" s="123" t="s">
        <v>313</v>
      </c>
      <c r="C79" s="362">
        <v>11</v>
      </c>
      <c r="D79" s="362">
        <v>11</v>
      </c>
      <c r="E79" s="363">
        <f>+C79-D79</f>
        <v>0</v>
      </c>
      <c r="F79" s="270"/>
      <c r="G79" s="278"/>
      <c r="H79" s="15"/>
      <c r="I79" s="313"/>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8.75">
      <c r="A81" s="3"/>
      <c r="B81" s="110" t="s">
        <v>389</v>
      </c>
      <c r="C81" s="2"/>
      <c r="D81" s="2"/>
      <c r="E81" s="2"/>
      <c r="F81" s="2"/>
      <c r="G81" s="2"/>
      <c r="H81" s="2"/>
      <c r="I81" s="2"/>
      <c r="J81" s="2"/>
      <c r="K81" s="2"/>
      <c r="L81" s="2"/>
      <c r="M81" s="2"/>
      <c r="N81" s="19"/>
      <c r="O81" s="19"/>
      <c r="P81" s="19"/>
      <c r="S81" s="19"/>
    </row>
    <row r="82" spans="1:36" ht="15.75" thickBot="1">
      <c r="A82" s="3"/>
      <c r="B82" s="2"/>
      <c r="C82" s="2"/>
      <c r="D82" s="2"/>
      <c r="E82" s="2"/>
      <c r="F82" s="2"/>
      <c r="G82" s="2"/>
      <c r="H82" s="2"/>
      <c r="I82" s="2"/>
      <c r="J82" s="2"/>
      <c r="K82" s="2"/>
      <c r="L82" s="2"/>
      <c r="M82" s="2"/>
      <c r="N82" s="19"/>
      <c r="O82" s="19"/>
      <c r="P82" s="19"/>
      <c r="S82" s="19"/>
    </row>
    <row r="83" spans="1:36" ht="30">
      <c r="A83" s="3"/>
      <c r="B83" s="121"/>
      <c r="C83" s="113" t="s">
        <v>292</v>
      </c>
      <c r="D83" s="113" t="s">
        <v>68</v>
      </c>
      <c r="E83" s="113" t="s">
        <v>83</v>
      </c>
      <c r="F83" s="113" t="s">
        <v>69</v>
      </c>
      <c r="G83" s="153" t="s">
        <v>120</v>
      </c>
      <c r="H83" s="279"/>
      <c r="I83" s="315"/>
      <c r="J83" s="2"/>
      <c r="K83" s="2"/>
      <c r="L83" s="2"/>
      <c r="M83" s="2"/>
      <c r="N83" s="19"/>
      <c r="O83" s="19"/>
      <c r="P83" s="19"/>
      <c r="S83" s="19"/>
    </row>
    <row r="84" spans="1:36" ht="15.75" thickBot="1">
      <c r="A84" s="3"/>
      <c r="B84" s="123" t="s">
        <v>128</v>
      </c>
      <c r="C84" s="362">
        <v>1</v>
      </c>
      <c r="D84" s="362">
        <v>1</v>
      </c>
      <c r="E84" s="362">
        <v>1</v>
      </c>
      <c r="F84" s="362">
        <v>1</v>
      </c>
      <c r="G84" s="364">
        <v>1</v>
      </c>
      <c r="H84" s="316"/>
      <c r="I84" s="297"/>
      <c r="J84" s="2"/>
      <c r="K84" s="2"/>
      <c r="L84" s="2"/>
      <c r="M84" s="2"/>
      <c r="N84" s="19"/>
      <c r="O84" s="19"/>
      <c r="P84" s="19"/>
      <c r="S84" s="19"/>
    </row>
    <row r="85" spans="1:36">
      <c r="A85" s="3"/>
      <c r="B85" s="2"/>
      <c r="C85" s="2"/>
      <c r="D85" s="2"/>
      <c r="E85" s="2"/>
      <c r="F85" s="2"/>
      <c r="G85" s="2"/>
      <c r="H85" s="2"/>
      <c r="J85" s="2"/>
      <c r="K85" s="2"/>
      <c r="L85" s="2"/>
      <c r="M85" s="2"/>
      <c r="N85" s="19"/>
      <c r="O85" s="19"/>
      <c r="P85" s="19"/>
      <c r="S85" s="19"/>
    </row>
    <row r="86" spans="1:36" ht="18.75">
      <c r="A86" s="3"/>
      <c r="B86" s="110" t="s">
        <v>385</v>
      </c>
      <c r="C86" s="2"/>
      <c r="D86" s="2"/>
      <c r="E86" s="2"/>
      <c r="F86" s="2"/>
      <c r="G86" s="2"/>
      <c r="H86" s="2"/>
      <c r="I86" s="2"/>
      <c r="J86" s="2"/>
      <c r="K86" s="2"/>
      <c r="L86" s="2"/>
      <c r="M86" s="2"/>
      <c r="N86" s="19"/>
      <c r="O86" s="19"/>
      <c r="P86" s="19"/>
      <c r="S86" s="19"/>
    </row>
    <row r="87" spans="1:36" ht="15.75" thickBot="1">
      <c r="A87" s="3"/>
      <c r="B87" s="2"/>
      <c r="C87" s="2"/>
      <c r="D87" s="2"/>
      <c r="E87" s="2"/>
      <c r="F87" s="2"/>
      <c r="G87" s="2"/>
      <c r="H87" s="2"/>
      <c r="I87" s="2"/>
      <c r="J87" s="2"/>
      <c r="K87" s="2"/>
      <c r="L87" s="2"/>
      <c r="M87" s="2"/>
      <c r="N87" s="19"/>
      <c r="O87" s="19"/>
      <c r="P87" s="19"/>
      <c r="S87" s="19"/>
    </row>
    <row r="88" spans="1:36">
      <c r="A88" s="3"/>
      <c r="B88" s="121"/>
      <c r="C88" s="124" t="s">
        <v>66</v>
      </c>
      <c r="D88" s="124" t="s">
        <v>67</v>
      </c>
      <c r="E88" s="125" t="s">
        <v>289</v>
      </c>
      <c r="F88" s="2"/>
      <c r="G88" s="2"/>
      <c r="H88" s="2"/>
      <c r="I88" s="2"/>
      <c r="J88" s="19"/>
      <c r="K88" s="19"/>
      <c r="L88" s="19"/>
      <c r="N88"/>
      <c r="O88" s="19"/>
      <c r="AG88" s="36"/>
      <c r="AJ88"/>
    </row>
    <row r="89" spans="1:36">
      <c r="A89" s="3"/>
      <c r="B89" s="117" t="s">
        <v>390</v>
      </c>
      <c r="C89" s="262"/>
      <c r="D89" s="264"/>
      <c r="E89" s="317">
        <f>C89-D89</f>
        <v>0</v>
      </c>
      <c r="F89" s="2"/>
      <c r="G89" s="2"/>
      <c r="H89" s="2"/>
      <c r="I89" s="2"/>
      <c r="J89" s="19"/>
      <c r="K89" s="19"/>
      <c r="L89" s="19"/>
      <c r="N89"/>
      <c r="O89" s="19"/>
      <c r="AG89" s="36"/>
      <c r="AJ89"/>
    </row>
    <row r="90" spans="1:36" ht="15.75" thickBot="1">
      <c r="A90" s="3"/>
      <c r="B90" s="119" t="s">
        <v>391</v>
      </c>
      <c r="C90" s="263">
        <v>3</v>
      </c>
      <c r="D90" s="318">
        <v>3</v>
      </c>
      <c r="E90" s="466">
        <f>C90-D90</f>
        <v>0</v>
      </c>
      <c r="F90" s="2"/>
      <c r="G90" s="2"/>
      <c r="H90" s="2"/>
      <c r="I90" s="2"/>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8.75">
      <c r="A92" s="3"/>
      <c r="B92" s="110" t="s">
        <v>392</v>
      </c>
      <c r="C92" s="2"/>
      <c r="D92" s="2"/>
      <c r="E92" s="2"/>
      <c r="F92" s="2"/>
      <c r="G92" s="2"/>
      <c r="H92" s="2"/>
      <c r="I92" s="2"/>
      <c r="J92" s="2"/>
      <c r="K92" s="2"/>
      <c r="L92" s="2"/>
      <c r="M92" s="2"/>
      <c r="N92" s="19"/>
      <c r="O92" s="19"/>
      <c r="P92" s="19"/>
      <c r="S92" s="19"/>
    </row>
    <row r="93" spans="1:36" ht="15.75" thickBot="1">
      <c r="A93" s="3"/>
      <c r="B93" s="2"/>
      <c r="C93" s="2"/>
      <c r="D93" s="2"/>
      <c r="E93" s="2"/>
      <c r="F93" s="2"/>
      <c r="G93" s="2"/>
      <c r="H93" s="2"/>
      <c r="I93" s="15"/>
      <c r="J93" s="15"/>
      <c r="K93" s="15"/>
      <c r="L93" s="15"/>
      <c r="M93" s="15"/>
      <c r="N93" s="20"/>
      <c r="O93" s="20"/>
      <c r="P93" s="20"/>
      <c r="S93" s="19"/>
    </row>
    <row r="94" spans="1:36">
      <c r="A94" s="3"/>
      <c r="B94" s="223"/>
      <c r="C94" s="374" t="s">
        <v>106</v>
      </c>
      <c r="D94" s="374" t="s">
        <v>107</v>
      </c>
      <c r="E94" s="374" t="s">
        <v>108</v>
      </c>
      <c r="F94" s="374" t="s">
        <v>109</v>
      </c>
      <c r="G94" s="374" t="s">
        <v>121</v>
      </c>
      <c r="H94" s="374" t="s">
        <v>122</v>
      </c>
      <c r="I94" s="374" t="s">
        <v>123</v>
      </c>
      <c r="J94" s="374" t="s">
        <v>124</v>
      </c>
      <c r="K94" s="374" t="s">
        <v>125</v>
      </c>
      <c r="L94" s="374" t="s">
        <v>126</v>
      </c>
      <c r="M94" s="374" t="s">
        <v>127</v>
      </c>
      <c r="N94" s="375" t="s">
        <v>288</v>
      </c>
      <c r="O94" s="20"/>
      <c r="P94" s="20"/>
      <c r="S94" s="19"/>
    </row>
    <row r="95" spans="1:36" ht="15" customHeight="1">
      <c r="A95" s="3"/>
      <c r="B95" s="376" t="s">
        <v>369</v>
      </c>
      <c r="C95" s="365">
        <v>76920</v>
      </c>
      <c r="D95" s="365">
        <v>1379064.3412315312</v>
      </c>
      <c r="E95" s="365">
        <v>772075.35871231998</v>
      </c>
      <c r="F95" s="365">
        <v>951000</v>
      </c>
      <c r="G95" s="365">
        <v>82240</v>
      </c>
      <c r="H95" s="365">
        <v>768482.09763625008</v>
      </c>
      <c r="I95" s="365">
        <v>542991.98794943991</v>
      </c>
      <c r="J95" s="365">
        <v>6000</v>
      </c>
      <c r="K95" s="365">
        <v>82240</v>
      </c>
      <c r="L95" s="365">
        <v>522104.67004725005</v>
      </c>
      <c r="M95" s="365">
        <v>349826.90824031999</v>
      </c>
      <c r="N95" s="467">
        <v>6000</v>
      </c>
      <c r="O95" s="20"/>
      <c r="P95" s="20"/>
      <c r="S95" s="19"/>
    </row>
    <row r="96" spans="1:36" ht="15" customHeight="1">
      <c r="A96" s="3"/>
      <c r="B96" s="376" t="s">
        <v>366</v>
      </c>
      <c r="C96" s="365">
        <f>117510.6/2.4452</f>
        <v>48057.663994765258</v>
      </c>
      <c r="D96" s="365">
        <f>601252/2.4072</f>
        <v>249772.34961781322</v>
      </c>
      <c r="E96" s="365">
        <f>623049/2.4767</f>
        <v>251564.17814026726</v>
      </c>
      <c r="F96" s="365">
        <f>723768/2.5922</f>
        <v>279209.93750482216</v>
      </c>
      <c r="G96" s="365">
        <f>204419/2.4144</f>
        <v>84666.583830351228</v>
      </c>
      <c r="H96" s="365">
        <v>109662.13</v>
      </c>
      <c r="I96" s="365">
        <v>213595</v>
      </c>
      <c r="J96" s="365">
        <v>5331.3905701262793</v>
      </c>
      <c r="K96" s="365">
        <f>286951/2.6914</f>
        <v>106617.74541131011</v>
      </c>
      <c r="L96" s="365">
        <f>2774024.0196/2.8687</f>
        <v>966996.90438177576</v>
      </c>
      <c r="M96" s="365">
        <f>4342528/2.9552</f>
        <v>1469453.1672983216</v>
      </c>
      <c r="N96" s="467">
        <f>(500448.1354-55000)/3.2845</f>
        <v>135621.29255594459</v>
      </c>
      <c r="O96" s="497" t="s">
        <v>447</v>
      </c>
      <c r="P96" s="20"/>
      <c r="S96" s="19"/>
    </row>
    <row r="97" spans="1:19" ht="15" customHeight="1">
      <c r="A97" s="3"/>
      <c r="B97" s="376" t="s">
        <v>314</v>
      </c>
      <c r="C97" s="365">
        <v>17214</v>
      </c>
      <c r="D97" s="365">
        <v>41519</v>
      </c>
      <c r="E97" s="365">
        <v>1143140</v>
      </c>
      <c r="F97" s="365">
        <v>380417</v>
      </c>
      <c r="G97" s="365">
        <v>237861</v>
      </c>
      <c r="H97" s="365">
        <v>624873</v>
      </c>
      <c r="I97" s="365">
        <v>326148</v>
      </c>
      <c r="J97" s="365">
        <f>199809-8300</f>
        <v>191509</v>
      </c>
      <c r="K97" s="365">
        <v>46913.324497496476</v>
      </c>
      <c r="L97" s="365">
        <v>401654</v>
      </c>
      <c r="M97" s="365">
        <v>742107</v>
      </c>
      <c r="N97" s="498">
        <f>2138301.37329563+417423.89</f>
        <v>2555725.26329563</v>
      </c>
      <c r="O97" s="20"/>
      <c r="P97" s="20"/>
      <c r="S97" s="19"/>
    </row>
    <row r="98" spans="1:19" ht="15" customHeight="1">
      <c r="A98" s="3"/>
      <c r="B98" s="320" t="s">
        <v>412</v>
      </c>
      <c r="C98" s="366">
        <f>+C95</f>
        <v>76920</v>
      </c>
      <c r="D98" s="366">
        <f t="shared" ref="D98:N98" si="3">+C98+D95</f>
        <v>1455984.3412315312</v>
      </c>
      <c r="E98" s="366">
        <f>+D98+E95</f>
        <v>2228059.6999438512</v>
      </c>
      <c r="F98" s="366">
        <f t="shared" si="3"/>
        <v>3179059.6999438512</v>
      </c>
      <c r="G98" s="366">
        <f t="shared" si="3"/>
        <v>3261299.6999438512</v>
      </c>
      <c r="H98" s="366">
        <f t="shared" si="3"/>
        <v>4029781.7975801015</v>
      </c>
      <c r="I98" s="366">
        <f t="shared" si="3"/>
        <v>4572773.7855295418</v>
      </c>
      <c r="J98" s="366">
        <f t="shared" si="3"/>
        <v>4578773.7855295418</v>
      </c>
      <c r="K98" s="366">
        <f t="shared" si="3"/>
        <v>4661013.7855295418</v>
      </c>
      <c r="L98" s="366">
        <f t="shared" si="3"/>
        <v>5183118.4555767914</v>
      </c>
      <c r="M98" s="366">
        <f t="shared" si="3"/>
        <v>5532945.3638171116</v>
      </c>
      <c r="N98" s="468">
        <f t="shared" si="3"/>
        <v>5538945.3638171116</v>
      </c>
      <c r="O98" s="20"/>
      <c r="P98" s="20"/>
      <c r="S98" s="19"/>
    </row>
    <row r="99" spans="1:19" ht="15" customHeight="1">
      <c r="A99" s="3"/>
      <c r="B99" s="320" t="s">
        <v>5</v>
      </c>
      <c r="C99" s="366">
        <f>+C96</f>
        <v>48057.663994765258</v>
      </c>
      <c r="D99" s="366">
        <f t="shared" ref="D99:N99" si="4">+C99+D96</f>
        <v>297830.01361257851</v>
      </c>
      <c r="E99" s="366">
        <f>+D99+E96</f>
        <v>549394.19175284577</v>
      </c>
      <c r="F99" s="366">
        <f t="shared" si="4"/>
        <v>828604.12925766793</v>
      </c>
      <c r="G99" s="366">
        <f t="shared" si="4"/>
        <v>913270.71308801917</v>
      </c>
      <c r="H99" s="366">
        <f t="shared" si="4"/>
        <v>1022932.8430880192</v>
      </c>
      <c r="I99" s="366">
        <f t="shared" si="4"/>
        <v>1236527.8430880192</v>
      </c>
      <c r="J99" s="366">
        <f t="shared" si="4"/>
        <v>1241859.2336581454</v>
      </c>
      <c r="K99" s="366">
        <f t="shared" si="4"/>
        <v>1348476.9790694555</v>
      </c>
      <c r="L99" s="366">
        <f t="shared" si="4"/>
        <v>2315473.8834512313</v>
      </c>
      <c r="M99" s="366">
        <f t="shared" si="4"/>
        <v>3784927.0507495529</v>
      </c>
      <c r="N99" s="468">
        <f t="shared" si="4"/>
        <v>3920548.3433054974</v>
      </c>
      <c r="O99" s="20"/>
      <c r="P99" s="20"/>
      <c r="S99" s="19"/>
    </row>
    <row r="100" spans="1:19" ht="15.75" thickBot="1">
      <c r="A100" s="3"/>
      <c r="B100" s="463" t="s">
        <v>6</v>
      </c>
      <c r="C100" s="464">
        <f>+C97</f>
        <v>17214</v>
      </c>
      <c r="D100" s="465">
        <f t="shared" ref="D100:N100" si="5">+C100+D97</f>
        <v>58733</v>
      </c>
      <c r="E100" s="465">
        <f>+D100+E97</f>
        <v>1201873</v>
      </c>
      <c r="F100" s="465">
        <f t="shared" si="5"/>
        <v>1582290</v>
      </c>
      <c r="G100" s="465">
        <f t="shared" si="5"/>
        <v>1820151</v>
      </c>
      <c r="H100" s="465">
        <f t="shared" si="5"/>
        <v>2445024</v>
      </c>
      <c r="I100" s="465">
        <f t="shared" si="5"/>
        <v>2771172</v>
      </c>
      <c r="J100" s="465">
        <f t="shared" si="5"/>
        <v>2962681</v>
      </c>
      <c r="K100" s="465">
        <f t="shared" si="5"/>
        <v>3009594.3244974967</v>
      </c>
      <c r="L100" s="465">
        <f t="shared" si="5"/>
        <v>3411248.3244974967</v>
      </c>
      <c r="M100" s="465">
        <f t="shared" si="5"/>
        <v>4153355.3244974967</v>
      </c>
      <c r="N100" s="469">
        <f t="shared" si="5"/>
        <v>6709080.5877931267</v>
      </c>
      <c r="O100" s="20"/>
      <c r="P100" s="20"/>
      <c r="S100" s="19"/>
    </row>
    <row r="101" spans="1:19">
      <c r="A101" s="3"/>
      <c r="B101" s="3"/>
      <c r="C101" s="2"/>
      <c r="D101" s="2"/>
      <c r="E101" s="2"/>
      <c r="F101" s="2"/>
      <c r="G101" s="2"/>
      <c r="H101" s="2"/>
      <c r="I101" s="15"/>
      <c r="J101" s="126"/>
      <c r="K101" s="127"/>
      <c r="L101" s="15"/>
      <c r="M101" s="128"/>
      <c r="N101" s="20"/>
      <c r="O101" s="20"/>
      <c r="P101" s="20"/>
      <c r="S101" s="19"/>
    </row>
    <row r="102" spans="1:19">
      <c r="A102" s="3"/>
      <c r="B102" s="2" t="s">
        <v>406</v>
      </c>
      <c r="C102" s="2"/>
      <c r="D102" s="2"/>
      <c r="E102" s="2"/>
      <c r="F102" s="2"/>
      <c r="G102" s="2"/>
      <c r="H102" s="2"/>
      <c r="I102" s="15"/>
      <c r="J102" s="126"/>
      <c r="K102" s="127"/>
      <c r="L102" s="15"/>
      <c r="M102" s="128"/>
      <c r="N102" s="20"/>
      <c r="O102" s="20"/>
      <c r="P102" s="20"/>
      <c r="S102" s="19"/>
    </row>
    <row r="103" spans="1:19">
      <c r="A103" s="3"/>
      <c r="C103" s="2"/>
      <c r="D103" s="2"/>
      <c r="E103" s="2"/>
      <c r="F103" s="2"/>
      <c r="G103" s="2"/>
      <c r="H103" s="2"/>
      <c r="I103" s="15"/>
      <c r="J103" s="126"/>
      <c r="K103" s="128"/>
      <c r="L103" s="15"/>
      <c r="M103" s="128"/>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8.75">
      <c r="A105" s="3"/>
      <c r="B105" s="110" t="s">
        <v>386</v>
      </c>
      <c r="C105" s="3"/>
      <c r="D105" s="3"/>
      <c r="E105" s="3"/>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9" ht="90.75" customHeight="1">
      <c r="A107" s="3"/>
      <c r="B107" s="321" t="s">
        <v>33</v>
      </c>
      <c r="C107" s="322" t="s">
        <v>80</v>
      </c>
      <c r="D107" s="324" t="s">
        <v>368</v>
      </c>
      <c r="E107" s="324" t="s">
        <v>337</v>
      </c>
      <c r="F107" s="323" t="s">
        <v>338</v>
      </c>
      <c r="G107" s="323" t="s">
        <v>339</v>
      </c>
      <c r="H107" s="324" t="s">
        <v>340</v>
      </c>
      <c r="I107" s="324" t="s">
        <v>341</v>
      </c>
      <c r="J107" s="324" t="s">
        <v>342</v>
      </c>
      <c r="K107" s="325" t="s">
        <v>343</v>
      </c>
      <c r="L107" s="2"/>
      <c r="M107" s="20"/>
      <c r="N107" s="20"/>
      <c r="O107" s="20"/>
      <c r="P107" s="19"/>
      <c r="R107" s="20"/>
    </row>
    <row r="108" spans="1:19">
      <c r="A108" s="3"/>
      <c r="B108" s="663" t="s">
        <v>35</v>
      </c>
      <c r="C108" s="404" t="s">
        <v>416</v>
      </c>
      <c r="D108" s="405">
        <v>3</v>
      </c>
      <c r="E108" s="406">
        <f>IF(ISBLANK(D108),"",D108*30)</f>
        <v>90</v>
      </c>
      <c r="F108" s="483">
        <v>207.08148148148146</v>
      </c>
      <c r="G108" s="367">
        <f>IF(AND(E108&gt;0,F108&gt;0),(F108*E108),"")</f>
        <v>18637.333333333332</v>
      </c>
      <c r="H108" s="367">
        <v>383</v>
      </c>
      <c r="I108" s="421">
        <f>IF(AND(G108&gt;0,H108&gt;0),H108/G108,"")</f>
        <v>2.0550150236085279E-2</v>
      </c>
      <c r="J108" s="407">
        <v>4</v>
      </c>
      <c r="K108" s="470">
        <f>IF(AND(I108&gt;0,J108&gt;0),I108-J108,"")</f>
        <v>-3.9794498497639146</v>
      </c>
      <c r="L108" s="2"/>
      <c r="M108" s="20"/>
      <c r="N108" s="20"/>
      <c r="O108" s="20"/>
      <c r="P108" s="19"/>
      <c r="R108" s="20"/>
    </row>
    <row r="109" spans="1:19">
      <c r="A109" s="3"/>
      <c r="B109" s="664"/>
      <c r="C109" s="404" t="s">
        <v>441</v>
      </c>
      <c r="D109" s="405">
        <v>1</v>
      </c>
      <c r="E109" s="406">
        <f>IF(ISBLANK(D109),"",D109*30)</f>
        <v>30</v>
      </c>
      <c r="F109" s="483">
        <v>39.877777777777773</v>
      </c>
      <c r="G109" s="367">
        <f>IF(AND(E109&gt;0,F109&gt;0),(F109*E109),"")</f>
        <v>1196.3333333333333</v>
      </c>
      <c r="H109" s="367">
        <v>42465</v>
      </c>
      <c r="I109" s="421">
        <f>IF(AND(G109&gt;0,H109&gt;0),H109/G109,"")</f>
        <v>35.49595987740318</v>
      </c>
      <c r="J109" s="407">
        <v>4</v>
      </c>
      <c r="K109" s="470">
        <f>IF(AND(I109&gt;0,J109&gt;0),I109-J109,"")</f>
        <v>31.49595987740318</v>
      </c>
      <c r="L109" s="2"/>
      <c r="M109" s="20"/>
      <c r="N109" s="20"/>
      <c r="O109" s="20"/>
      <c r="P109" s="19"/>
    </row>
    <row r="110" spans="1:19" ht="15.75" thickBot="1">
      <c r="A110" s="3"/>
      <c r="B110" s="664"/>
      <c r="C110" s="408" t="s">
        <v>419</v>
      </c>
      <c r="D110" s="405">
        <v>3</v>
      </c>
      <c r="E110" s="406">
        <v>90</v>
      </c>
      <c r="F110" s="483">
        <v>67.07037037037037</v>
      </c>
      <c r="G110" s="367">
        <f>IF(AND(E110&gt;0,F110&gt;0),(F110*E110),"")</f>
        <v>6036.333333333333</v>
      </c>
      <c r="H110" s="367">
        <v>131367</v>
      </c>
      <c r="I110" s="421">
        <f>IF(AND(G110&gt;0,H110&gt;0),H110/G110,"")</f>
        <v>21.762714672262412</v>
      </c>
      <c r="J110" s="407">
        <v>4</v>
      </c>
      <c r="K110" s="470">
        <f>IF(AND(I110&gt;0,J110&gt;0),I110-J110,"")</f>
        <v>17.762714672262412</v>
      </c>
      <c r="L110" s="2"/>
      <c r="M110" s="20"/>
      <c r="N110" s="20"/>
      <c r="O110" s="20"/>
      <c r="P110" s="19"/>
      <c r="R110" s="20"/>
    </row>
    <row r="111" spans="1:19" ht="15.75" thickBot="1">
      <c r="A111" s="3"/>
      <c r="B111" s="665"/>
      <c r="C111" s="408" t="s">
        <v>425</v>
      </c>
      <c r="D111" s="409">
        <v>1</v>
      </c>
      <c r="E111" s="460">
        <f>IF(ISBLANK(D111),"",D111*30)</f>
        <v>30</v>
      </c>
      <c r="F111" s="484">
        <v>179.73333333333332</v>
      </c>
      <c r="G111" s="461">
        <f>IF(AND(E111&gt;0,F111&gt;0),(F111*E111),"")</f>
        <v>5392</v>
      </c>
      <c r="H111" s="461">
        <v>106432</v>
      </c>
      <c r="I111" s="462">
        <f>IF(AND(G111&gt;0,H111&gt;0),H111/G111,"")</f>
        <v>19.73887240356083</v>
      </c>
      <c r="J111" s="410">
        <v>4</v>
      </c>
      <c r="K111" s="471">
        <f>IF(AND(I111&gt;0,J111&gt;0),I111-J111,"")</f>
        <v>15.73887240356083</v>
      </c>
      <c r="L111" s="2"/>
      <c r="M111" s="20"/>
      <c r="N111" s="20"/>
      <c r="O111" s="20"/>
      <c r="P111" s="19"/>
      <c r="R111" s="20"/>
    </row>
    <row r="112" spans="1:19">
      <c r="A112" s="3"/>
      <c r="B112" s="3"/>
      <c r="C112" s="3"/>
      <c r="D112" s="3"/>
      <c r="E112" s="3"/>
      <c r="F112" s="3"/>
      <c r="G112" s="2"/>
      <c r="H112" s="2"/>
      <c r="I112" s="2"/>
      <c r="J112" s="3"/>
      <c r="K112" s="3"/>
      <c r="L112" s="2"/>
      <c r="M112" s="2"/>
      <c r="N112" s="20"/>
      <c r="O112" s="20"/>
      <c r="P112" s="20"/>
      <c r="Q112" s="19"/>
      <c r="S112" s="20"/>
    </row>
    <row r="113" spans="1:20" ht="45.75" thickBot="1">
      <c r="A113" s="3"/>
      <c r="B113" s="3"/>
      <c r="C113" s="3"/>
      <c r="D113" s="3"/>
      <c r="E113" s="3"/>
      <c r="F113" s="476" t="s">
        <v>417</v>
      </c>
      <c r="G113" s="476" t="s">
        <v>418</v>
      </c>
      <c r="H113" s="476" t="s">
        <v>417</v>
      </c>
      <c r="I113" s="2"/>
      <c r="J113" s="109"/>
      <c r="K113" s="109"/>
      <c r="L113" s="3"/>
      <c r="M113" s="3"/>
    </row>
    <row r="114" spans="1:20" ht="19.5" thickBot="1">
      <c r="A114" s="3"/>
      <c r="B114" s="243" t="s">
        <v>393</v>
      </c>
      <c r="C114" s="129"/>
      <c r="D114" s="129"/>
      <c r="E114" s="130"/>
      <c r="F114" s="130"/>
      <c r="G114" s="130"/>
      <c r="H114" s="258"/>
      <c r="I114" s="244"/>
      <c r="J114" s="343"/>
      <c r="K114" s="344" t="s">
        <v>372</v>
      </c>
      <c r="L114" s="130"/>
      <c r="M114" s="345"/>
      <c r="N114" s="346"/>
      <c r="O114" s="346"/>
      <c r="P114" s="412"/>
      <c r="Q114" s="36"/>
    </row>
    <row r="115" spans="1:20" ht="15.75" thickBot="1">
      <c r="A115" s="3"/>
      <c r="B115" s="3"/>
      <c r="C115" s="3"/>
      <c r="D115" s="3"/>
      <c r="E115" s="3"/>
      <c r="F115" s="3"/>
      <c r="G115" s="3"/>
      <c r="H115" s="3"/>
      <c r="I115" s="3"/>
      <c r="J115" s="3"/>
      <c r="K115" s="3"/>
      <c r="L115" s="3"/>
      <c r="M115" s="3"/>
      <c r="N115"/>
      <c r="O115"/>
      <c r="P115" s="36"/>
      <c r="Q115" s="36"/>
    </row>
    <row r="116" spans="1:20">
      <c r="A116" s="3"/>
      <c r="B116" s="711" t="s">
        <v>399</v>
      </c>
      <c r="C116" s="712"/>
      <c r="D116" s="713"/>
      <c r="E116" s="329" t="s">
        <v>328</v>
      </c>
      <c r="F116" s="286" t="s">
        <v>345</v>
      </c>
      <c r="G116" s="248"/>
      <c r="H116" s="388" t="s">
        <v>106</v>
      </c>
      <c r="I116" s="388" t="s">
        <v>107</v>
      </c>
      <c r="J116" s="388" t="s">
        <v>108</v>
      </c>
      <c r="K116" s="388" t="s">
        <v>109</v>
      </c>
      <c r="L116" s="388" t="s">
        <v>121</v>
      </c>
      <c r="M116" s="388" t="s">
        <v>122</v>
      </c>
      <c r="N116" s="388" t="s">
        <v>123</v>
      </c>
      <c r="O116" s="388" t="s">
        <v>124</v>
      </c>
      <c r="P116" s="388" t="s">
        <v>125</v>
      </c>
      <c r="Q116" s="388" t="s">
        <v>126</v>
      </c>
      <c r="R116" s="388" t="s">
        <v>127</v>
      </c>
      <c r="S116" s="389" t="s">
        <v>288</v>
      </c>
      <c r="T116" s="64"/>
    </row>
    <row r="117" spans="1:20" ht="1.5" customHeight="1">
      <c r="A117" s="3"/>
      <c r="B117" s="437"/>
      <c r="C117" s="438"/>
      <c r="D117" s="438"/>
      <c r="E117" s="439"/>
      <c r="F117" s="440"/>
      <c r="G117" s="441"/>
      <c r="H117" s="442"/>
      <c r="I117" s="442"/>
      <c r="J117" s="442"/>
      <c r="K117" s="442"/>
      <c r="L117" s="442"/>
      <c r="M117" s="442"/>
      <c r="N117" s="442"/>
      <c r="O117" s="442"/>
      <c r="P117" s="442"/>
      <c r="Q117" s="442"/>
      <c r="R117" s="442"/>
      <c r="S117" s="443"/>
      <c r="T117" s="64"/>
    </row>
    <row r="118" spans="1:20" ht="15" customHeight="1">
      <c r="A118" s="692" t="s">
        <v>376</v>
      </c>
      <c r="B118" s="696" t="s">
        <v>426</v>
      </c>
      <c r="C118" s="697"/>
      <c r="D118" s="698"/>
      <c r="E118" s="612" t="s">
        <v>431</v>
      </c>
      <c r="F118" s="614" t="s">
        <v>115</v>
      </c>
      <c r="G118" s="249"/>
      <c r="H118" s="477">
        <f>444/4</f>
        <v>111</v>
      </c>
      <c r="I118" s="477">
        <f t="shared" ref="I118:K118" si="6">444/4</f>
        <v>111</v>
      </c>
      <c r="J118" s="477">
        <f t="shared" si="6"/>
        <v>111</v>
      </c>
      <c r="K118" s="477">
        <f t="shared" si="6"/>
        <v>111</v>
      </c>
      <c r="L118" s="479">
        <v>112</v>
      </c>
      <c r="M118" s="479">
        <v>112</v>
      </c>
      <c r="N118" s="479">
        <v>112</v>
      </c>
      <c r="O118" s="479">
        <v>113</v>
      </c>
      <c r="P118" s="133">
        <v>112</v>
      </c>
      <c r="Q118" s="133">
        <v>113</v>
      </c>
      <c r="R118" s="133">
        <v>113</v>
      </c>
      <c r="S118" s="134">
        <v>113</v>
      </c>
      <c r="T118" s="64"/>
    </row>
    <row r="119" spans="1:20">
      <c r="A119" s="692"/>
      <c r="B119" s="699"/>
      <c r="C119" s="700"/>
      <c r="D119" s="701"/>
      <c r="E119" s="613"/>
      <c r="F119" s="614"/>
      <c r="G119" s="249"/>
      <c r="H119" s="133">
        <v>91</v>
      </c>
      <c r="I119" s="133">
        <v>94</v>
      </c>
      <c r="J119" s="133">
        <v>66</v>
      </c>
      <c r="K119" s="281">
        <v>77</v>
      </c>
      <c r="L119" s="133">
        <v>80</v>
      </c>
      <c r="M119" s="133">
        <v>72</v>
      </c>
      <c r="N119" s="133">
        <v>76</v>
      </c>
      <c r="O119" s="133">
        <v>59</v>
      </c>
      <c r="P119" s="133">
        <v>75</v>
      </c>
      <c r="Q119" s="133">
        <v>87</v>
      </c>
      <c r="R119" s="133">
        <v>64</v>
      </c>
      <c r="S119" s="134">
        <v>67</v>
      </c>
      <c r="T119" s="64"/>
    </row>
    <row r="120" spans="1:20" ht="15" customHeight="1">
      <c r="A120" s="692"/>
      <c r="B120" s="628" t="s">
        <v>427</v>
      </c>
      <c r="C120" s="707"/>
      <c r="D120" s="708"/>
      <c r="E120" s="617" t="s">
        <v>432</v>
      </c>
      <c r="F120" s="615" t="s">
        <v>115</v>
      </c>
      <c r="G120" s="448"/>
      <c r="H120" s="245">
        <v>16</v>
      </c>
      <c r="I120" s="245">
        <v>17</v>
      </c>
      <c r="J120" s="245">
        <v>16</v>
      </c>
      <c r="K120" s="282">
        <v>17</v>
      </c>
      <c r="L120" s="245">
        <v>16</v>
      </c>
      <c r="M120" s="245">
        <v>17</v>
      </c>
      <c r="N120" s="282">
        <v>17</v>
      </c>
      <c r="O120" s="245">
        <v>17</v>
      </c>
      <c r="P120" s="245">
        <v>16</v>
      </c>
      <c r="Q120" s="245">
        <v>17</v>
      </c>
      <c r="R120" s="282">
        <v>17</v>
      </c>
      <c r="S120" s="245">
        <v>17</v>
      </c>
      <c r="T120" s="64"/>
    </row>
    <row r="121" spans="1:20" ht="21" customHeight="1">
      <c r="A121" s="692"/>
      <c r="B121" s="628"/>
      <c r="C121" s="707"/>
      <c r="D121" s="708"/>
      <c r="E121" s="618"/>
      <c r="F121" s="616"/>
      <c r="G121" s="448"/>
      <c r="H121" s="245">
        <v>12</v>
      </c>
      <c r="I121" s="245">
        <v>13</v>
      </c>
      <c r="J121" s="327">
        <v>13</v>
      </c>
      <c r="K121" s="328">
        <v>18</v>
      </c>
      <c r="L121" s="327">
        <v>15</v>
      </c>
      <c r="M121" s="327">
        <v>12</v>
      </c>
      <c r="N121" s="327">
        <v>8</v>
      </c>
      <c r="O121" s="327">
        <v>10</v>
      </c>
      <c r="P121" s="245">
        <v>8</v>
      </c>
      <c r="Q121" s="245">
        <v>8</v>
      </c>
      <c r="R121" s="245">
        <v>6</v>
      </c>
      <c r="S121" s="326">
        <v>9</v>
      </c>
      <c r="T121" s="64"/>
    </row>
    <row r="122" spans="1:20" ht="15" customHeight="1">
      <c r="A122" s="692"/>
      <c r="B122" s="699" t="s">
        <v>428</v>
      </c>
      <c r="C122" s="700"/>
      <c r="D122" s="701"/>
      <c r="E122" s="612" t="s">
        <v>433</v>
      </c>
      <c r="F122" s="705" t="s">
        <v>115</v>
      </c>
      <c r="G122" s="249"/>
      <c r="H122" s="133">
        <v>75</v>
      </c>
      <c r="I122" s="133">
        <v>75</v>
      </c>
      <c r="J122" s="133">
        <v>75</v>
      </c>
      <c r="K122" s="133">
        <v>75</v>
      </c>
      <c r="L122" s="133">
        <v>80</v>
      </c>
      <c r="M122" s="133">
        <v>80</v>
      </c>
      <c r="N122" s="133">
        <v>80</v>
      </c>
      <c r="O122" s="133">
        <v>80</v>
      </c>
      <c r="P122" s="133">
        <v>85</v>
      </c>
      <c r="Q122" s="133">
        <v>85</v>
      </c>
      <c r="R122" s="133">
        <v>85</v>
      </c>
      <c r="S122" s="133">
        <v>85</v>
      </c>
      <c r="T122" s="64"/>
    </row>
    <row r="123" spans="1:20" ht="26.25" customHeight="1">
      <c r="A123" s="692"/>
      <c r="B123" s="699"/>
      <c r="C123" s="700"/>
      <c r="D123" s="701"/>
      <c r="E123" s="613"/>
      <c r="F123" s="706"/>
      <c r="G123" s="249"/>
      <c r="H123" s="133">
        <v>97</v>
      </c>
      <c r="I123" s="133">
        <v>94</v>
      </c>
      <c r="J123" s="133">
        <v>95</v>
      </c>
      <c r="K123" s="133">
        <v>93</v>
      </c>
      <c r="L123" s="133">
        <v>94</v>
      </c>
      <c r="M123" s="133">
        <v>97</v>
      </c>
      <c r="N123" s="133">
        <v>94</v>
      </c>
      <c r="O123" s="133">
        <v>94</v>
      </c>
      <c r="P123" s="133">
        <v>94</v>
      </c>
      <c r="Q123" s="133">
        <v>94</v>
      </c>
      <c r="R123" s="133">
        <v>97</v>
      </c>
      <c r="S123" s="134">
        <v>95</v>
      </c>
      <c r="T123" s="64"/>
    </row>
    <row r="124" spans="1:20" ht="15" customHeight="1">
      <c r="A124" s="3"/>
      <c r="B124" s="628"/>
      <c r="C124" s="629"/>
      <c r="D124" s="630"/>
      <c r="E124" s="618"/>
      <c r="F124" s="666"/>
      <c r="G124" s="448"/>
      <c r="H124" s="327"/>
      <c r="I124" s="245"/>
      <c r="J124" s="245"/>
      <c r="K124" s="282"/>
      <c r="L124" s="245"/>
      <c r="M124" s="245"/>
      <c r="N124" s="245"/>
      <c r="O124" s="245"/>
      <c r="P124" s="245"/>
      <c r="Q124" s="245"/>
      <c r="R124" s="245"/>
      <c r="S124" s="326"/>
      <c r="T124" s="64"/>
    </row>
    <row r="125" spans="1:20" ht="25.5" customHeight="1">
      <c r="A125" s="3"/>
      <c r="B125" s="654"/>
      <c r="C125" s="629"/>
      <c r="D125" s="630"/>
      <c r="E125" s="618"/>
      <c r="F125" s="667"/>
      <c r="G125" s="448"/>
      <c r="H125" s="327"/>
      <c r="I125" s="245"/>
      <c r="J125" s="245"/>
      <c r="K125" s="282"/>
      <c r="L125" s="245"/>
      <c r="M125" s="245"/>
      <c r="N125" s="245"/>
      <c r="O125" s="245"/>
      <c r="P125" s="245"/>
      <c r="Q125" s="245"/>
      <c r="R125" s="245"/>
      <c r="S125" s="326"/>
      <c r="T125" s="64"/>
    </row>
    <row r="126" spans="1:20" ht="15" customHeight="1">
      <c r="A126" s="3"/>
      <c r="B126" s="644"/>
      <c r="C126" s="645"/>
      <c r="D126" s="646"/>
      <c r="E126" s="613"/>
      <c r="F126" s="657"/>
      <c r="G126" s="449"/>
      <c r="H126" s="450"/>
      <c r="I126" s="450"/>
      <c r="J126" s="450"/>
      <c r="K126" s="451"/>
      <c r="L126" s="450"/>
      <c r="M126" s="450"/>
      <c r="N126" s="450"/>
      <c r="O126" s="450"/>
      <c r="P126" s="450"/>
      <c r="Q126" s="450"/>
      <c r="R126" s="450"/>
      <c r="S126" s="452"/>
      <c r="T126" s="64"/>
    </row>
    <row r="127" spans="1:20">
      <c r="A127" s="3"/>
      <c r="B127" s="647"/>
      <c r="C127" s="645"/>
      <c r="D127" s="646"/>
      <c r="E127" s="613"/>
      <c r="F127" s="658"/>
      <c r="G127" s="449"/>
      <c r="H127" s="450"/>
      <c r="I127" s="450"/>
      <c r="J127" s="450"/>
      <c r="K127" s="451"/>
      <c r="L127" s="450"/>
      <c r="M127" s="450"/>
      <c r="N127" s="450"/>
      <c r="O127" s="450"/>
      <c r="P127" s="450"/>
      <c r="Q127" s="450"/>
      <c r="R127" s="450"/>
      <c r="S127" s="452"/>
      <c r="T127" s="64"/>
    </row>
    <row r="128" spans="1:20" ht="15" customHeight="1">
      <c r="A128" s="3"/>
      <c r="B128" s="628"/>
      <c r="C128" s="629"/>
      <c r="D128" s="630"/>
      <c r="E128" s="618"/>
      <c r="F128" s="666"/>
      <c r="G128" s="448"/>
      <c r="H128" s="327"/>
      <c r="I128" s="327"/>
      <c r="J128" s="327"/>
      <c r="K128" s="328"/>
      <c r="L128" s="327"/>
      <c r="M128" s="327"/>
      <c r="N128" s="327"/>
      <c r="O128" s="327"/>
      <c r="P128" s="327"/>
      <c r="Q128" s="327"/>
      <c r="R128" s="327"/>
      <c r="S128" s="453"/>
      <c r="T128" s="64"/>
    </row>
    <row r="129" spans="1:21">
      <c r="A129" s="3"/>
      <c r="B129" s="654"/>
      <c r="C129" s="629"/>
      <c r="D129" s="630"/>
      <c r="E129" s="618"/>
      <c r="F129" s="667"/>
      <c r="G129" s="448"/>
      <c r="H129" s="327"/>
      <c r="I129" s="245"/>
      <c r="J129" s="245"/>
      <c r="K129" s="282"/>
      <c r="L129" s="245"/>
      <c r="M129" s="245"/>
      <c r="N129" s="245"/>
      <c r="O129" s="245"/>
      <c r="P129" s="327"/>
      <c r="Q129" s="327"/>
      <c r="R129" s="327"/>
      <c r="S129" s="453"/>
      <c r="T129" s="64"/>
    </row>
    <row r="130" spans="1:21">
      <c r="A130" s="3"/>
      <c r="B130" s="644"/>
      <c r="C130" s="645"/>
      <c r="D130" s="646"/>
      <c r="E130" s="613"/>
      <c r="F130" s="668"/>
      <c r="G130" s="449"/>
      <c r="H130" s="450"/>
      <c r="I130" s="450"/>
      <c r="J130" s="450"/>
      <c r="K130" s="451"/>
      <c r="L130" s="450"/>
      <c r="M130" s="450"/>
      <c r="N130" s="450"/>
      <c r="O130" s="450"/>
      <c r="P130" s="450"/>
      <c r="Q130" s="450"/>
      <c r="R130" s="450"/>
      <c r="S130" s="452"/>
      <c r="T130" s="64"/>
    </row>
    <row r="131" spans="1:21">
      <c r="A131" s="3"/>
      <c r="B131" s="647"/>
      <c r="C131" s="645"/>
      <c r="D131" s="646"/>
      <c r="E131" s="613"/>
      <c r="F131" s="668"/>
      <c r="G131" s="449"/>
      <c r="H131" s="450"/>
      <c r="I131" s="450"/>
      <c r="J131" s="450"/>
      <c r="K131" s="451"/>
      <c r="L131" s="450"/>
      <c r="M131" s="450"/>
      <c r="N131" s="450"/>
      <c r="O131" s="450"/>
      <c r="P131" s="450"/>
      <c r="Q131" s="450"/>
      <c r="R131" s="450"/>
      <c r="S131" s="452"/>
      <c r="T131" s="64"/>
    </row>
    <row r="132" spans="1:21" ht="14.25" customHeight="1">
      <c r="A132" s="3"/>
      <c r="B132" s="628"/>
      <c r="C132" s="629"/>
      <c r="D132" s="630"/>
      <c r="E132" s="618"/>
      <c r="F132" s="642"/>
      <c r="G132" s="448"/>
      <c r="H132" s="327"/>
      <c r="I132" s="327"/>
      <c r="J132" s="327"/>
      <c r="K132" s="327"/>
      <c r="L132" s="327"/>
      <c r="M132" s="327"/>
      <c r="N132" s="327"/>
      <c r="O132" s="327"/>
      <c r="P132" s="327"/>
      <c r="Q132" s="327"/>
      <c r="R132" s="327"/>
      <c r="S132" s="453"/>
      <c r="T132" s="64"/>
    </row>
    <row r="133" spans="1:21">
      <c r="A133" s="3"/>
      <c r="B133" s="654"/>
      <c r="C133" s="629"/>
      <c r="D133" s="630"/>
      <c r="E133" s="618"/>
      <c r="F133" s="642"/>
      <c r="G133" s="448"/>
      <c r="H133" s="327"/>
      <c r="I133" s="327"/>
      <c r="J133" s="327"/>
      <c r="K133" s="327"/>
      <c r="L133" s="327"/>
      <c r="M133" s="327"/>
      <c r="N133" s="327"/>
      <c r="O133" s="327"/>
      <c r="P133" s="327"/>
      <c r="Q133" s="327"/>
      <c r="R133" s="327"/>
      <c r="S133" s="453"/>
      <c r="T133" s="64"/>
    </row>
    <row r="134" spans="1:21" ht="14.25" customHeight="1">
      <c r="A134" s="3"/>
      <c r="B134" s="644"/>
      <c r="C134" s="645"/>
      <c r="D134" s="646"/>
      <c r="E134" s="613"/>
      <c r="F134" s="640"/>
      <c r="G134" s="449"/>
      <c r="H134" s="450"/>
      <c r="I134" s="450"/>
      <c r="J134" s="450"/>
      <c r="K134" s="450"/>
      <c r="L134" s="450"/>
      <c r="M134" s="450"/>
      <c r="N134" s="450"/>
      <c r="O134" s="450"/>
      <c r="P134" s="450"/>
      <c r="Q134" s="450"/>
      <c r="R134" s="450"/>
      <c r="S134" s="452"/>
      <c r="T134" s="64"/>
    </row>
    <row r="135" spans="1:21">
      <c r="A135" s="3"/>
      <c r="B135" s="647"/>
      <c r="C135" s="645"/>
      <c r="D135" s="646"/>
      <c r="E135" s="613"/>
      <c r="F135" s="640"/>
      <c r="G135" s="449"/>
      <c r="H135" s="450"/>
      <c r="I135" s="450"/>
      <c r="J135" s="450"/>
      <c r="K135" s="450"/>
      <c r="L135" s="450"/>
      <c r="M135" s="450"/>
      <c r="N135" s="450"/>
      <c r="O135" s="450"/>
      <c r="P135" s="450"/>
      <c r="Q135" s="450"/>
      <c r="R135" s="450"/>
      <c r="S135" s="452"/>
      <c r="T135" s="64"/>
    </row>
    <row r="136" spans="1:21" ht="14.25" customHeight="1">
      <c r="A136" s="3"/>
      <c r="B136" s="628"/>
      <c r="C136" s="629"/>
      <c r="D136" s="630"/>
      <c r="E136" s="618"/>
      <c r="F136" s="642"/>
      <c r="G136" s="448"/>
      <c r="H136" s="327"/>
      <c r="I136" s="327"/>
      <c r="J136" s="327"/>
      <c r="K136" s="327"/>
      <c r="L136" s="327"/>
      <c r="M136" s="327"/>
      <c r="N136" s="327"/>
      <c r="O136" s="327"/>
      <c r="P136" s="327"/>
      <c r="Q136" s="327"/>
      <c r="R136" s="327"/>
      <c r="S136" s="453"/>
      <c r="T136" s="64"/>
    </row>
    <row r="137" spans="1:21" ht="15.75" thickBot="1">
      <c r="A137" s="3"/>
      <c r="B137" s="631"/>
      <c r="C137" s="632"/>
      <c r="D137" s="633"/>
      <c r="E137" s="641"/>
      <c r="F137" s="643"/>
      <c r="G137" s="454"/>
      <c r="H137" s="455"/>
      <c r="I137" s="455"/>
      <c r="J137" s="455"/>
      <c r="K137" s="455"/>
      <c r="L137" s="455"/>
      <c r="M137" s="455"/>
      <c r="N137" s="455"/>
      <c r="O137" s="455"/>
      <c r="P137" s="455"/>
      <c r="Q137" s="455"/>
      <c r="R137" s="455"/>
      <c r="S137" s="456"/>
      <c r="T137" s="64"/>
    </row>
    <row r="138" spans="1:21">
      <c r="A138" s="3"/>
      <c r="B138" s="3"/>
      <c r="C138" s="3"/>
      <c r="D138" s="3"/>
      <c r="E138" s="3"/>
      <c r="F138" s="3"/>
      <c r="G138" s="2"/>
      <c r="H138" s="3"/>
      <c r="I138" s="3"/>
      <c r="J138" s="3"/>
      <c r="K138" s="3"/>
      <c r="L138" s="3"/>
      <c r="M138" s="3"/>
      <c r="N138" s="3"/>
      <c r="O138" s="3"/>
      <c r="R138" s="36"/>
      <c r="S138" s="36"/>
    </row>
    <row r="139" spans="1:21">
      <c r="A139" s="3"/>
      <c r="B139" s="3"/>
      <c r="C139" s="3"/>
      <c r="D139" s="3"/>
      <c r="E139" s="3"/>
      <c r="F139" s="3"/>
      <c r="G139" s="2"/>
      <c r="H139" s="3"/>
      <c r="I139" s="3"/>
      <c r="J139" s="3"/>
      <c r="K139" s="3"/>
      <c r="L139" s="3"/>
      <c r="M139" s="3"/>
      <c r="N139" s="3"/>
      <c r="O139" s="3"/>
      <c r="R139" s="36"/>
      <c r="S139" s="36"/>
    </row>
    <row r="140" spans="1:21">
      <c r="A140" s="3"/>
      <c r="B140" s="3"/>
      <c r="C140" s="3"/>
      <c r="D140" s="3"/>
      <c r="E140" s="3"/>
      <c r="F140" s="3"/>
      <c r="G140" s="2"/>
      <c r="H140" s="3"/>
      <c r="I140" s="3"/>
      <c r="J140" s="3"/>
      <c r="K140" s="3"/>
      <c r="L140" s="3"/>
      <c r="M140" s="3"/>
      <c r="N140" s="3"/>
      <c r="O140" s="3"/>
      <c r="R140" s="36"/>
      <c r="S140" s="36"/>
    </row>
    <row r="141" spans="1:21" ht="16.5" thickBot="1">
      <c r="A141" s="3"/>
      <c r="B141" s="331"/>
      <c r="C141" s="3"/>
      <c r="D141" s="3"/>
      <c r="E141" s="3"/>
      <c r="F141" s="3"/>
      <c r="G141" s="2"/>
      <c r="H141" s="3"/>
      <c r="I141" s="3"/>
      <c r="J141" s="3"/>
      <c r="K141" s="3"/>
      <c r="L141" s="3"/>
      <c r="M141" s="3"/>
      <c r="N141" s="3"/>
      <c r="O141" s="3"/>
      <c r="R141" s="36"/>
      <c r="S141" s="36"/>
    </row>
    <row r="142" spans="1:21" ht="15.75" thickBot="1">
      <c r="A142" s="3"/>
      <c r="B142" s="3" t="s">
        <v>407</v>
      </c>
      <c r="C142" s="3"/>
      <c r="D142" s="3"/>
      <c r="E142" s="329" t="s">
        <v>328</v>
      </c>
      <c r="F142" s="286" t="s">
        <v>345</v>
      </c>
      <c r="G142" s="248"/>
      <c r="H142" s="388" t="str">
        <f t="shared" ref="H142:S142" si="7">C30</f>
        <v>P1</v>
      </c>
      <c r="I142" s="388" t="str">
        <f t="shared" si="7"/>
        <v>P2</v>
      </c>
      <c r="J142" s="388" t="str">
        <f t="shared" si="7"/>
        <v>P3</v>
      </c>
      <c r="K142" s="388" t="str">
        <f t="shared" si="7"/>
        <v>P4</v>
      </c>
      <c r="L142" s="388" t="str">
        <f t="shared" si="7"/>
        <v>P5</v>
      </c>
      <c r="M142" s="388" t="str">
        <f t="shared" si="7"/>
        <v>P6</v>
      </c>
      <c r="N142" s="388" t="str">
        <f t="shared" si="7"/>
        <v>P7</v>
      </c>
      <c r="O142" s="388" t="str">
        <f t="shared" si="7"/>
        <v>P8</v>
      </c>
      <c r="P142" s="388" t="str">
        <f t="shared" si="7"/>
        <v>P9</v>
      </c>
      <c r="Q142" s="388" t="str">
        <f t="shared" si="7"/>
        <v>P10</v>
      </c>
      <c r="R142" s="388" t="str">
        <f t="shared" si="7"/>
        <v>P11</v>
      </c>
      <c r="S142" s="389" t="str">
        <f t="shared" si="7"/>
        <v>P12</v>
      </c>
      <c r="T142" s="36"/>
      <c r="U142" s="36"/>
    </row>
    <row r="143" spans="1:21">
      <c r="A143" s="3"/>
      <c r="B143" s="648" t="str">
        <f>IF(ISBLANK(B118),"",(B118))</f>
        <v>MDR TB-3: Number of cases with drug resistant TB (RR-TB and/or MDR-TB) that began second-line treatment</v>
      </c>
      <c r="C143" s="649"/>
      <c r="D143" s="650"/>
      <c r="E143" s="636" t="str">
        <f>IF(ISBLANK(E118),"",(E118))</f>
        <v>TB-3</v>
      </c>
      <c r="F143" s="638" t="str">
        <f>IF(ISBLANK(F118),"",(F118))</f>
        <v>Yes</v>
      </c>
      <c r="G143" s="357" t="s">
        <v>86</v>
      </c>
      <c r="H143" s="419">
        <f t="shared" ref="H143:K144" si="8">H118</f>
        <v>111</v>
      </c>
      <c r="I143" s="419">
        <f t="shared" si="8"/>
        <v>111</v>
      </c>
      <c r="J143" s="419">
        <f t="shared" si="8"/>
        <v>111</v>
      </c>
      <c r="K143" s="419">
        <f t="shared" si="8"/>
        <v>111</v>
      </c>
      <c r="L143" s="419">
        <f t="shared" ref="L143:S143" si="9">L118</f>
        <v>112</v>
      </c>
      <c r="M143" s="419">
        <f t="shared" si="9"/>
        <v>112</v>
      </c>
      <c r="N143" s="419">
        <f t="shared" si="9"/>
        <v>112</v>
      </c>
      <c r="O143" s="419">
        <f t="shared" si="9"/>
        <v>113</v>
      </c>
      <c r="P143" s="419">
        <f t="shared" si="9"/>
        <v>112</v>
      </c>
      <c r="Q143" s="419">
        <f t="shared" si="9"/>
        <v>113</v>
      </c>
      <c r="R143" s="419">
        <f t="shared" si="9"/>
        <v>113</v>
      </c>
      <c r="S143" s="472">
        <f t="shared" si="9"/>
        <v>113</v>
      </c>
      <c r="T143" s="36"/>
      <c r="U143" s="36"/>
    </row>
    <row r="144" spans="1:21">
      <c r="A144" s="3"/>
      <c r="B144" s="651"/>
      <c r="C144" s="652"/>
      <c r="D144" s="653"/>
      <c r="E144" s="636"/>
      <c r="F144" s="638"/>
      <c r="G144" s="131" t="s">
        <v>87</v>
      </c>
      <c r="H144" s="419">
        <f t="shared" si="8"/>
        <v>91</v>
      </c>
      <c r="I144" s="419">
        <f t="shared" si="8"/>
        <v>94</v>
      </c>
      <c r="J144" s="419">
        <f t="shared" si="8"/>
        <v>66</v>
      </c>
      <c r="K144" s="419">
        <f t="shared" si="8"/>
        <v>77</v>
      </c>
      <c r="L144" s="419">
        <f t="shared" ref="L144:S144" si="10">L119</f>
        <v>80</v>
      </c>
      <c r="M144" s="419">
        <f t="shared" si="10"/>
        <v>72</v>
      </c>
      <c r="N144" s="419">
        <f t="shared" si="10"/>
        <v>76</v>
      </c>
      <c r="O144" s="419">
        <f t="shared" si="10"/>
        <v>59</v>
      </c>
      <c r="P144" s="419">
        <f t="shared" si="10"/>
        <v>75</v>
      </c>
      <c r="Q144" s="419">
        <f t="shared" si="10"/>
        <v>87</v>
      </c>
      <c r="R144" s="419">
        <f t="shared" si="10"/>
        <v>64</v>
      </c>
      <c r="S144" s="472">
        <f t="shared" si="10"/>
        <v>67</v>
      </c>
      <c r="T144" s="36"/>
      <c r="U144" s="36"/>
    </row>
    <row r="145" spans="1:21">
      <c r="A145" s="3"/>
      <c r="B145" s="672" t="str">
        <f>IF(ISBLANK(B120),"",(B120))</f>
        <v>MDR TB-8: Number of cases of XDR TB enrolled on treatment</v>
      </c>
      <c r="C145" s="673"/>
      <c r="D145" s="674"/>
      <c r="E145" s="634" t="str">
        <f>IF(ISBLANK(E120),"",(E120))</f>
        <v>TB-8</v>
      </c>
      <c r="F145" s="635" t="str">
        <f>IF(ISBLANK(F120),"",(F120))</f>
        <v>Yes</v>
      </c>
      <c r="G145" s="457" t="s">
        <v>86</v>
      </c>
      <c r="H145" s="458">
        <f t="shared" ref="H145:K148" si="11">H120</f>
        <v>16</v>
      </c>
      <c r="I145" s="458">
        <f>I120</f>
        <v>17</v>
      </c>
      <c r="J145" s="458">
        <f t="shared" si="11"/>
        <v>16</v>
      </c>
      <c r="K145" s="458">
        <f>K120</f>
        <v>17</v>
      </c>
      <c r="L145" s="458">
        <f t="shared" ref="L145:S145" si="12">L120</f>
        <v>16</v>
      </c>
      <c r="M145" s="458">
        <f t="shared" si="12"/>
        <v>17</v>
      </c>
      <c r="N145" s="458">
        <f t="shared" si="12"/>
        <v>17</v>
      </c>
      <c r="O145" s="458">
        <f t="shared" si="12"/>
        <v>17</v>
      </c>
      <c r="P145" s="458">
        <f t="shared" si="12"/>
        <v>16</v>
      </c>
      <c r="Q145" s="458">
        <f t="shared" si="12"/>
        <v>17</v>
      </c>
      <c r="R145" s="458">
        <f t="shared" si="12"/>
        <v>17</v>
      </c>
      <c r="S145" s="473">
        <f t="shared" si="12"/>
        <v>17</v>
      </c>
      <c r="T145" s="36"/>
      <c r="U145" s="36"/>
    </row>
    <row r="146" spans="1:21">
      <c r="A146" s="3"/>
      <c r="B146" s="672"/>
      <c r="C146" s="673"/>
      <c r="D146" s="674"/>
      <c r="E146" s="634"/>
      <c r="F146" s="635"/>
      <c r="G146" s="457" t="s">
        <v>87</v>
      </c>
      <c r="H146" s="458">
        <f t="shared" si="11"/>
        <v>12</v>
      </c>
      <c r="I146" s="458">
        <f t="shared" si="11"/>
        <v>13</v>
      </c>
      <c r="J146" s="458">
        <f t="shared" si="11"/>
        <v>13</v>
      </c>
      <c r="K146" s="458">
        <f t="shared" si="11"/>
        <v>18</v>
      </c>
      <c r="L146" s="458">
        <f t="shared" ref="L146:S146" si="13">L121</f>
        <v>15</v>
      </c>
      <c r="M146" s="458">
        <f t="shared" si="13"/>
        <v>12</v>
      </c>
      <c r="N146" s="458">
        <f t="shared" si="13"/>
        <v>8</v>
      </c>
      <c r="O146" s="458">
        <f t="shared" si="13"/>
        <v>10</v>
      </c>
      <c r="P146" s="458">
        <f t="shared" si="13"/>
        <v>8</v>
      </c>
      <c r="Q146" s="458">
        <f t="shared" si="13"/>
        <v>8</v>
      </c>
      <c r="R146" s="458">
        <f t="shared" si="13"/>
        <v>6</v>
      </c>
      <c r="S146" s="473">
        <f t="shared" si="13"/>
        <v>9</v>
      </c>
      <c r="T146" s="36"/>
      <c r="U146" s="36"/>
    </row>
    <row r="147" spans="1:21">
      <c r="A147" s="3"/>
      <c r="B147" s="622" t="str">
        <f>IF(ISBLANK(B122),"",(B122))</f>
        <v>MDR TB other -1: Percentage  of new and relapse TB patients tested using WHO recommended rapid tests at the time of diagnosis</v>
      </c>
      <c r="C147" s="623"/>
      <c r="D147" s="624"/>
      <c r="E147" s="636" t="str">
        <f>IF(ISBLANK(E122),"",(E122))</f>
        <v>TB other 1</v>
      </c>
      <c r="F147" s="638" t="str">
        <f>IF(ISBLANK(F122),"",(F122))</f>
        <v>Yes</v>
      </c>
      <c r="G147" s="131" t="s">
        <v>86</v>
      </c>
      <c r="H147" s="419">
        <f t="shared" si="11"/>
        <v>75</v>
      </c>
      <c r="I147" s="419">
        <f t="shared" si="11"/>
        <v>75</v>
      </c>
      <c r="J147" s="419">
        <f t="shared" si="11"/>
        <v>75</v>
      </c>
      <c r="K147" s="419">
        <f t="shared" si="11"/>
        <v>75</v>
      </c>
      <c r="L147" s="419">
        <f t="shared" ref="L147:S147" si="14">L122</f>
        <v>80</v>
      </c>
      <c r="M147" s="419">
        <f t="shared" si="14"/>
        <v>80</v>
      </c>
      <c r="N147" s="419">
        <f t="shared" si="14"/>
        <v>80</v>
      </c>
      <c r="O147" s="419">
        <f t="shared" si="14"/>
        <v>80</v>
      </c>
      <c r="P147" s="419">
        <f t="shared" si="14"/>
        <v>85</v>
      </c>
      <c r="Q147" s="419">
        <f t="shared" si="14"/>
        <v>85</v>
      </c>
      <c r="R147" s="419">
        <f t="shared" si="14"/>
        <v>85</v>
      </c>
      <c r="S147" s="472">
        <f t="shared" si="14"/>
        <v>85</v>
      </c>
      <c r="T147" s="36"/>
      <c r="U147" s="36"/>
    </row>
    <row r="148" spans="1:21" ht="15.75" thickBot="1">
      <c r="A148" s="3"/>
      <c r="B148" s="625"/>
      <c r="C148" s="626"/>
      <c r="D148" s="627"/>
      <c r="E148" s="637"/>
      <c r="F148" s="639"/>
      <c r="G148" s="132" t="s">
        <v>87</v>
      </c>
      <c r="H148" s="420">
        <f t="shared" si="11"/>
        <v>97</v>
      </c>
      <c r="I148" s="420">
        <f t="shared" si="11"/>
        <v>94</v>
      </c>
      <c r="J148" s="420">
        <f t="shared" si="11"/>
        <v>95</v>
      </c>
      <c r="K148" s="420">
        <f t="shared" si="11"/>
        <v>93</v>
      </c>
      <c r="L148" s="420">
        <f t="shared" ref="L148:S148" si="15">L123</f>
        <v>94</v>
      </c>
      <c r="M148" s="420">
        <f t="shared" si="15"/>
        <v>97</v>
      </c>
      <c r="N148" s="420">
        <f t="shared" si="15"/>
        <v>94</v>
      </c>
      <c r="O148" s="420">
        <f t="shared" si="15"/>
        <v>94</v>
      </c>
      <c r="P148" s="420">
        <f t="shared" si="15"/>
        <v>94</v>
      </c>
      <c r="Q148" s="420">
        <f t="shared" si="15"/>
        <v>94</v>
      </c>
      <c r="R148" s="420">
        <f t="shared" si="15"/>
        <v>97</v>
      </c>
      <c r="S148" s="474">
        <f t="shared" si="15"/>
        <v>95</v>
      </c>
      <c r="T148" s="36"/>
      <c r="U148" s="36"/>
    </row>
    <row r="149" spans="1:21">
      <c r="A149" s="3"/>
      <c r="B149" s="3"/>
      <c r="C149" s="3"/>
      <c r="D149" s="3"/>
      <c r="E149" s="3"/>
      <c r="F149" s="3"/>
      <c r="G149" s="3"/>
      <c r="H149" s="3"/>
      <c r="I149" s="3"/>
      <c r="J149" s="3"/>
      <c r="K149" s="3"/>
      <c r="L149" s="3"/>
      <c r="M149" s="3"/>
      <c r="N149"/>
      <c r="O149"/>
      <c r="P149" s="36"/>
      <c r="Q149" s="36"/>
      <c r="S149" s="459"/>
    </row>
    <row r="150" spans="1:21">
      <c r="N150"/>
      <c r="O150"/>
      <c r="P150" s="36"/>
      <c r="Q150" s="36"/>
    </row>
    <row r="151" spans="1:21">
      <c r="N151"/>
      <c r="O151"/>
      <c r="P151" s="36"/>
      <c r="Q151" s="36"/>
    </row>
    <row r="152" spans="1:21">
      <c r="N152"/>
      <c r="O152"/>
      <c r="P152" s="36"/>
      <c r="Q152" s="36"/>
    </row>
  </sheetData>
  <mergeCells count="73">
    <mergeCell ref="D24:E24"/>
    <mergeCell ref="G24:H24"/>
    <mergeCell ref="I24:J24"/>
    <mergeCell ref="A118:A123"/>
    <mergeCell ref="B29:N29"/>
    <mergeCell ref="B118:D119"/>
    <mergeCell ref="B60:D60"/>
    <mergeCell ref="F122:F123"/>
    <mergeCell ref="B120:D121"/>
    <mergeCell ref="B122:D123"/>
    <mergeCell ref="B73:C73"/>
    <mergeCell ref="E122:E123"/>
    <mergeCell ref="B116:D116"/>
    <mergeCell ref="B2:J2"/>
    <mergeCell ref="C4:D4"/>
    <mergeCell ref="E4:F4"/>
    <mergeCell ref="G4:J4"/>
    <mergeCell ref="H16:I16"/>
    <mergeCell ref="C6:D6"/>
    <mergeCell ref="E6:F6"/>
    <mergeCell ref="I6:J6"/>
    <mergeCell ref="G12:J12"/>
    <mergeCell ref="G10:J10"/>
    <mergeCell ref="B18:C18"/>
    <mergeCell ref="E10:F10"/>
    <mergeCell ref="I8:J8"/>
    <mergeCell ref="C10:D10"/>
    <mergeCell ref="E12:F12"/>
    <mergeCell ref="C8:D8"/>
    <mergeCell ref="B14:J14"/>
    <mergeCell ref="B145:D146"/>
    <mergeCell ref="B128:D129"/>
    <mergeCell ref="B130:D131"/>
    <mergeCell ref="B132:D133"/>
    <mergeCell ref="B134:D135"/>
    <mergeCell ref="B124:D125"/>
    <mergeCell ref="C12:D12"/>
    <mergeCell ref="D18:F18"/>
    <mergeCell ref="F132:F133"/>
    <mergeCell ref="F126:F127"/>
    <mergeCell ref="B71:C71"/>
    <mergeCell ref="B26:C26"/>
    <mergeCell ref="B108:B111"/>
    <mergeCell ref="F128:F129"/>
    <mergeCell ref="E130:E131"/>
    <mergeCell ref="F130:F131"/>
    <mergeCell ref="E124:E125"/>
    <mergeCell ref="E128:E129"/>
    <mergeCell ref="F124:F125"/>
    <mergeCell ref="B21:J21"/>
    <mergeCell ref="B72:C72"/>
    <mergeCell ref="B147:D148"/>
    <mergeCell ref="B136:D137"/>
    <mergeCell ref="E145:E146"/>
    <mergeCell ref="E126:E127"/>
    <mergeCell ref="F145:F146"/>
    <mergeCell ref="E147:E148"/>
    <mergeCell ref="F147:F148"/>
    <mergeCell ref="E134:E135"/>
    <mergeCell ref="F134:F135"/>
    <mergeCell ref="E136:E137"/>
    <mergeCell ref="F136:F137"/>
    <mergeCell ref="E143:E144"/>
    <mergeCell ref="F143:F144"/>
    <mergeCell ref="B126:D127"/>
    <mergeCell ref="E132:E133"/>
    <mergeCell ref="B143:D144"/>
    <mergeCell ref="O31:O34"/>
    <mergeCell ref="E118:E119"/>
    <mergeCell ref="F118:F119"/>
    <mergeCell ref="F120:F121"/>
    <mergeCell ref="E120:E121"/>
    <mergeCell ref="F47:I47"/>
  </mergeCells>
  <phoneticPr fontId="30" type="noConversion"/>
  <conditionalFormatting sqref="B34 C33:N33 B32 F32:H32">
    <cfRule type="expression" dxfId="45" priority="6" stopIfTrue="1">
      <formula>+AND(#REF!&gt;=#REF!,#REF!&lt;=#REF!)</formula>
    </cfRule>
  </conditionalFormatting>
  <conditionalFormatting sqref="C34:N34">
    <cfRule type="expression" dxfId="44" priority="7" stopIfTrue="1">
      <formula>+AND(#REF!&gt;=#REF!,#REF!&lt;=#REF!)</formula>
    </cfRule>
  </conditionalFormatting>
  <conditionalFormatting sqref="C30:N30 C94:N94">
    <cfRule type="cellIs" dxfId="43" priority="10" stopIfTrue="1" operator="equal">
      <formula>$C$16</formula>
    </cfRule>
  </conditionalFormatting>
  <conditionalFormatting sqref="C12:D12">
    <cfRule type="cellIs" dxfId="42" priority="12" stopIfTrue="1" operator="equal">
      <formula>"C"</formula>
    </cfRule>
    <cfRule type="cellIs" dxfId="41" priority="13" stopIfTrue="1" operator="equal">
      <formula>"B2"</formula>
    </cfRule>
    <cfRule type="cellIs" dxfId="40" priority="14" stopIfTrue="1" operator="equal">
      <formula>"B1"</formula>
    </cfRule>
  </conditionalFormatting>
  <conditionalFormatting sqref="H116:S117 H142:S142">
    <cfRule type="cellIs" dxfId="39" priority="21" stopIfTrue="1" operator="equal">
      <formula>$C$16</formula>
    </cfRule>
  </conditionalFormatting>
  <conditionalFormatting sqref="F47:I47">
    <cfRule type="expression" dxfId="38" priority="22" stopIfTrue="1">
      <formula>LEFT($F$47,2)="OK"</formula>
    </cfRule>
  </conditionalFormatting>
  <conditionalFormatting sqref="D32">
    <cfRule type="expression" dxfId="37" priority="5" stopIfTrue="1">
      <formula>+AND(#REF!&gt;=#REF!,#REF!&lt;=#REF!)</formula>
    </cfRule>
  </conditionalFormatting>
  <conditionalFormatting sqref="I32">
    <cfRule type="expression" dxfId="36" priority="4" stopIfTrue="1">
      <formula>+AND(#REF!&gt;=#REF!,#REF!&lt;=#REF!)</formula>
    </cfRule>
  </conditionalFormatting>
  <conditionalFormatting sqref="C31">
    <cfRule type="expression" dxfId="35" priority="3" stopIfTrue="1">
      <formula>+AND(#REF!&gt;=#REF!,#REF!&lt;=#REF!)</formula>
    </cfRule>
  </conditionalFormatting>
  <conditionalFormatting sqref="C32">
    <cfRule type="expression" dxfId="34" priority="2" stopIfTrue="1">
      <formula>+AND(#REF!&gt;=#REF!,#REF!&lt;=#REF!)</formula>
    </cfRule>
  </conditionalFormatting>
  <conditionalFormatting sqref="E32">
    <cfRule type="expression" dxfId="33" priority="1" stopIfTrue="1">
      <formula>+AND(#REF!&gt;=#REF!,#REF!&lt;=#REF!)</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ageMargins left="0.70866141732283472" right="0.70866141732283472" top="0.74803149606299213" bottom="0.74803149606299213" header="0.31496062992125984" footer="0.31496062992125984"/>
  <pageSetup paperSize="9" scale="77" orientation="landscape" r:id="rId1"/>
  <headerFooter>
    <oddFooter>&amp;L&amp;F&amp;C&amp;A&amp;RV1.0          &amp;D</oddFooter>
  </headerFooter>
  <rowBreaks count="3" manualBreakCount="3">
    <brk id="27" max="16383" man="1"/>
    <brk id="65" max="16383" man="1"/>
    <brk id="67" max="16383" man="1"/>
  </rowBreaks>
  <ignoredErrors>
    <ignoredError sqref="H142:S142 E143 E90 D96:E96 E32:F32 J97 K96:M96 F96:G96 C56"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topLeftCell="F1" zoomScale="110" zoomScaleNormal="110" zoomScaleSheetLayoutView="100" zoomScalePageLayoutView="110" workbookViewId="0">
      <selection activeCell="D11" sqref="D11"/>
    </sheetView>
  </sheetViews>
  <sheetFormatPr defaultColWidth="11.42578125" defaultRowHeight="15"/>
  <cols>
    <col min="1" max="1" width="21.140625" style="3" customWidth="1"/>
    <col min="2" max="2" width="12.42578125" style="3" customWidth="1"/>
    <col min="3" max="3" width="20.42578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42578125" style="3" customWidth="1"/>
    <col min="15" max="15" width="7.140625" style="3" customWidth="1"/>
    <col min="16" max="16384" width="11.42578125" style="3"/>
  </cols>
  <sheetData>
    <row r="1" spans="1:24" ht="21" customHeight="1">
      <c r="A1" s="2"/>
      <c r="B1" s="2"/>
      <c r="C1" s="2"/>
      <c r="D1" s="2"/>
      <c r="E1" s="2"/>
      <c r="F1" s="2"/>
      <c r="G1" s="276"/>
      <c r="H1" s="2"/>
      <c r="I1" s="2"/>
      <c r="J1" s="2"/>
    </row>
    <row r="2" spans="1:24" ht="25.5" customHeight="1"/>
    <row r="3" spans="1:24" ht="36">
      <c r="B3" s="719" t="str">
        <f>+"Dashboard: "&amp;" "&amp;+IF('Data Entry'!C4="Please Select","",'Data Entry'!C4&amp;" - ")&amp;+IF('Data Entry'!G6="Please Select","",'Data Entry'!G6)</f>
        <v>Dashboard:  Georgia - TB</v>
      </c>
      <c r="C3" s="719"/>
      <c r="D3" s="719"/>
      <c r="E3" s="719"/>
      <c r="F3" s="719"/>
      <c r="G3" s="719"/>
      <c r="H3" s="719"/>
      <c r="I3" s="719"/>
      <c r="J3" s="719"/>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69" t="s">
        <v>26</v>
      </c>
      <c r="B6" s="720" t="str">
        <f>+IF('Data Entry'!C4="Please Select","",'Data Entry'!C4)</f>
        <v>Georgia</v>
      </c>
      <c r="C6" s="720"/>
      <c r="D6" s="723" t="s">
        <v>12</v>
      </c>
      <c r="E6" s="723"/>
      <c r="F6" s="724" t="str">
        <f>+'Data Entry'!G4</f>
        <v>Sustaining Universal Access to Quality Diagnosis and Treatment of all forms of TB</v>
      </c>
      <c r="G6" s="724"/>
      <c r="H6" s="724"/>
      <c r="I6" s="724"/>
      <c r="J6" s="724"/>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80" t="s">
        <v>27</v>
      </c>
      <c r="B9" s="348" t="str">
        <f>+IF('Data Entry'!G6="Please Select","",'Data Entry'!G6)</f>
        <v>TB</v>
      </c>
      <c r="C9" s="228" t="s">
        <v>329</v>
      </c>
      <c r="D9" s="349" t="str">
        <f>+'Data Entry'!C6</f>
        <v>GEO-T-NCDC</v>
      </c>
      <c r="E9" s="722" t="s">
        <v>13</v>
      </c>
      <c r="F9" s="722"/>
      <c r="G9" s="350">
        <f>+IF(ISBLANK('Data Entry'!C10),"",'Data Entry'!C10)</f>
        <v>42736</v>
      </c>
      <c r="H9" s="380" t="s">
        <v>330</v>
      </c>
      <c r="I9" s="721">
        <f>+IF(ISBLANK('Data Entry'!I6),"",'Data Entry'!I6)</f>
        <v>12125491</v>
      </c>
      <c r="J9" s="721"/>
      <c r="K9" s="50"/>
      <c r="L9" s="50"/>
      <c r="M9" s="50"/>
      <c r="N9" s="50"/>
      <c r="O9" s="52"/>
      <c r="P9" s="51"/>
      <c r="Q9" s="52"/>
      <c r="R9" s="53"/>
      <c r="S9" s="17"/>
      <c r="T9" s="11"/>
      <c r="U9" s="11"/>
      <c r="V9" s="10"/>
      <c r="W9" s="10"/>
      <c r="X9" s="10"/>
    </row>
    <row r="10" spans="1:24" ht="25.5" customHeight="1">
      <c r="A10" s="380" t="s">
        <v>324</v>
      </c>
      <c r="B10" s="351" t="str">
        <f>+IF('Data Entry'!G8="Please Select","",'Data Entry'!G8)</f>
        <v>NFM</v>
      </c>
      <c r="C10" s="228" t="s">
        <v>323</v>
      </c>
      <c r="D10" s="352" t="str">
        <f>+IF('Data Entry'!I8="Please Select","",'Data Entry'!I8)</f>
        <v>Phase 1</v>
      </c>
      <c r="E10" s="715" t="s">
        <v>269</v>
      </c>
      <c r="F10" s="715"/>
      <c r="G10" s="714" t="str">
        <f>+'Data Entry'!C8</f>
        <v>NCDC</v>
      </c>
      <c r="H10" s="714"/>
      <c r="I10" s="714"/>
      <c r="J10" s="714"/>
      <c r="K10" s="54"/>
      <c r="L10" s="54"/>
      <c r="M10" s="50"/>
      <c r="N10" s="54"/>
      <c r="O10" s="52"/>
      <c r="P10" s="51"/>
      <c r="Q10" s="11"/>
      <c r="R10" s="53"/>
      <c r="S10" s="17"/>
      <c r="T10" s="11"/>
      <c r="U10" s="11"/>
    </row>
    <row r="11" spans="1:24" ht="25.5" customHeight="1">
      <c r="A11" s="380" t="s">
        <v>21</v>
      </c>
      <c r="B11" s="353" t="str">
        <f>+'Data Entry'!C16</f>
        <v>P12</v>
      </c>
      <c r="C11" s="334" t="s">
        <v>267</v>
      </c>
      <c r="D11" s="354">
        <f>+IF(ISBLANK('Data Entry'!E16),"",'Data Entry'!E16)</f>
        <v>43831</v>
      </c>
      <c r="E11" s="722" t="s">
        <v>22</v>
      </c>
      <c r="F11" s="722"/>
      <c r="G11" s="354">
        <f>+IF(ISBLANK('Data Entry'!G16),"",'Data Entry'!G16)</f>
        <v>43921</v>
      </c>
      <c r="H11" s="380" t="s">
        <v>29</v>
      </c>
      <c r="I11" s="716" t="str">
        <f>+IF('Data Entry'!C12="Please Select","",'Data Entry'!C12)</f>
        <v>A2</v>
      </c>
      <c r="J11" s="716"/>
      <c r="K11" s="275"/>
      <c r="L11" s="54"/>
      <c r="M11" s="50"/>
      <c r="N11" s="54"/>
      <c r="O11" s="54"/>
      <c r="P11" s="51"/>
      <c r="Q11" s="11"/>
      <c r="R11" s="53"/>
      <c r="S11" s="17"/>
      <c r="T11" s="12"/>
      <c r="U11" s="11"/>
    </row>
    <row r="12" spans="1:24" ht="25.5" customHeight="1">
      <c r="A12" s="380" t="s">
        <v>31</v>
      </c>
      <c r="B12" s="714" t="str">
        <f>+IF('Data Entry'!G10="Please Select","",'Data Entry'!G10)</f>
        <v>UNOPS</v>
      </c>
      <c r="C12" s="714"/>
      <c r="D12" s="714"/>
      <c r="E12" s="715" t="s">
        <v>290</v>
      </c>
      <c r="F12" s="715"/>
      <c r="G12" s="714">
        <f>+'Data Entry'!G12</f>
        <v>0</v>
      </c>
      <c r="H12" s="714"/>
      <c r="I12" s="714"/>
      <c r="J12" s="714"/>
      <c r="K12" s="54"/>
      <c r="L12" s="54"/>
      <c r="M12" s="50"/>
      <c r="N12" s="54"/>
      <c r="O12" s="17"/>
      <c r="P12" s="51"/>
      <c r="Q12" s="11"/>
      <c r="R12" s="53"/>
      <c r="S12" s="17"/>
      <c r="T12" s="11"/>
      <c r="U12" s="55"/>
      <c r="V12" s="11"/>
      <c r="W12" s="12"/>
      <c r="X12" s="11"/>
    </row>
    <row r="13" spans="1:24" ht="25.5" customHeight="1">
      <c r="A13" s="380" t="s">
        <v>32</v>
      </c>
      <c r="B13" s="714" t="str">
        <f>+'Data Entry'!D18</f>
        <v>Maka Danelia, Nino Vakhania</v>
      </c>
      <c r="C13" s="714"/>
      <c r="D13" s="714"/>
      <c r="E13" s="715" t="s">
        <v>30</v>
      </c>
      <c r="F13" s="715"/>
      <c r="G13" s="717">
        <f>+IF(ISBLANK('Data Entry'!J16),"",'Data Entry'!J16)</f>
        <v>43528</v>
      </c>
      <c r="H13" s="718"/>
      <c r="I13" s="718"/>
      <c r="J13" s="718"/>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7"/>
      <c r="D16" s="16"/>
      <c r="E16" s="381"/>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phoneticPr fontId="30" type="noConversion"/>
  <conditionalFormatting sqref="I11:J11">
    <cfRule type="cellIs" dxfId="32" priority="1" stopIfTrue="1" operator="equal">
      <formula>"C"</formula>
    </cfRule>
    <cfRule type="cellIs" dxfId="31" priority="2" stopIfTrue="1" operator="equal">
      <formula>"B2"</formula>
    </cfRule>
    <cfRule type="cellIs" dxfId="30"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zoomScale="150" zoomScaleNormal="150" zoomScalePageLayoutView="150" workbookViewId="0">
      <selection activeCell="E4" sqref="E4:H4"/>
    </sheetView>
  </sheetViews>
  <sheetFormatPr defaultColWidth="11" defaultRowHeight="15"/>
  <cols>
    <col min="1" max="1" width="3.42578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669" t="str">
        <f>+"Dashboard:  "&amp;"  "&amp;IF(+'Data Entry'!C4="Please Select","",'Data Entry'!C4&amp;" - ")&amp;IF('Data Entry'!G6="Please Select","",'Data Entry'!G6)</f>
        <v>Dashboard:    Georgia - TB</v>
      </c>
      <c r="C2" s="669"/>
      <c r="D2" s="669"/>
      <c r="E2" s="669"/>
      <c r="F2" s="669"/>
      <c r="G2" s="669"/>
      <c r="H2" s="669"/>
      <c r="I2" s="669"/>
      <c r="J2" s="669"/>
      <c r="K2" s="669"/>
      <c r="L2" s="1"/>
      <c r="M2" s="1"/>
      <c r="N2" s="1"/>
      <c r="O2" s="1"/>
    </row>
    <row r="3" spans="2:15">
      <c r="B3" s="135" t="str">
        <f>+IF('Data Entry'!G8="Please Select","",'Data Entry'!G8)</f>
        <v>NFM</v>
      </c>
      <c r="C3" s="739" t="str">
        <f>+IF('Data Entry'!I8="Please Select","",'Data Entry'!I8)</f>
        <v>Phase 1</v>
      </c>
      <c r="D3" s="739"/>
      <c r="E3" s="738"/>
      <c r="F3" s="738"/>
      <c r="G3" s="738"/>
      <c r="H3" s="738"/>
      <c r="I3" s="736" t="str">
        <f>+'Data Entry'!B16</f>
        <v>Report Period:</v>
      </c>
      <c r="J3" s="736"/>
      <c r="K3" s="201" t="str">
        <f>+'Data Entry'!C16</f>
        <v>P12</v>
      </c>
      <c r="L3" s="83"/>
    </row>
    <row r="4" spans="2:15">
      <c r="B4" s="135" t="str">
        <f>+'Data Entry'!B12</f>
        <v>Latest Rating:</v>
      </c>
      <c r="C4" s="740" t="str">
        <f>+IF('Data Entry'!C12="Please Select","",'Data Entry'!C12)</f>
        <v>A2</v>
      </c>
      <c r="D4" s="740"/>
      <c r="E4" s="738" t="str">
        <f>+'Data Entry'!C8</f>
        <v>NCDC</v>
      </c>
      <c r="F4" s="738"/>
      <c r="G4" s="738"/>
      <c r="H4" s="738"/>
      <c r="I4" s="736" t="str">
        <f>+'Data Entry'!D16</f>
        <v>From:</v>
      </c>
      <c r="J4" s="737"/>
      <c r="K4" s="203">
        <f>+IF(ISBLANK('Data Entry'!E16),"",'Data Entry'!E16)</f>
        <v>43831</v>
      </c>
    </row>
    <row r="5" spans="2:15" ht="18.75" customHeight="1">
      <c r="B5" s="135"/>
      <c r="C5" s="135"/>
      <c r="D5" s="735" t="str">
        <f>+'Data Entry'!G4</f>
        <v>Sustaining Universal Access to Quality Diagnosis and Treatment of all forms of TB</v>
      </c>
      <c r="E5" s="735"/>
      <c r="F5" s="735"/>
      <c r="G5" s="735"/>
      <c r="H5" s="735"/>
      <c r="I5" s="735"/>
      <c r="J5" s="135" t="str">
        <f>+'Data Entry'!F16</f>
        <v>To:</v>
      </c>
      <c r="K5" s="203">
        <f>+IF(ISBLANK('Data Entry'!G16),"",'Data Entry'!G16)</f>
        <v>43921</v>
      </c>
    </row>
    <row r="6" spans="2:15" ht="18.75">
      <c r="B6" s="139"/>
      <c r="C6" s="135"/>
      <c r="D6" s="136"/>
      <c r="E6" s="741" t="s">
        <v>63</v>
      </c>
      <c r="F6" s="741"/>
      <c r="G6" s="741"/>
      <c r="H6" s="741"/>
      <c r="I6" s="3"/>
      <c r="J6" s="3"/>
      <c r="K6" s="3"/>
    </row>
    <row r="7" spans="2:15" ht="10.5" customHeight="1">
      <c r="B7" s="140"/>
      <c r="C7" s="141"/>
      <c r="D7" s="142"/>
      <c r="E7" s="143"/>
      <c r="F7" s="143"/>
      <c r="G7" s="144"/>
      <c r="H7" s="144"/>
      <c r="I7" s="138"/>
      <c r="J7" s="138"/>
      <c r="K7" s="137"/>
    </row>
    <row r="8" spans="2:15">
      <c r="B8" s="206" t="str">
        <f>+'Data Entry'!B27&amp; " - in ("&amp;'Data Entry'!D26&amp;")         "&amp;+I3&amp;" "&amp;+K3</f>
        <v>F1: Budget and disbursements by Global Fund - in ($)         Report Period: P12</v>
      </c>
      <c r="C8" s="145"/>
      <c r="D8" s="2"/>
      <c r="E8" s="2"/>
      <c r="F8" s="2"/>
      <c r="H8" s="206" t="str">
        <f>+'Data Entry'!B49&amp; " - in ("&amp;'Data Entry'!D26&amp;")         "&amp;+I3&amp;" "&amp;+K3</f>
        <v>F3: Disbursements and expenditures - in ($)         Report Period: P12</v>
      </c>
      <c r="I8" s="3"/>
      <c r="J8" s="3"/>
      <c r="K8" s="3"/>
    </row>
    <row r="9" spans="2:15">
      <c r="B9" s="358" t="s">
        <v>9</v>
      </c>
      <c r="C9" s="725"/>
      <c r="D9" s="726"/>
      <c r="E9" s="726"/>
      <c r="F9" s="727"/>
      <c r="H9" s="359" t="s">
        <v>9</v>
      </c>
      <c r="I9" s="728"/>
      <c r="J9" s="726"/>
      <c r="K9" s="727"/>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7" t="str">
        <f>+'Data Entry'!B36&amp; " - in ("&amp;'Data Entry'!D26&amp;")  "&amp;+I3&amp;" "&amp;+K3</f>
        <v>F2: Budget and actual expenditures by Grant Objective - in ($)  Report Period: P12</v>
      </c>
      <c r="C22" s="2"/>
      <c r="D22" s="2"/>
      <c r="E22" s="2"/>
      <c r="F22" s="2"/>
      <c r="H22" s="207" t="str">
        <f>+'Data Entry'!B58&amp;"      "&amp;+I3&amp;" "&amp;+K3</f>
        <v>F4: Latest PR reporting and disbursement cycle      Report Period: P12</v>
      </c>
      <c r="J22" s="3"/>
      <c r="K22" s="3"/>
    </row>
    <row r="23" spans="1:11">
      <c r="B23" s="359" t="s">
        <v>10</v>
      </c>
      <c r="C23" s="728"/>
      <c r="D23" s="726"/>
      <c r="E23" s="726"/>
      <c r="F23" s="727"/>
      <c r="G23" s="377"/>
      <c r="H23" s="359" t="s">
        <v>9</v>
      </c>
      <c r="I23" s="728"/>
      <c r="J23" s="729"/>
      <c r="K23" s="730"/>
    </row>
    <row r="24" spans="1:11" ht="15.75" thickBot="1">
      <c r="B24" s="216"/>
      <c r="C24" s="216"/>
      <c r="D24" s="216"/>
      <c r="E24" s="216"/>
      <c r="F24" s="216"/>
      <c r="G24" s="216"/>
      <c r="H24" s="217"/>
      <c r="I24" s="217"/>
      <c r="J24" s="216"/>
      <c r="K24" s="216"/>
    </row>
    <row r="25" spans="1:11" ht="29.25" customHeight="1" thickBot="1">
      <c r="B25" s="3"/>
      <c r="C25" s="3"/>
      <c r="D25" s="3"/>
      <c r="E25" s="3"/>
      <c r="F25" s="3"/>
      <c r="G25" s="332"/>
      <c r="H25" s="742" t="s">
        <v>309</v>
      </c>
      <c r="I25" s="743"/>
      <c r="J25" s="743"/>
      <c r="K25" s="744"/>
    </row>
    <row r="26" spans="1:11" ht="24.75">
      <c r="B26" s="3"/>
      <c r="C26" s="3"/>
      <c r="D26" s="3"/>
      <c r="E26" s="3"/>
      <c r="F26" s="3"/>
      <c r="G26" s="294"/>
      <c r="H26" s="745"/>
      <c r="I26" s="746"/>
      <c r="J26" s="308" t="s">
        <v>61</v>
      </c>
      <c r="K26" s="309" t="s">
        <v>62</v>
      </c>
    </row>
    <row r="27" spans="1:11" ht="23.25" customHeight="1">
      <c r="B27" s="3"/>
      <c r="C27" s="3"/>
      <c r="D27" s="3"/>
      <c r="E27" s="3"/>
      <c r="F27" s="3"/>
      <c r="G27" s="333"/>
      <c r="H27" s="731" t="str">
        <f>'Data Entry'!B62</f>
        <v>Days taken to submit final PU/DR to LFA</v>
      </c>
      <c r="I27" s="732"/>
      <c r="J27" s="310">
        <f>+'Data Entry'!C62</f>
        <v>60</v>
      </c>
      <c r="K27" s="307">
        <f>+'Data Entry'!D62</f>
        <v>60</v>
      </c>
    </row>
    <row r="28" spans="1:11" ht="21" customHeight="1">
      <c r="B28" s="3"/>
      <c r="C28" s="3"/>
      <c r="D28" s="3"/>
      <c r="E28" s="3"/>
      <c r="F28" s="3"/>
      <c r="G28" s="333"/>
      <c r="H28" s="731" t="str">
        <f>'Data Entry'!B63</f>
        <v>Days taken for disbursement to reach PR</v>
      </c>
      <c r="I28" s="732"/>
      <c r="J28" s="310">
        <f>+'Data Entry'!C63</f>
        <v>45</v>
      </c>
      <c r="K28" s="307" t="str">
        <f>+'Data Entry'!D63</f>
        <v>N/A</v>
      </c>
    </row>
    <row r="29" spans="1:11" ht="21" customHeight="1" thickBot="1">
      <c r="B29" s="3"/>
      <c r="C29" s="3"/>
      <c r="D29" s="3"/>
      <c r="E29" s="3"/>
      <c r="F29" s="3"/>
      <c r="G29" s="333"/>
      <c r="H29" s="733" t="str">
        <f>'Data Entry'!B64</f>
        <v xml:space="preserve">Days taken for disbursement to reach SRs </v>
      </c>
      <c r="I29" s="734"/>
      <c r="J29" s="311">
        <f>+'Data Entry'!C64</f>
        <v>5</v>
      </c>
      <c r="K29" s="312">
        <f>+'Data Entry'!D64</f>
        <v>5</v>
      </c>
    </row>
    <row r="30" spans="1:11">
      <c r="B30" s="3"/>
      <c r="C30" s="3"/>
      <c r="D30" s="3"/>
      <c r="E30" s="3"/>
      <c r="F30" s="3"/>
      <c r="G30" s="3"/>
      <c r="H30" s="3"/>
      <c r="I30" s="3"/>
      <c r="J30" s="3"/>
      <c r="K30" s="3"/>
    </row>
    <row r="31" spans="1:11">
      <c r="B31" s="3"/>
      <c r="C31" s="15"/>
      <c r="D31" s="238"/>
      <c r="E31" s="3"/>
      <c r="F31" s="3"/>
      <c r="G31" s="3"/>
      <c r="H31" s="3"/>
      <c r="I31" s="3"/>
      <c r="J31" s="3"/>
      <c r="K31" s="3"/>
    </row>
    <row r="32" spans="1:11">
      <c r="B32" s="3"/>
      <c r="C32" s="15"/>
      <c r="D32" s="238"/>
      <c r="E32" s="3"/>
      <c r="F32" s="3"/>
      <c r="G32" s="3"/>
      <c r="H32" s="3"/>
      <c r="I32" s="3"/>
      <c r="J32" s="3"/>
      <c r="K32" s="3"/>
    </row>
    <row r="34" spans="5:5">
      <c r="E34" s="19"/>
    </row>
  </sheetData>
  <sheetProtection password="CFC9" sheet="1"/>
  <mergeCells count="18">
    <mergeCell ref="H29:I29"/>
    <mergeCell ref="B2:K2"/>
    <mergeCell ref="D5:I5"/>
    <mergeCell ref="I4:J4"/>
    <mergeCell ref="I3:J3"/>
    <mergeCell ref="E3:H3"/>
    <mergeCell ref="C3:D3"/>
    <mergeCell ref="C4:D4"/>
    <mergeCell ref="E4:H4"/>
    <mergeCell ref="E6:H6"/>
    <mergeCell ref="H25:K25"/>
    <mergeCell ref="H26:I26"/>
    <mergeCell ref="H27:I27"/>
    <mergeCell ref="C9:F9"/>
    <mergeCell ref="I23:K23"/>
    <mergeCell ref="C23:F23"/>
    <mergeCell ref="I9:K9"/>
    <mergeCell ref="H28:I28"/>
  </mergeCells>
  <phoneticPr fontId="30" type="noConversion"/>
  <conditionalFormatting sqref="K27:K29">
    <cfRule type="cellIs" dxfId="29" priority="4" stopIfTrue="1" operator="greaterThan">
      <formula>#REF!</formula>
    </cfRule>
    <cfRule type="cellIs" dxfId="28" priority="5" stopIfTrue="1" operator="between">
      <formula>#REF!</formula>
      <formula>1</formula>
    </cfRule>
    <cfRule type="cellIs" dxfId="27" priority="6" stopIfTrue="1" operator="equal">
      <formula>0</formula>
    </cfRule>
  </conditionalFormatting>
  <conditionalFormatting sqref="C4:D4">
    <cfRule type="cellIs" dxfId="26" priority="1" stopIfTrue="1" operator="equal">
      <formula>"C"</formula>
    </cfRule>
    <cfRule type="cellIs" dxfId="25" priority="2" stopIfTrue="1" operator="equal">
      <formula>"B2"</formula>
    </cfRule>
    <cfRule type="cellIs" dxfId="24"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topLeftCell="A16" zoomScale="130" zoomScaleNormal="130" zoomScalePageLayoutView="130" workbookViewId="0">
      <selection activeCell="I27" sqref="I27:L27"/>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42578125" customWidth="1"/>
    <col min="12" max="12" width="14.140625" customWidth="1"/>
  </cols>
  <sheetData>
    <row r="1" spans="1:16" ht="28.5" customHeight="1">
      <c r="C1" s="234"/>
      <c r="E1" s="235"/>
    </row>
    <row r="2" spans="1:16" ht="27.75" customHeight="1">
      <c r="B2" s="757" t="str">
        <f>+"Dashboard:  "&amp;"  "&amp;IF(+'Data Entry'!C4="Please Select","",'Data Entry'!C4&amp;" - ")&amp;IF('Data Entry'!G6="Please Select","",'Data Entry'!G6)</f>
        <v>Dashboard:    Georgia - TB</v>
      </c>
      <c r="C2" s="757"/>
      <c r="D2" s="757"/>
      <c r="E2" s="757"/>
      <c r="F2" s="757"/>
      <c r="G2" s="757"/>
      <c r="H2" s="757"/>
      <c r="I2" s="757"/>
      <c r="J2" s="757"/>
      <c r="K2" s="757"/>
      <c r="L2" s="757"/>
      <c r="M2" s="26"/>
      <c r="N2" s="26"/>
      <c r="O2" s="26"/>
      <c r="P2" s="26"/>
    </row>
    <row r="3" spans="1:16">
      <c r="B3" s="24" t="str">
        <f>+IF('Data Entry'!G8="Please Select","",'Data Entry'!G8)</f>
        <v>NFM</v>
      </c>
      <c r="C3" s="756" t="str">
        <f>+IF('Data Entry'!I8="Please Select","",'Data Entry'!I8)</f>
        <v>Phase 1</v>
      </c>
      <c r="D3" s="756"/>
      <c r="E3" s="754"/>
      <c r="F3" s="754"/>
      <c r="G3" s="754"/>
      <c r="H3" s="754"/>
      <c r="I3" s="754"/>
      <c r="J3" s="750" t="str">
        <f>+'Data Entry'!B16</f>
        <v>Report Period:</v>
      </c>
      <c r="K3" s="750"/>
      <c r="L3" s="201" t="str">
        <f>+'Data Entry'!C16</f>
        <v>P12</v>
      </c>
    </row>
    <row r="4" spans="1:16">
      <c r="B4" s="24" t="str">
        <f>+'Data Entry'!B12</f>
        <v>Latest Rating:</v>
      </c>
      <c r="C4" s="740" t="str">
        <f>+IF('Data Entry'!C12="Please Select","",'Data Entry'!C12)</f>
        <v>A2</v>
      </c>
      <c r="D4" s="740"/>
      <c r="E4" s="754" t="str">
        <f>+'Data Entry'!C8</f>
        <v>NCDC</v>
      </c>
      <c r="F4" s="754"/>
      <c r="G4" s="754"/>
      <c r="H4" s="754"/>
      <c r="I4" s="754"/>
      <c r="J4" s="750" t="str">
        <f>+'Data Entry'!D16</f>
        <v>From:</v>
      </c>
      <c r="K4" s="751"/>
      <c r="L4" s="203">
        <f>+IF(ISBLANK('Data Entry'!E16),"",'Data Entry'!E16)</f>
        <v>43831</v>
      </c>
    </row>
    <row r="5" spans="1:16" ht="18.75" customHeight="1">
      <c r="B5" s="24"/>
      <c r="C5" s="24"/>
      <c r="D5" s="754" t="str">
        <f>+'Data Entry'!G4</f>
        <v>Sustaining Universal Access to Quality Diagnosis and Treatment of all forms of TB</v>
      </c>
      <c r="E5" s="754"/>
      <c r="F5" s="754"/>
      <c r="G5" s="754"/>
      <c r="H5" s="754"/>
      <c r="I5" s="754"/>
      <c r="J5" s="754"/>
      <c r="K5" s="24" t="str">
        <f>+'Data Entry'!F16</f>
        <v>To:</v>
      </c>
      <c r="L5" s="203">
        <f>+IF(ISBLANK('Data Entry'!G16),"",'Data Entry'!G16)</f>
        <v>43921</v>
      </c>
    </row>
    <row r="6" spans="1:16" ht="18.75">
      <c r="B6" s="23"/>
      <c r="C6" s="24"/>
      <c r="D6" s="25"/>
      <c r="E6" s="758" t="s">
        <v>70</v>
      </c>
      <c r="F6" s="758"/>
      <c r="G6" s="758"/>
      <c r="H6" s="758"/>
      <c r="I6" s="758"/>
    </row>
    <row r="7" spans="1:16">
      <c r="B7" s="378" t="str">
        <f>+'Data Entry'!B69&amp;"                "&amp;+J3&amp;" "&amp;+L3</f>
        <v>M1: Status of Conditions Precedent (CPs) and Time Bound Actions (TBAs)                Report Period: P12</v>
      </c>
      <c r="C7" s="21"/>
      <c r="H7" s="378" t="str">
        <f>+'Data Entry'!B76&amp;"                                                                             "&amp;+J3&amp;"  "&amp;+L3</f>
        <v>M2: Status of key PR management positions                                                                             Report Period:  P12</v>
      </c>
    </row>
    <row r="8" spans="1:16">
      <c r="B8" s="360" t="s">
        <v>9</v>
      </c>
      <c r="C8" s="728"/>
      <c r="D8" s="729"/>
      <c r="E8" s="729"/>
      <c r="F8" s="730"/>
      <c r="G8" s="379"/>
      <c r="H8" s="359" t="s">
        <v>9</v>
      </c>
      <c r="I8" s="728"/>
      <c r="J8" s="752"/>
      <c r="K8" s="752"/>
      <c r="L8" s="753"/>
    </row>
    <row r="9" spans="1:16">
      <c r="B9" s="19"/>
      <c r="C9" s="19"/>
      <c r="D9" s="19"/>
      <c r="E9" s="19"/>
      <c r="F9" s="19"/>
      <c r="G9" s="19"/>
      <c r="H9" s="19"/>
    </row>
    <row r="10" spans="1:16">
      <c r="A10" s="47"/>
      <c r="B10" s="19"/>
      <c r="C10" s="19"/>
      <c r="D10" s="755"/>
      <c r="E10" s="539"/>
      <c r="F10" s="539"/>
      <c r="G10" s="210"/>
      <c r="H10" s="19"/>
      <c r="N10" s="49"/>
      <c r="O10" s="49"/>
      <c r="P10" s="48"/>
    </row>
    <row r="11" spans="1:16">
      <c r="B11" s="19"/>
      <c r="C11" s="28"/>
      <c r="D11" s="755"/>
      <c r="E11" s="28"/>
      <c r="F11" s="28"/>
      <c r="G11" s="28"/>
      <c r="H11" s="28"/>
      <c r="N11" s="19"/>
      <c r="O11" s="19"/>
    </row>
    <row r="12" spans="1:16">
      <c r="B12" s="28"/>
      <c r="C12" s="79"/>
      <c r="D12" s="80"/>
      <c r="E12" s="80"/>
      <c r="F12" s="80"/>
      <c r="G12" s="80"/>
      <c r="H12" s="81"/>
    </row>
    <row r="13" spans="1:16">
      <c r="B13" s="28"/>
      <c r="C13" s="79"/>
      <c r="D13" s="80"/>
      <c r="E13" s="80"/>
      <c r="F13" s="80"/>
      <c r="G13" s="80"/>
      <c r="H13" s="81"/>
    </row>
    <row r="15" spans="1:16" ht="27.75" customHeight="1">
      <c r="B15" s="378" t="str">
        <f>+'Data Entry'!B81&amp;"                                                                                                  "&amp;+J3&amp;" "&amp;+L3</f>
        <v>M3: Contractual arrangements (SRs)                                                                                                   Report Period: P12</v>
      </c>
      <c r="H15" s="378" t="str">
        <f>+'Data Entry'!B86&amp;"                                                             "&amp;+J3&amp;" "&amp;+L3</f>
        <v>M4: Number of complete reports received on time                                                             Report Period: P12</v>
      </c>
    </row>
    <row r="16" spans="1:16">
      <c r="B16" s="360" t="s">
        <v>9</v>
      </c>
      <c r="C16" s="728"/>
      <c r="D16" s="752"/>
      <c r="E16" s="752"/>
      <c r="F16" s="753"/>
      <c r="G16" s="379"/>
      <c r="H16" s="359" t="s">
        <v>9</v>
      </c>
      <c r="I16" s="728"/>
      <c r="J16" s="729"/>
      <c r="K16" s="729"/>
      <c r="L16" s="730"/>
    </row>
    <row r="17" spans="2:13">
      <c r="B17" s="29"/>
      <c r="H17" s="30"/>
    </row>
    <row r="18" spans="2:13">
      <c r="M18" s="83"/>
    </row>
    <row r="26" spans="2:13">
      <c r="B26" s="378" t="str">
        <f>+'Data Entry'!B92</f>
        <v>M5: Budget and Procurement of health products, health equipment, medicines and pharmaceuticals</v>
      </c>
      <c r="H26" s="378" t="str">
        <f>+'Data Entry'!B105&amp;"                                                                "&amp;+J3&amp;"  "&amp;+L3</f>
        <v>M6: Difference between current and safety stock                                                                Report Period:  P12</v>
      </c>
    </row>
    <row r="27" spans="2:13" ht="36" customHeight="1">
      <c r="B27" s="358" t="s">
        <v>9</v>
      </c>
      <c r="C27" s="725"/>
      <c r="D27" s="752"/>
      <c r="E27" s="752"/>
      <c r="F27" s="753"/>
      <c r="G27" s="379"/>
      <c r="H27" s="359" t="s">
        <v>9</v>
      </c>
      <c r="I27" s="728" t="s">
        <v>445</v>
      </c>
      <c r="J27" s="729"/>
      <c r="K27" s="729"/>
      <c r="L27" s="730"/>
    </row>
    <row r="28" spans="2:13" ht="15.75" thickBot="1"/>
    <row r="29" spans="2:13" ht="44.25" customHeight="1">
      <c r="F29" s="339"/>
      <c r="G29" s="339"/>
      <c r="H29" s="222" t="s">
        <v>33</v>
      </c>
      <c r="I29" s="335" t="s">
        <v>80</v>
      </c>
      <c r="J29" s="356" t="s">
        <v>344</v>
      </c>
      <c r="K29" s="221" t="s">
        <v>332</v>
      </c>
      <c r="L29" s="336" t="s">
        <v>331</v>
      </c>
    </row>
    <row r="30" spans="2:13" ht="15" customHeight="1">
      <c r="F30" s="339"/>
      <c r="G30" s="339"/>
      <c r="H30" s="747" t="str">
        <f>+'Data Entry'!B108</f>
        <v>TB</v>
      </c>
      <c r="I30" s="337" t="str">
        <f>+'Data Entry'!C108</f>
        <v>Cycloserine</v>
      </c>
      <c r="J30" s="444">
        <f>+'Data Entry'!I108</f>
        <v>2.0550150236085279E-2</v>
      </c>
      <c r="K30" s="445">
        <f>+'Data Entry'!J108</f>
        <v>4</v>
      </c>
      <c r="L30" s="422">
        <f>+'Data Entry'!K108</f>
        <v>-3.9794498497639146</v>
      </c>
    </row>
    <row r="31" spans="2:13">
      <c r="F31" s="339"/>
      <c r="G31" s="339"/>
      <c r="H31" s="748"/>
      <c r="I31" s="337" t="str">
        <f>+'Data Entry'!C109</f>
        <v>Moxifloxacin</v>
      </c>
      <c r="J31" s="444">
        <f>+'Data Entry'!I109</f>
        <v>35.49595987740318</v>
      </c>
      <c r="K31" s="445">
        <f>+'Data Entry'!J109</f>
        <v>4</v>
      </c>
      <c r="L31" s="423">
        <f>+'Data Entry'!K109</f>
        <v>31.49595987740318</v>
      </c>
    </row>
    <row r="32" spans="2:13">
      <c r="F32" s="339"/>
      <c r="G32" s="339"/>
      <c r="H32" s="748"/>
      <c r="I32" s="337" t="str">
        <f>+'Data Entry'!C110</f>
        <v>Clofazimine</v>
      </c>
      <c r="J32" s="444">
        <f>+'Data Entry'!I110</f>
        <v>21.762714672262412</v>
      </c>
      <c r="K32" s="445">
        <f>+'Data Entry'!J110</f>
        <v>4</v>
      </c>
      <c r="L32" s="422">
        <f>+'Data Entry'!K110</f>
        <v>17.762714672262412</v>
      </c>
    </row>
    <row r="33" spans="2:12" ht="15.75" thickBot="1">
      <c r="F33" s="339"/>
      <c r="G33" s="339"/>
      <c r="H33" s="749"/>
      <c r="I33" s="338" t="str">
        <f>+'Data Entry'!C111</f>
        <v>Linezolid</v>
      </c>
      <c r="J33" s="446">
        <f>+'Data Entry'!I111</f>
        <v>19.73887240356083</v>
      </c>
      <c r="K33" s="447">
        <f>+'Data Entry'!J111</f>
        <v>4</v>
      </c>
      <c r="L33" s="423">
        <f>+'Data Entry'!K111</f>
        <v>15.73887240356083</v>
      </c>
    </row>
    <row r="34" spans="2:12" ht="24.75" customHeight="1">
      <c r="B34" s="759" t="str">
        <f>+'Data Entry'!B102</f>
        <v>* Includes only EFR category 4 and 5  (Health products and health equipment &amp; Medicines and Pharmaceuticals)</v>
      </c>
      <c r="C34" s="759"/>
      <c r="D34" s="759"/>
      <c r="E34" s="759"/>
      <c r="F34" s="19"/>
      <c r="G34" s="19"/>
      <c r="H34" s="218"/>
      <c r="I34" s="219"/>
      <c r="J34" s="220"/>
      <c r="K34" s="210"/>
      <c r="L34" s="20"/>
    </row>
    <row r="35" spans="2:12">
      <c r="F35" s="19"/>
      <c r="G35" s="19"/>
      <c r="H35" s="19"/>
      <c r="I35" s="19"/>
      <c r="J35" s="19"/>
      <c r="K35" s="19"/>
      <c r="L35" s="19"/>
    </row>
  </sheetData>
  <mergeCells count="19">
    <mergeCell ref="B34:E34"/>
    <mergeCell ref="C27:F27"/>
    <mergeCell ref="C3:D3"/>
    <mergeCell ref="E4:I4"/>
    <mergeCell ref="B2:L2"/>
    <mergeCell ref="C4:D4"/>
    <mergeCell ref="E6:I6"/>
    <mergeCell ref="E3:I3"/>
    <mergeCell ref="J3:K3"/>
    <mergeCell ref="H30:H33"/>
    <mergeCell ref="J4:K4"/>
    <mergeCell ref="I8:L8"/>
    <mergeCell ref="D5:J5"/>
    <mergeCell ref="I16:L16"/>
    <mergeCell ref="I27:L27"/>
    <mergeCell ref="D10:D11"/>
    <mergeCell ref="C16:F16"/>
    <mergeCell ref="E10:F10"/>
    <mergeCell ref="C8:F8"/>
  </mergeCells>
  <phoneticPr fontId="30" type="noConversion"/>
  <conditionalFormatting sqref="D12:D13">
    <cfRule type="cellIs" dxfId="23" priority="1" stopIfTrue="1" operator="greaterThan">
      <formula>0</formula>
    </cfRule>
  </conditionalFormatting>
  <conditionalFormatting sqref="E12:E13">
    <cfRule type="cellIs" dxfId="22" priority="2" stopIfTrue="1" operator="greaterThan">
      <formula>0</formula>
    </cfRule>
  </conditionalFormatting>
  <conditionalFormatting sqref="F12:G13">
    <cfRule type="cellIs" dxfId="21" priority="3" stopIfTrue="1" operator="greaterThan">
      <formula>0</formula>
    </cfRule>
  </conditionalFormatting>
  <conditionalFormatting sqref="C4:D4">
    <cfRule type="cellIs" dxfId="20" priority="4" stopIfTrue="1" operator="equal">
      <formula>"C"</formula>
    </cfRule>
    <cfRule type="cellIs" dxfId="19" priority="5" stopIfTrue="1" operator="equal">
      <formula>"B2"</formula>
    </cfRule>
    <cfRule type="cellIs" dxfId="18" priority="6" stopIfTrue="1" operator="equal">
      <formula>"B1"</formula>
    </cfRule>
  </conditionalFormatting>
  <conditionalFormatting sqref="L30 L32:L33">
    <cfRule type="cellIs" dxfId="17" priority="13" stopIfTrue="1" operator="lessThan">
      <formula>1</formula>
    </cfRule>
    <cfRule type="cellIs" dxfId="16" priority="14" stopIfTrue="1" operator="between">
      <formula>3</formula>
      <formula>17</formula>
    </cfRule>
    <cfRule type="cellIs" dxfId="15" priority="15" stopIfTrue="1" operator="between">
      <formula>1</formula>
      <formula>3</formula>
    </cfRule>
  </conditionalFormatting>
  <conditionalFormatting sqref="L31">
    <cfRule type="cellIs" dxfId="14" priority="16" stopIfTrue="1" operator="lessThan">
      <formula>1</formula>
    </cfRule>
    <cfRule type="cellIs" dxfId="13" priority="17" stopIfTrue="1" operator="between">
      <formula>3</formula>
      <formula>100</formula>
    </cfRule>
    <cfRule type="cellIs" dxfId="12"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alignWithMargins="0">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6"/>
  <sheetViews>
    <sheetView showGridLines="0" topLeftCell="A16" zoomScale="150" zoomScaleNormal="150" zoomScalePageLayoutView="150" workbookViewId="0">
      <selection activeCell="L20" sqref="L20:Q20"/>
    </sheetView>
  </sheetViews>
  <sheetFormatPr defaultColWidth="11" defaultRowHeight="15"/>
  <cols>
    <col min="1" max="1" width="0.42578125" customWidth="1"/>
    <col min="2" max="2" width="11.28515625" customWidth="1"/>
    <col min="3" max="3" width="16.140625" customWidth="1"/>
    <col min="4" max="4" width="17.28515625" customWidth="1"/>
    <col min="5" max="5" width="8" customWidth="1"/>
    <col min="6" max="6" width="7.7109375" customWidth="1"/>
    <col min="7" max="7" width="5.7109375" customWidth="1"/>
    <col min="8" max="8" width="6.28515625" customWidth="1"/>
    <col min="9" max="9" width="6" customWidth="1"/>
    <col min="10" max="10" width="4.140625" customWidth="1"/>
    <col min="11" max="11" width="12.42578125" customWidth="1"/>
    <col min="12" max="12" width="8.42578125" customWidth="1"/>
    <col min="13" max="13" width="5" customWidth="1"/>
    <col min="14" max="14" width="6.42578125" customWidth="1"/>
    <col min="15" max="15" width="4.140625" customWidth="1"/>
    <col min="16" max="16" width="10.7109375" customWidth="1"/>
    <col min="17" max="17" width="11.7109375" customWidth="1"/>
    <col min="18" max="18" width="6.42578125" customWidth="1"/>
  </cols>
  <sheetData>
    <row r="1" spans="1:35" ht="26.25" customHeight="1">
      <c r="A1" s="3"/>
      <c r="B1" s="3"/>
      <c r="C1" s="3"/>
      <c r="D1" s="3"/>
      <c r="E1" s="3"/>
      <c r="F1" s="3"/>
      <c r="G1" s="3"/>
      <c r="H1" s="3"/>
      <c r="I1" s="3"/>
      <c r="J1" s="3"/>
      <c r="K1" s="3"/>
      <c r="L1" s="3"/>
      <c r="M1" s="3"/>
      <c r="N1" s="3"/>
      <c r="O1" s="3"/>
      <c r="P1" s="3"/>
    </row>
    <row r="2" spans="1:35" ht="21.75" customHeight="1">
      <c r="A2" s="3"/>
      <c r="B2" s="760" t="str">
        <f>+"Dashboard:  "&amp;"  "&amp;IF(+'Data Entry'!C4="Please Select","",'Data Entry'!C4&amp;" - ")&amp;IF('Data Entry'!G6="Please Select","",'Data Entry'!G6)</f>
        <v>Dashboard:    Georgia - TB</v>
      </c>
      <c r="C2" s="760"/>
      <c r="D2" s="760"/>
      <c r="E2" s="760"/>
      <c r="F2" s="760"/>
      <c r="G2" s="760"/>
      <c r="H2" s="760"/>
      <c r="I2" s="760"/>
      <c r="J2" s="760"/>
      <c r="K2" s="760"/>
      <c r="L2" s="760"/>
      <c r="M2" s="760"/>
      <c r="N2" s="760"/>
      <c r="O2" s="760"/>
      <c r="P2" s="760"/>
      <c r="Q2" s="760"/>
    </row>
    <row r="3" spans="1:35" ht="18.75">
      <c r="A3" s="3"/>
      <c r="B3" s="135" t="str">
        <f>+IF('Data Entry'!G8="Please Select","",'Data Entry'!G8)</f>
        <v>NFM</v>
      </c>
      <c r="C3" s="739" t="str">
        <f>+IF('Data Entry'!I8="Please Select","",'Data Entry'!I8)</f>
        <v>Phase 1</v>
      </c>
      <c r="D3" s="739"/>
      <c r="E3" s="738"/>
      <c r="F3" s="738"/>
      <c r="G3" s="738"/>
      <c r="H3" s="738"/>
      <c r="I3" s="763"/>
      <c r="J3" s="763"/>
      <c r="K3" s="763"/>
      <c r="L3" s="3"/>
      <c r="M3" s="3"/>
      <c r="O3" s="736" t="str">
        <f>+'Data Entry'!B16</f>
        <v>Report Period:</v>
      </c>
      <c r="P3" s="736"/>
      <c r="Q3" s="202" t="str">
        <f>+'Data Entry'!C16</f>
        <v>P12</v>
      </c>
    </row>
    <row r="4" spans="1:35" ht="12" customHeight="1">
      <c r="A4" s="3"/>
      <c r="B4" s="135" t="str">
        <f>+'Data Entry'!B12</f>
        <v>Latest Rating:</v>
      </c>
      <c r="C4" s="764" t="str">
        <f>+IF('Data Entry'!C12="Please Select","",'Data Entry'!C12)</f>
        <v>A2</v>
      </c>
      <c r="D4" s="764"/>
      <c r="E4" s="738" t="str">
        <f>+'Data Entry'!C8</f>
        <v>NCDC</v>
      </c>
      <c r="F4" s="738"/>
      <c r="G4" s="738"/>
      <c r="H4" s="738"/>
      <c r="I4" s="738"/>
      <c r="J4" s="738"/>
      <c r="K4" s="738"/>
      <c r="L4" s="738"/>
      <c r="M4" s="3"/>
      <c r="O4" s="341"/>
      <c r="P4" s="135" t="str">
        <f>+'Data Entry'!D16</f>
        <v>From:</v>
      </c>
      <c r="Q4" s="342">
        <f>+IF(ISBLANK('Data Entry'!E16),"",'Data Entry'!E16)</f>
        <v>43831</v>
      </c>
      <c r="Y4" s="71"/>
      <c r="Z4" s="71"/>
      <c r="AA4" s="71"/>
      <c r="AB4" s="71"/>
      <c r="AC4" s="71"/>
    </row>
    <row r="5" spans="1:35" ht="15.75" customHeight="1">
      <c r="A5" s="3"/>
      <c r="B5" s="135"/>
      <c r="C5" s="135"/>
      <c r="D5" s="738" t="str">
        <f>+'Data Entry'!G4</f>
        <v>Sustaining Universal Access to Quality Diagnosis and Treatment of all forms of TB</v>
      </c>
      <c r="E5" s="738"/>
      <c r="F5" s="738"/>
      <c r="G5" s="738"/>
      <c r="H5" s="738"/>
      <c r="I5" s="738"/>
      <c r="J5" s="738"/>
      <c r="K5" s="738"/>
      <c r="L5" s="738"/>
      <c r="M5" s="738"/>
      <c r="N5" s="738"/>
      <c r="P5" s="135" t="str">
        <f>+'Data Entry'!F16</f>
        <v>To:</v>
      </c>
      <c r="Q5" s="342">
        <f>+IF(ISBLANK('Data Entry'!G16),"",'Data Entry'!G16)</f>
        <v>43921</v>
      </c>
      <c r="S5" s="229"/>
      <c r="T5" s="229"/>
      <c r="U5" s="229"/>
      <c r="V5" s="229"/>
      <c r="W5" s="229"/>
      <c r="X5" s="229"/>
      <c r="Y5" s="71"/>
      <c r="Z5" s="71"/>
      <c r="AA5" s="71" t="s">
        <v>43</v>
      </c>
      <c r="AB5" s="71"/>
      <c r="AC5" s="71" t="s">
        <v>265</v>
      </c>
      <c r="AD5" s="229"/>
      <c r="AE5" s="229"/>
      <c r="AF5" s="229"/>
      <c r="AG5" s="229"/>
      <c r="AH5" s="229"/>
      <c r="AI5" s="229"/>
    </row>
    <row r="6" spans="1:35" ht="15.75" customHeight="1">
      <c r="A6" s="3"/>
      <c r="B6" s="135"/>
      <c r="C6" s="135"/>
      <c r="D6" s="227"/>
      <c r="E6" s="227"/>
      <c r="F6" s="762" t="s">
        <v>394</v>
      </c>
      <c r="G6" s="762"/>
      <c r="H6" s="762"/>
      <c r="I6" s="762"/>
      <c r="J6" s="762"/>
      <c r="K6" s="762"/>
      <c r="L6" s="227"/>
      <c r="M6" s="3"/>
      <c r="N6" s="3"/>
      <c r="O6" s="204"/>
      <c r="P6" s="261"/>
      <c r="S6" s="229"/>
      <c r="T6" s="229"/>
      <c r="U6" s="229"/>
      <c r="V6" s="229"/>
      <c r="W6" s="229"/>
      <c r="X6" s="229"/>
      <c r="Y6" s="71"/>
      <c r="Z6" s="71"/>
      <c r="AA6" s="71"/>
      <c r="AB6" s="71"/>
      <c r="AC6" s="71"/>
      <c r="AD6" s="229"/>
      <c r="AE6" s="229"/>
      <c r="AF6" s="229"/>
      <c r="AG6" s="229"/>
      <c r="AH6" s="229"/>
      <c r="AI6" s="229"/>
    </row>
    <row r="7" spans="1:35" ht="3" customHeight="1">
      <c r="A7" s="3"/>
      <c r="B7" s="135"/>
      <c r="C7" s="135"/>
      <c r="D7" s="227"/>
      <c r="E7" s="227"/>
      <c r="F7" s="227"/>
      <c r="G7" s="227"/>
      <c r="H7" s="227"/>
      <c r="I7" s="227"/>
      <c r="J7" s="227"/>
      <c r="K7" s="227"/>
      <c r="L7" s="227"/>
      <c r="M7" s="3"/>
      <c r="N7" s="3"/>
      <c r="O7" s="204"/>
      <c r="P7" s="203"/>
      <c r="Q7" s="203"/>
      <c r="S7" s="229"/>
      <c r="T7" s="229"/>
      <c r="U7" s="229"/>
      <c r="V7" s="229"/>
      <c r="W7" s="229"/>
      <c r="X7" s="229"/>
      <c r="Y7" s="71"/>
      <c r="Z7" s="71"/>
      <c r="AA7" s="71"/>
      <c r="AB7" s="71"/>
      <c r="AC7" s="71"/>
      <c r="AD7" s="229"/>
      <c r="AE7" s="229"/>
      <c r="AF7" s="229"/>
      <c r="AG7" s="229"/>
      <c r="AH7" s="229"/>
      <c r="AI7" s="229"/>
    </row>
    <row r="8" spans="1:35" ht="18.75" customHeight="1">
      <c r="A8" s="3"/>
      <c r="B8" s="761" t="str">
        <f>+'Data Entry'!B118</f>
        <v>MDR TB-3: Number of cases with drug resistant TB (RR-TB and/or MDR-TB) that began second-line treatment</v>
      </c>
      <c r="C8" s="761"/>
      <c r="D8" s="761"/>
      <c r="E8" s="761"/>
      <c r="F8" s="761" t="str">
        <f>+'Data Entry'!B120</f>
        <v>MDR TB-8: Number of cases of XDR TB enrolled on treatment</v>
      </c>
      <c r="G8" s="761"/>
      <c r="H8" s="761"/>
      <c r="I8" s="761"/>
      <c r="J8" s="761"/>
      <c r="K8" s="761"/>
      <c r="L8" s="761" t="str">
        <f>+'Data Entry'!B122</f>
        <v>MDR TB other -1: Percentage  of new and relapse TB patients tested using WHO recommended rapid tests at the time of diagnosis</v>
      </c>
      <c r="M8" s="761"/>
      <c r="N8" s="761"/>
      <c r="O8" s="761"/>
      <c r="P8" s="761"/>
      <c r="Q8" s="761"/>
      <c r="S8" s="229"/>
      <c r="T8" s="229"/>
      <c r="U8" s="229"/>
      <c r="V8" s="229"/>
      <c r="W8" s="229"/>
      <c r="X8" s="229"/>
      <c r="Y8" s="71"/>
      <c r="Z8" s="71"/>
      <c r="AA8" s="71"/>
      <c r="AB8" s="71"/>
      <c r="AC8" s="71"/>
      <c r="AD8" s="229"/>
      <c r="AE8" s="229"/>
      <c r="AF8" s="229"/>
      <c r="AG8" s="229"/>
      <c r="AH8" s="229"/>
      <c r="AI8" s="229"/>
    </row>
    <row r="9" spans="1:35" ht="24" customHeight="1">
      <c r="A9" s="3"/>
      <c r="B9" s="475" t="s">
        <v>413</v>
      </c>
      <c r="C9" s="791"/>
      <c r="D9" s="792"/>
      <c r="E9" s="793"/>
      <c r="F9" s="475" t="s">
        <v>414</v>
      </c>
      <c r="G9" s="791"/>
      <c r="H9" s="792"/>
      <c r="I9" s="792"/>
      <c r="J9" s="792"/>
      <c r="K9" s="793"/>
      <c r="L9" s="475" t="s">
        <v>415</v>
      </c>
      <c r="M9" s="791"/>
      <c r="N9" s="794"/>
      <c r="O9" s="794"/>
      <c r="P9" s="794"/>
      <c r="Q9" s="795"/>
      <c r="S9" s="229"/>
      <c r="T9" s="229"/>
      <c r="U9" s="229"/>
      <c r="V9" s="229"/>
      <c r="W9" s="229"/>
      <c r="X9" s="229"/>
      <c r="Y9" s="229"/>
      <c r="Z9" s="229"/>
      <c r="AA9" s="229"/>
      <c r="AB9" s="229"/>
      <c r="AC9" s="229"/>
      <c r="AD9" s="229"/>
      <c r="AE9" s="229"/>
      <c r="AF9" s="229"/>
      <c r="AG9" s="229"/>
      <c r="AH9" s="229"/>
      <c r="AI9" s="229"/>
    </row>
    <row r="10" spans="1:35" ht="18.75" customHeight="1">
      <c r="A10" s="3"/>
      <c r="B10" s="135"/>
      <c r="C10" s="135"/>
      <c r="D10" s="227"/>
      <c r="E10" s="227"/>
      <c r="F10" s="227"/>
      <c r="G10" s="227"/>
      <c r="H10" s="227"/>
      <c r="I10" s="227"/>
      <c r="J10" s="227"/>
      <c r="K10" s="227"/>
      <c r="L10" s="227"/>
      <c r="M10" s="3"/>
      <c r="N10" s="3"/>
      <c r="O10" s="204"/>
      <c r="P10" s="203"/>
      <c r="S10" s="229"/>
      <c r="T10" s="229"/>
      <c r="U10" s="229"/>
      <c r="V10" s="229"/>
      <c r="W10" s="229"/>
      <c r="X10" s="229"/>
      <c r="Y10" s="229"/>
      <c r="Z10" s="229"/>
      <c r="AA10" s="229"/>
      <c r="AB10" s="229"/>
      <c r="AC10" s="229"/>
      <c r="AD10" s="229"/>
      <c r="AE10" s="229"/>
      <c r="AF10" s="229"/>
      <c r="AG10" s="229"/>
      <c r="AH10" s="229"/>
      <c r="AI10" s="229"/>
    </row>
    <row r="11" spans="1:35" ht="18.75" customHeight="1">
      <c r="A11" s="3"/>
      <c r="B11" s="135"/>
      <c r="C11" s="135"/>
      <c r="D11" s="227"/>
      <c r="E11" s="227"/>
      <c r="F11" s="227"/>
      <c r="G11" s="227"/>
      <c r="H11" s="227"/>
      <c r="I11" s="227"/>
      <c r="J11" s="227"/>
      <c r="K11" s="227"/>
      <c r="L11" s="227"/>
      <c r="M11" s="3"/>
      <c r="N11" s="3"/>
      <c r="O11" s="204"/>
      <c r="P11" s="203"/>
      <c r="S11" s="229"/>
      <c r="T11" s="229"/>
      <c r="U11" s="229"/>
      <c r="V11" s="229"/>
      <c r="W11" s="229"/>
      <c r="X11" s="229"/>
      <c r="Y11" s="229"/>
      <c r="Z11" s="229"/>
      <c r="AA11" s="229"/>
      <c r="AB11" s="229"/>
      <c r="AC11" s="229"/>
      <c r="AD11" s="229"/>
      <c r="AE11" s="229"/>
      <c r="AF11" s="229"/>
      <c r="AG11" s="229"/>
      <c r="AH11" s="229"/>
      <c r="AI11" s="229"/>
    </row>
    <row r="12" spans="1:35" ht="18.75" customHeight="1">
      <c r="A12" s="3"/>
      <c r="B12" s="135"/>
      <c r="C12" s="135"/>
      <c r="D12" s="227"/>
      <c r="E12" s="227"/>
      <c r="F12" s="227"/>
      <c r="G12" s="227"/>
      <c r="H12" s="227"/>
      <c r="I12" s="227"/>
      <c r="J12" s="227"/>
      <c r="K12" s="227"/>
      <c r="L12" s="227"/>
      <c r="M12" s="3"/>
      <c r="N12" s="3"/>
      <c r="O12" s="204"/>
      <c r="P12" s="203"/>
      <c r="S12" s="229"/>
      <c r="T12" s="229"/>
      <c r="U12" s="229"/>
      <c r="V12" s="229"/>
      <c r="W12" s="229"/>
      <c r="X12" s="229"/>
      <c r="Y12" s="229"/>
      <c r="Z12" s="229"/>
      <c r="AA12" s="229"/>
      <c r="AB12" s="229"/>
      <c r="AC12" s="229"/>
      <c r="AD12" s="229"/>
      <c r="AE12" s="229"/>
      <c r="AF12" s="229"/>
      <c r="AG12" s="229"/>
      <c r="AH12" s="229"/>
      <c r="AI12" s="229"/>
    </row>
    <row r="13" spans="1:35" ht="18.75" customHeight="1">
      <c r="A13" s="3"/>
      <c r="B13" s="135"/>
      <c r="C13" s="135"/>
      <c r="D13" s="227"/>
      <c r="E13" s="227"/>
      <c r="F13" s="227"/>
      <c r="G13" s="227"/>
      <c r="H13" s="227"/>
      <c r="I13" s="227"/>
      <c r="J13" s="227"/>
      <c r="K13" s="227"/>
      <c r="L13" s="227"/>
      <c r="M13" s="3"/>
      <c r="N13" s="3"/>
      <c r="O13" s="204"/>
      <c r="P13" s="203"/>
      <c r="S13" s="229"/>
      <c r="T13" s="229"/>
      <c r="U13" s="229"/>
      <c r="V13" s="229"/>
      <c r="W13" s="229"/>
      <c r="X13" s="229"/>
      <c r="Y13" s="229"/>
      <c r="Z13" s="229"/>
      <c r="AA13" s="229"/>
      <c r="AB13" s="229"/>
      <c r="AC13" s="229"/>
      <c r="AD13" s="229"/>
      <c r="AE13" s="229"/>
      <c r="AF13" s="229"/>
      <c r="AG13" s="229"/>
      <c r="AH13" s="229"/>
      <c r="AI13" s="229"/>
    </row>
    <row r="14" spans="1:35" ht="18.75" customHeight="1">
      <c r="A14" s="3"/>
      <c r="B14" s="135"/>
      <c r="C14" s="135"/>
      <c r="D14" s="227"/>
      <c r="E14" s="227"/>
      <c r="F14" s="227"/>
      <c r="G14" s="227"/>
      <c r="H14" s="227"/>
      <c r="I14" s="227"/>
      <c r="J14" s="227"/>
      <c r="K14" s="227"/>
      <c r="L14" s="227"/>
      <c r="M14" s="3"/>
      <c r="N14" s="3"/>
      <c r="O14" s="204"/>
      <c r="P14" s="203"/>
      <c r="S14" s="229"/>
      <c r="T14" s="229"/>
      <c r="U14" s="229"/>
      <c r="V14" s="229"/>
      <c r="W14" s="229"/>
      <c r="X14" s="229"/>
      <c r="Y14" s="229"/>
      <c r="Z14" s="229"/>
      <c r="AA14" s="229"/>
      <c r="AB14" s="229"/>
      <c r="AC14" s="229"/>
      <c r="AD14" s="229"/>
      <c r="AE14" s="229"/>
      <c r="AF14" s="229"/>
      <c r="AG14" s="229"/>
      <c r="AH14" s="229"/>
      <c r="AI14" s="229"/>
    </row>
    <row r="15" spans="1:35" ht="18.75" customHeight="1">
      <c r="A15" s="3"/>
      <c r="B15" s="135"/>
      <c r="C15" s="135"/>
      <c r="D15" s="227"/>
      <c r="E15" s="227"/>
      <c r="F15" s="227"/>
      <c r="G15" s="227"/>
      <c r="H15" s="227"/>
      <c r="I15" s="227"/>
      <c r="J15" s="227"/>
      <c r="K15" s="227"/>
      <c r="L15" s="227"/>
      <c r="M15" s="3"/>
      <c r="N15" s="3"/>
      <c r="O15" s="204"/>
      <c r="P15" s="203"/>
      <c r="S15" s="229"/>
      <c r="T15" s="229"/>
      <c r="U15" s="229"/>
      <c r="V15" s="229"/>
      <c r="W15" s="229"/>
      <c r="X15" s="229"/>
      <c r="Y15" s="229"/>
      <c r="Z15" s="229"/>
      <c r="AA15" s="229"/>
      <c r="AB15" s="229"/>
      <c r="AC15" s="229"/>
      <c r="AD15" s="229"/>
      <c r="AE15" s="229"/>
      <c r="AF15" s="229"/>
      <c r="AG15" s="229"/>
      <c r="AH15" s="229"/>
      <c r="AI15" s="229"/>
    </row>
    <row r="16" spans="1:35" ht="18.75" customHeight="1">
      <c r="A16" s="3"/>
      <c r="B16" s="135"/>
      <c r="C16" s="135"/>
      <c r="D16" s="227"/>
      <c r="E16" s="227"/>
      <c r="F16" s="227"/>
      <c r="G16" s="227"/>
      <c r="H16" s="227"/>
      <c r="I16" s="227"/>
      <c r="J16" s="227"/>
      <c r="K16" s="227"/>
      <c r="L16" s="227"/>
      <c r="M16" s="3"/>
      <c r="N16" s="3"/>
      <c r="O16" s="204"/>
      <c r="P16" s="203"/>
      <c r="S16" s="229"/>
      <c r="T16" s="229"/>
      <c r="U16" s="229"/>
      <c r="V16" s="229"/>
      <c r="W16" s="229"/>
      <c r="X16" s="229"/>
      <c r="Y16" s="229"/>
      <c r="Z16" s="229"/>
      <c r="AA16" s="229"/>
      <c r="AB16" s="229"/>
      <c r="AC16" s="229"/>
      <c r="AD16" s="229"/>
      <c r="AE16" s="229"/>
      <c r="AF16" s="229"/>
      <c r="AG16" s="229"/>
      <c r="AH16" s="229"/>
      <c r="AI16" s="229"/>
    </row>
    <row r="17" spans="1:35" ht="17.25" customHeight="1">
      <c r="A17" s="3"/>
      <c r="B17" s="135"/>
      <c r="C17" s="135"/>
      <c r="D17" s="227"/>
      <c r="E17" s="227"/>
      <c r="F17" s="227"/>
      <c r="G17" s="227"/>
      <c r="H17" s="227"/>
      <c r="I17" s="227"/>
      <c r="J17" s="227"/>
      <c r="K17" s="227"/>
      <c r="L17" s="227"/>
      <c r="M17" s="3"/>
      <c r="N17" s="3"/>
      <c r="O17" s="204"/>
      <c r="P17" s="203"/>
      <c r="S17" s="229"/>
      <c r="T17" s="229"/>
      <c r="U17" s="229"/>
      <c r="V17" s="229"/>
      <c r="W17" s="229"/>
      <c r="X17" s="229"/>
      <c r="Y17" s="229"/>
      <c r="Z17" s="229"/>
      <c r="AA17" s="229"/>
      <c r="AB17" s="229"/>
      <c r="AC17" s="229"/>
      <c r="AD17" s="229"/>
      <c r="AE17" s="229"/>
      <c r="AF17" s="229"/>
      <c r="AG17" s="229"/>
      <c r="AH17" s="229"/>
      <c r="AI17" s="229"/>
    </row>
    <row r="18" spans="1:35" ht="6" customHeight="1">
      <c r="A18" s="3"/>
      <c r="B18" s="139"/>
      <c r="C18" s="135"/>
      <c r="D18" s="136"/>
      <c r="E18" s="776"/>
      <c r="F18" s="776"/>
      <c r="G18" s="776"/>
      <c r="H18" s="776"/>
      <c r="I18" s="776"/>
      <c r="J18" s="776"/>
      <c r="K18" s="776"/>
      <c r="L18" s="3"/>
      <c r="M18" s="3"/>
      <c r="N18" s="3"/>
      <c r="O18" s="3"/>
      <c r="P18" s="3"/>
      <c r="S18" s="229"/>
      <c r="T18" s="229"/>
      <c r="U18" s="229"/>
      <c r="V18" s="229"/>
      <c r="W18" s="229"/>
      <c r="X18" s="229"/>
      <c r="Y18" s="229"/>
      <c r="Z18" s="229"/>
      <c r="AA18" s="229"/>
      <c r="AB18" s="229"/>
      <c r="AC18" s="229"/>
      <c r="AD18" s="229"/>
      <c r="AE18" s="229"/>
      <c r="AF18" s="229"/>
      <c r="AG18" s="229"/>
      <c r="AH18" s="229"/>
      <c r="AI18" s="229"/>
    </row>
    <row r="19" spans="1:35" ht="24" customHeight="1">
      <c r="A19" s="3"/>
      <c r="B19" s="777" t="s">
        <v>89</v>
      </c>
      <c r="C19" s="777"/>
      <c r="D19" s="777"/>
      <c r="E19" s="146" t="s">
        <v>86</v>
      </c>
      <c r="F19" s="146" t="s">
        <v>90</v>
      </c>
      <c r="G19" s="772" t="s">
        <v>333</v>
      </c>
      <c r="H19" s="773"/>
      <c r="I19" s="774" t="s">
        <v>334</v>
      </c>
      <c r="J19" s="775"/>
      <c r="K19" s="340" t="s">
        <v>335</v>
      </c>
      <c r="L19" s="765" t="s">
        <v>93</v>
      </c>
      <c r="M19" s="766"/>
      <c r="N19" s="766"/>
      <c r="O19" s="766"/>
      <c r="P19" s="766"/>
      <c r="Q19" s="767"/>
      <c r="S19" s="65" t="s">
        <v>91</v>
      </c>
      <c r="T19" s="66">
        <v>0</v>
      </c>
      <c r="U19" s="67">
        <v>0.3</v>
      </c>
      <c r="V19" s="67">
        <v>0.6</v>
      </c>
      <c r="W19" s="67">
        <v>0.9</v>
      </c>
      <c r="X19" s="67">
        <v>1</v>
      </c>
      <c r="Y19" s="71"/>
      <c r="Z19" s="71"/>
      <c r="AA19" s="65" t="s">
        <v>91</v>
      </c>
      <c r="AB19" s="66">
        <v>0</v>
      </c>
      <c r="AC19" s="67">
        <v>0.2</v>
      </c>
      <c r="AD19" s="67">
        <v>0.4</v>
      </c>
      <c r="AE19" s="67">
        <v>0.6</v>
      </c>
      <c r="AF19" s="67">
        <v>0.8</v>
      </c>
      <c r="AG19" s="71"/>
      <c r="AH19" s="71"/>
      <c r="AI19" s="71"/>
    </row>
    <row r="20" spans="1:35" ht="165" customHeight="1">
      <c r="A20" s="3"/>
      <c r="B20" s="778" t="str">
        <f>+'Data Entry'!B118</f>
        <v>MDR TB-3: Number of cases with drug resistant TB (RR-TB and/or MDR-TB) that began second-line treatment</v>
      </c>
      <c r="C20" s="778"/>
      <c r="D20" s="778"/>
      <c r="E20" s="147">
        <f ca="1">OFFSET('Data Entry'!$G$117,1,RIGHT('Data Entry'!$C$16,LEN('Data Entry'!$C$16)-1),1,1)</f>
        <v>113</v>
      </c>
      <c r="F20" s="482">
        <v>67</v>
      </c>
      <c r="G20" s="769">
        <f t="shared" ref="G20:G29" ca="1" si="0">+IF(ISERROR(F20/E20),0,F20/E20)</f>
        <v>0.59292035398230092</v>
      </c>
      <c r="H20" s="770"/>
      <c r="I20" s="770"/>
      <c r="J20" s="770"/>
      <c r="K20" s="771"/>
      <c r="L20" s="768" t="s">
        <v>444</v>
      </c>
      <c r="M20" s="768"/>
      <c r="N20" s="768"/>
      <c r="O20" s="768"/>
      <c r="P20" s="768"/>
      <c r="Q20" s="768"/>
      <c r="S20" s="65" t="s">
        <v>92</v>
      </c>
      <c r="T20" s="68">
        <v>0.3</v>
      </c>
      <c r="U20" s="67">
        <v>0.6</v>
      </c>
      <c r="V20" s="67">
        <v>0.9</v>
      </c>
      <c r="W20" s="67">
        <v>1</v>
      </c>
      <c r="X20" s="67">
        <v>2</v>
      </c>
      <c r="Y20" s="71"/>
      <c r="Z20" s="71"/>
      <c r="AA20" s="65" t="s">
        <v>92</v>
      </c>
      <c r="AB20" s="68">
        <v>0.2</v>
      </c>
      <c r="AC20" s="67">
        <v>0.4</v>
      </c>
      <c r="AD20" s="67">
        <v>0.6</v>
      </c>
      <c r="AE20" s="67">
        <v>0.8</v>
      </c>
      <c r="AF20" s="67">
        <v>1</v>
      </c>
      <c r="AG20" s="71"/>
      <c r="AH20" s="71"/>
      <c r="AI20" s="71"/>
    </row>
    <row r="21" spans="1:35" ht="63.75" customHeight="1">
      <c r="A21" s="3"/>
      <c r="B21" s="783" t="str">
        <f>+'Data Entry'!B120</f>
        <v>MDR TB-8: Number of cases of XDR TB enrolled on treatment</v>
      </c>
      <c r="C21" s="783"/>
      <c r="D21" s="783"/>
      <c r="E21" s="147">
        <f ca="1">OFFSET('Data Entry'!$G$117,3,RIGHT('Data Entry'!$C$16,LEN('Data Entry'!$C$16)-1),1,1)</f>
        <v>17</v>
      </c>
      <c r="F21" s="482">
        <v>9</v>
      </c>
      <c r="G21" s="769">
        <f t="shared" ca="1" si="0"/>
        <v>0.52941176470588236</v>
      </c>
      <c r="H21" s="770"/>
      <c r="I21" s="770"/>
      <c r="J21" s="770"/>
      <c r="K21" s="771"/>
      <c r="L21" s="768" t="s">
        <v>443</v>
      </c>
      <c r="M21" s="768"/>
      <c r="N21" s="768"/>
      <c r="O21" s="768"/>
      <c r="P21" s="768"/>
      <c r="Q21" s="768"/>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266</v>
      </c>
      <c r="AA21" s="69" t="s">
        <v>265</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35.1" customHeight="1">
      <c r="A22" s="3"/>
      <c r="B22" s="778" t="str">
        <f>+'Data Entry'!B122</f>
        <v>MDR TB other -1: Percentage  of new and relapse TB patients tested using WHO recommended rapid tests at the time of diagnosis</v>
      </c>
      <c r="C22" s="778"/>
      <c r="D22" s="778"/>
      <c r="E22" s="147">
        <f ca="1">OFFSET('Data Entry'!$G$117,5,RIGHT('Data Entry'!$C$16,LEN('Data Entry'!$C$16)-1),1,1)</f>
        <v>85</v>
      </c>
      <c r="F22" s="482">
        <v>95.1</v>
      </c>
      <c r="G22" s="769">
        <f t="shared" ca="1" si="0"/>
        <v>1.1188235294117646</v>
      </c>
      <c r="H22" s="770"/>
      <c r="I22" s="770"/>
      <c r="J22" s="770"/>
      <c r="K22" s="771"/>
      <c r="L22" s="768" t="s">
        <v>429</v>
      </c>
      <c r="M22" s="768"/>
      <c r="N22" s="768"/>
      <c r="O22" s="768"/>
      <c r="P22" s="768"/>
      <c r="Q22" s="768"/>
      <c r="S22" s="69"/>
      <c r="T22" s="67" t="e">
        <f t="shared" ref="T22:W33" si="1">IF($K20&gt;T$19,IF($K20&lt;=T$20,$K20,NA()),NA())</f>
        <v>#N/A</v>
      </c>
      <c r="U22" s="67" t="e">
        <f t="shared" si="1"/>
        <v>#N/A</v>
      </c>
      <c r="V22" s="67" t="e">
        <f t="shared" si="1"/>
        <v>#N/A</v>
      </c>
      <c r="W22" s="67" t="e">
        <f t="shared" si="1"/>
        <v>#N/A</v>
      </c>
      <c r="X22" s="67" t="e">
        <f>IF($K20&gt;X$19,IF($K20&lt;=X$20,1,NA()),NA())</f>
        <v>#N/A</v>
      </c>
      <c r="Y22" s="71"/>
      <c r="Z22" s="200" t="e">
        <f>+'Grant Detail'!#REF!</f>
        <v>#REF!</v>
      </c>
      <c r="AA22" s="67" t="e">
        <f>+IF(Z22="A1",1,IF(Z22="A2",0.8,IF(Z22="B1",0.6,IF(Z22="B2",0.4,0.2))))</f>
        <v>#REF!</v>
      </c>
      <c r="AB22" s="67" t="e">
        <f>IF($AA22&gt;AB$19,IF($AA22&lt;=AB$20,$AA22,NA()),NA())</f>
        <v>#REF!</v>
      </c>
      <c r="AC22" s="67" t="e">
        <f t="shared" ref="AC22:AF24" si="2">IF($AA22&gt;AC$19,IF($AA22&lt;=AC$20,$AA22,NA()),NA())</f>
        <v>#REF!</v>
      </c>
      <c r="AD22" s="67" t="e">
        <f t="shared" si="2"/>
        <v>#REF!</v>
      </c>
      <c r="AE22" s="67" t="e">
        <f t="shared" si="2"/>
        <v>#REF!</v>
      </c>
      <c r="AF22" s="67" t="e">
        <f t="shared" si="2"/>
        <v>#REF!</v>
      </c>
      <c r="AG22" s="71"/>
      <c r="AH22" s="71"/>
      <c r="AI22" s="71"/>
    </row>
    <row r="23" spans="1:35" ht="41.1" hidden="1" customHeight="1">
      <c r="A23" s="3"/>
      <c r="B23" s="780">
        <f>+'Data Entry'!B124</f>
        <v>0</v>
      </c>
      <c r="C23" s="781"/>
      <c r="D23" s="782"/>
      <c r="E23" s="147">
        <f ca="1">OFFSET('Data Entry'!$G$117,7,RIGHT('Data Entry'!$C$16,LEN('Data Entry'!$C$16)-1),1,1)</f>
        <v>0</v>
      </c>
      <c r="F23" s="147">
        <f ca="1">OFFSET('Data Entry'!$G$117,8,RIGHT('Data Entry'!$C$16,LEN('Data Entry'!$C$16)-1),1,1)</f>
        <v>0</v>
      </c>
      <c r="G23" s="769">
        <f t="shared" ca="1" si="0"/>
        <v>0</v>
      </c>
      <c r="H23" s="770"/>
      <c r="I23" s="770"/>
      <c r="J23" s="770"/>
      <c r="K23" s="771"/>
      <c r="L23" s="768"/>
      <c r="M23" s="768"/>
      <c r="N23" s="768"/>
      <c r="O23" s="768"/>
      <c r="P23" s="768"/>
      <c r="Q23" s="768"/>
      <c r="S23" s="69"/>
      <c r="T23" s="67" t="e">
        <f t="shared" si="1"/>
        <v>#N/A</v>
      </c>
      <c r="U23" s="67" t="e">
        <f t="shared" si="1"/>
        <v>#N/A</v>
      </c>
      <c r="V23" s="67" t="e">
        <f t="shared" si="1"/>
        <v>#N/A</v>
      </c>
      <c r="W23" s="67" t="e">
        <f t="shared" si="1"/>
        <v>#N/A</v>
      </c>
      <c r="X23" s="67" t="e">
        <f>IF($K21&gt;X$19,IF($K21&lt;=X$20,1,1),NA())</f>
        <v>#N/A</v>
      </c>
      <c r="Y23" s="71"/>
      <c r="Z23" s="200"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45" hidden="1" customHeight="1">
      <c r="A24" s="3"/>
      <c r="B24" s="783">
        <f>+'Data Entry'!B126</f>
        <v>0</v>
      </c>
      <c r="C24" s="783"/>
      <c r="D24" s="783"/>
      <c r="E24" s="147">
        <f ca="1">OFFSET('Data Entry'!$G$117,9,RIGHT('Data Entry'!$C$16,LEN('Data Entry'!$C$16)-1),1,1)</f>
        <v>0</v>
      </c>
      <c r="F24" s="147">
        <f ca="1">OFFSET('Data Entry'!$G$117,10,RIGHT('Data Entry'!$C$16,LEN('Data Entry'!$C$16)-1),1,1)</f>
        <v>0</v>
      </c>
      <c r="G24" s="769">
        <f t="shared" ca="1" si="0"/>
        <v>0</v>
      </c>
      <c r="H24" s="770"/>
      <c r="I24" s="770"/>
      <c r="J24" s="770"/>
      <c r="K24" s="771"/>
      <c r="L24" s="768" t="s">
        <v>422</v>
      </c>
      <c r="M24" s="768"/>
      <c r="N24" s="768"/>
      <c r="O24" s="768"/>
      <c r="P24" s="768"/>
      <c r="Q24" s="768"/>
      <c r="S24" s="69"/>
      <c r="T24" s="67" t="e">
        <f t="shared" si="1"/>
        <v>#N/A</v>
      </c>
      <c r="U24" s="67" t="e">
        <f t="shared" si="1"/>
        <v>#N/A</v>
      </c>
      <c r="V24" s="67" t="e">
        <f t="shared" si="1"/>
        <v>#N/A</v>
      </c>
      <c r="W24" s="67" t="e">
        <f t="shared" si="1"/>
        <v>#N/A</v>
      </c>
      <c r="X24" s="67" t="e">
        <f t="shared" ref="X24:X33" si="3">IF($K22&gt;X$19,IF($K22&lt;=X$20,1,NA()),NA())</f>
        <v>#N/A</v>
      </c>
      <c r="Y24" s="71"/>
      <c r="Z24" s="200"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24" hidden="1" customHeight="1">
      <c r="A25" s="3"/>
      <c r="B25" s="778">
        <f>+'Data Entry'!B128</f>
        <v>0</v>
      </c>
      <c r="C25" s="778"/>
      <c r="D25" s="778"/>
      <c r="E25" s="147">
        <f ca="1">OFFSET('Data Entry'!$G$117,11,RIGHT('Data Entry'!$C$16,LEN('Data Entry'!$C$16)-1),1,1)</f>
        <v>0</v>
      </c>
      <c r="F25" s="147">
        <f ca="1">OFFSET('Data Entry'!$G$117,12,RIGHT('Data Entry'!$C$16,LEN('Data Entry'!$C$16)-1),1,1)</f>
        <v>0</v>
      </c>
      <c r="G25" s="769">
        <f t="shared" ca="1" si="0"/>
        <v>0</v>
      </c>
      <c r="H25" s="770"/>
      <c r="I25" s="770"/>
      <c r="J25" s="770"/>
      <c r="K25" s="771"/>
      <c r="L25" s="768" t="s">
        <v>422</v>
      </c>
      <c r="M25" s="768"/>
      <c r="N25" s="768"/>
      <c r="O25" s="768"/>
      <c r="P25" s="768"/>
      <c r="Q25" s="768"/>
      <c r="S25" s="69"/>
      <c r="T25" s="67" t="e">
        <f t="shared" si="1"/>
        <v>#N/A</v>
      </c>
      <c r="U25" s="67" t="e">
        <f t="shared" si="1"/>
        <v>#N/A</v>
      </c>
      <c r="V25" s="67" t="e">
        <f t="shared" si="1"/>
        <v>#N/A</v>
      </c>
      <c r="W25" s="67" t="e">
        <f t="shared" si="1"/>
        <v>#N/A</v>
      </c>
      <c r="X25" s="67" t="e">
        <f t="shared" si="3"/>
        <v>#N/A</v>
      </c>
      <c r="Y25" s="71"/>
      <c r="Z25" s="71"/>
      <c r="AA25" s="71"/>
      <c r="AB25" s="71"/>
      <c r="AC25" s="71"/>
      <c r="AD25" s="71"/>
      <c r="AE25" s="71"/>
      <c r="AF25" s="71"/>
      <c r="AG25" s="71"/>
      <c r="AH25" s="71"/>
      <c r="AI25" s="71"/>
    </row>
    <row r="26" spans="1:35" ht="24" hidden="1" customHeight="1">
      <c r="A26" s="3"/>
      <c r="B26" s="783">
        <f>+'Data Entry'!B130</f>
        <v>0</v>
      </c>
      <c r="C26" s="783"/>
      <c r="D26" s="783"/>
      <c r="E26" s="147">
        <f ca="1">OFFSET('Data Entry'!$G$117,13,RIGHT('Data Entry'!$C$16,LEN('Data Entry'!$C$16)-1),1,1)</f>
        <v>0</v>
      </c>
      <c r="F26" s="147">
        <f ca="1">OFFSET('Data Entry'!$G$117,14,RIGHT('Data Entry'!$C$16,LEN('Data Entry'!$C$16)-1),1,1)</f>
        <v>0</v>
      </c>
      <c r="G26" s="769">
        <f t="shared" ca="1" si="0"/>
        <v>0</v>
      </c>
      <c r="H26" s="770"/>
      <c r="I26" s="770"/>
      <c r="J26" s="770"/>
      <c r="K26" s="771"/>
      <c r="L26" s="768"/>
      <c r="M26" s="768"/>
      <c r="N26" s="768"/>
      <c r="O26" s="768"/>
      <c r="P26" s="768"/>
      <c r="Q26" s="768"/>
      <c r="S26" s="69"/>
      <c r="T26" s="67" t="e">
        <f t="shared" si="1"/>
        <v>#N/A</v>
      </c>
      <c r="U26" s="67" t="e">
        <f t="shared" si="1"/>
        <v>#N/A</v>
      </c>
      <c r="V26" s="67" t="e">
        <f t="shared" si="1"/>
        <v>#N/A</v>
      </c>
      <c r="W26" s="67" t="e">
        <f t="shared" si="1"/>
        <v>#N/A</v>
      </c>
      <c r="X26" s="67" t="e">
        <f t="shared" si="3"/>
        <v>#N/A</v>
      </c>
      <c r="Y26" s="71"/>
      <c r="Z26" s="71"/>
      <c r="AA26" s="71"/>
      <c r="AB26" s="71"/>
      <c r="AC26" s="71"/>
      <c r="AD26" s="71"/>
      <c r="AE26" s="71"/>
      <c r="AF26" s="71"/>
      <c r="AG26" s="71"/>
      <c r="AH26" s="71"/>
      <c r="AI26" s="71"/>
    </row>
    <row r="27" spans="1:35" ht="24" hidden="1" customHeight="1">
      <c r="A27" s="3"/>
      <c r="B27" s="778">
        <f>+'Data Entry'!B132</f>
        <v>0</v>
      </c>
      <c r="C27" s="778"/>
      <c r="D27" s="778"/>
      <c r="E27" s="147">
        <f ca="1">OFFSET('Data Entry'!$G$117,15,RIGHT('Data Entry'!$C$16,LEN('Data Entry'!$C$16)-1),1,1)</f>
        <v>0</v>
      </c>
      <c r="F27" s="147">
        <f ca="1">OFFSET('Data Entry'!$G$117,16,RIGHT('Data Entry'!$C$16,LEN('Data Entry'!$C$16)-1),1,1)</f>
        <v>0</v>
      </c>
      <c r="G27" s="769">
        <f t="shared" ca="1" si="0"/>
        <v>0</v>
      </c>
      <c r="H27" s="770"/>
      <c r="I27" s="770"/>
      <c r="J27" s="770"/>
      <c r="K27" s="771"/>
      <c r="L27" s="768"/>
      <c r="M27" s="768"/>
      <c r="N27" s="768"/>
      <c r="O27" s="768"/>
      <c r="P27" s="768"/>
      <c r="Q27" s="768"/>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38.1" hidden="1" customHeight="1">
      <c r="A28" s="3"/>
      <c r="B28" s="783">
        <f>+'Data Entry'!B134</f>
        <v>0</v>
      </c>
      <c r="C28" s="783"/>
      <c r="D28" s="783"/>
      <c r="E28" s="147">
        <f ca="1">OFFSET('Data Entry'!$G$117,17,RIGHT('Data Entry'!$C$16,LEN('Data Entry'!$C$16)-1),1,1)</f>
        <v>0</v>
      </c>
      <c r="F28" s="147">
        <f ca="1">OFFSET('Data Entry'!$G$117,18,RIGHT('Data Entry'!$C$16,LEN('Data Entry'!$C$16)-1),1,1)</f>
        <v>0</v>
      </c>
      <c r="G28" s="769">
        <f t="shared" ca="1" si="0"/>
        <v>0</v>
      </c>
      <c r="H28" s="770"/>
      <c r="I28" s="770"/>
      <c r="J28" s="770"/>
      <c r="K28" s="771"/>
      <c r="L28" s="768"/>
      <c r="M28" s="768"/>
      <c r="N28" s="768"/>
      <c r="O28" s="768"/>
      <c r="P28" s="768"/>
      <c r="Q28" s="768"/>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8.25" hidden="1" customHeight="1">
      <c r="A29" s="3"/>
      <c r="B29" s="780">
        <f>+'Data Entry'!B136</f>
        <v>0</v>
      </c>
      <c r="C29" s="781"/>
      <c r="D29" s="782"/>
      <c r="E29" s="147">
        <f ca="1">OFFSET('Data Entry'!$G$117,19,RIGHT('Data Entry'!$C$16,LEN('Data Entry'!$C$16)-1),1,1)</f>
        <v>0</v>
      </c>
      <c r="F29" s="147">
        <f ca="1">OFFSET('Data Entry'!$G$117,20,RIGHT('Data Entry'!$C$16,LEN('Data Entry'!$C$16)-1),1,1)</f>
        <v>0</v>
      </c>
      <c r="G29" s="769">
        <f t="shared" ca="1" si="0"/>
        <v>0</v>
      </c>
      <c r="H29" s="770"/>
      <c r="I29" s="770"/>
      <c r="J29" s="770"/>
      <c r="K29" s="771"/>
      <c r="L29" s="768"/>
      <c r="M29" s="768"/>
      <c r="N29" s="768"/>
      <c r="O29" s="768"/>
      <c r="P29" s="768"/>
      <c r="Q29" s="768"/>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B30" s="790"/>
      <c r="C30" s="790"/>
      <c r="D30" s="790"/>
      <c r="E30" s="790"/>
      <c r="F30" s="789"/>
      <c r="G30" s="789"/>
      <c r="H30" s="789"/>
      <c r="I30" s="789"/>
      <c r="J30" s="789"/>
      <c r="K30" s="789"/>
      <c r="L30" s="788"/>
      <c r="M30" s="788"/>
      <c r="N30" s="788"/>
      <c r="O30" s="788"/>
      <c r="P30" s="788"/>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784"/>
      <c r="C31" s="784"/>
      <c r="D31" s="784"/>
      <c r="E31" s="785"/>
      <c r="F31" s="786"/>
      <c r="G31" s="787"/>
      <c r="H31" s="787"/>
      <c r="I31" s="787"/>
      <c r="J31" s="787"/>
      <c r="K31" s="785"/>
      <c r="L31" s="786"/>
      <c r="M31" s="787"/>
      <c r="N31" s="787"/>
      <c r="O31" s="787"/>
      <c r="P31" s="787"/>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c r="A32" s="3"/>
      <c r="B32" s="230"/>
      <c r="C32" s="230"/>
      <c r="D32" s="230"/>
      <c r="E32" s="230"/>
      <c r="F32" s="230"/>
      <c r="G32" s="230"/>
      <c r="H32" s="231"/>
      <c r="I32" s="230"/>
      <c r="J32" s="230"/>
      <c r="K32" s="230"/>
      <c r="L32" s="230"/>
      <c r="M32" s="230"/>
      <c r="N32" s="230"/>
      <c r="O32" s="230"/>
      <c r="P32" s="230"/>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c r="A33" s="3"/>
      <c r="B33" s="779"/>
      <c r="C33" s="779"/>
      <c r="D33" s="779"/>
      <c r="E33" s="779"/>
      <c r="F33" s="779"/>
      <c r="G33" s="779"/>
      <c r="H33" s="779"/>
      <c r="I33" s="779"/>
      <c r="J33" s="779"/>
      <c r="K33" s="779"/>
      <c r="L33" s="230"/>
      <c r="M33" s="230"/>
      <c r="N33" s="230"/>
      <c r="O33" s="230"/>
      <c r="P33" s="230"/>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c r="A34" s="3"/>
      <c r="B34" s="779"/>
      <c r="C34" s="779"/>
      <c r="D34" s="779"/>
      <c r="E34" s="779"/>
      <c r="F34" s="779"/>
      <c r="G34" s="779"/>
      <c r="H34" s="779"/>
      <c r="I34" s="779"/>
      <c r="J34" s="779"/>
      <c r="K34" s="779"/>
      <c r="L34" s="230"/>
      <c r="M34" s="230"/>
      <c r="N34" s="230"/>
      <c r="O34" s="230"/>
      <c r="P34" s="230"/>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8"/>
      <c r="J36" s="149"/>
      <c r="K36" s="149"/>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50"/>
      <c r="J37" s="151"/>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52"/>
      <c r="J38" s="151"/>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50"/>
      <c r="J39" s="151"/>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mergeCells count="58">
    <mergeCell ref="C9:E9"/>
    <mergeCell ref="G9:K9"/>
    <mergeCell ref="M9:Q9"/>
    <mergeCell ref="C3:D3"/>
    <mergeCell ref="E4:L4"/>
    <mergeCell ref="B8:E8"/>
    <mergeCell ref="F8:K8"/>
    <mergeCell ref="F31:K31"/>
    <mergeCell ref="B21:D21"/>
    <mergeCell ref="G28:K28"/>
    <mergeCell ref="G29:K29"/>
    <mergeCell ref="F30:K30"/>
    <mergeCell ref="B30:E30"/>
    <mergeCell ref="B27:D27"/>
    <mergeCell ref="B28:D28"/>
    <mergeCell ref="B29:D29"/>
    <mergeCell ref="B22:D22"/>
    <mergeCell ref="L31:P31"/>
    <mergeCell ref="L20:Q20"/>
    <mergeCell ref="L21:Q21"/>
    <mergeCell ref="L22:Q22"/>
    <mergeCell ref="L28:Q28"/>
    <mergeCell ref="L30:P30"/>
    <mergeCell ref="L23:Q23"/>
    <mergeCell ref="L24:Q24"/>
    <mergeCell ref="L29:Q29"/>
    <mergeCell ref="E18:K18"/>
    <mergeCell ref="B19:D19"/>
    <mergeCell ref="B20:D20"/>
    <mergeCell ref="B33:D34"/>
    <mergeCell ref="E33:G34"/>
    <mergeCell ref="H33:K34"/>
    <mergeCell ref="B23:D23"/>
    <mergeCell ref="B24:D24"/>
    <mergeCell ref="B25:D25"/>
    <mergeCell ref="B26:D26"/>
    <mergeCell ref="G23:K23"/>
    <mergeCell ref="G24:K24"/>
    <mergeCell ref="G25:K25"/>
    <mergeCell ref="G26:K26"/>
    <mergeCell ref="G27:K27"/>
    <mergeCell ref="B31:E31"/>
    <mergeCell ref="L19:Q19"/>
    <mergeCell ref="L25:Q25"/>
    <mergeCell ref="L26:Q26"/>
    <mergeCell ref="L27:Q27"/>
    <mergeCell ref="G20:K20"/>
    <mergeCell ref="G21:K21"/>
    <mergeCell ref="G22:K22"/>
    <mergeCell ref="G19:H19"/>
    <mergeCell ref="I19:J19"/>
    <mergeCell ref="B2:Q2"/>
    <mergeCell ref="O3:P3"/>
    <mergeCell ref="D5:N5"/>
    <mergeCell ref="L8:Q8"/>
    <mergeCell ref="F6:K6"/>
    <mergeCell ref="E3:K3"/>
    <mergeCell ref="C4:D4"/>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9">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headerFooter alignWithMargins="0">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2"/>
  <sheetViews>
    <sheetView showGridLines="0" zoomScale="90" zoomScaleNormal="90" zoomScalePageLayoutView="90" workbookViewId="0">
      <selection activeCell="Q12" sqref="Q12"/>
    </sheetView>
  </sheetViews>
  <sheetFormatPr defaultColWidth="11.42578125" defaultRowHeight="11.25"/>
  <cols>
    <col min="1" max="1" width="1.140625" style="31" customWidth="1"/>
    <col min="2" max="2" width="19.28515625" style="31" customWidth="1"/>
    <col min="3" max="3" width="1.140625" style="31" customWidth="1"/>
    <col min="4" max="4" width="17.140625" style="31" customWidth="1"/>
    <col min="5" max="5" width="17.42578125" style="31" customWidth="1"/>
    <col min="6" max="6" width="9.7109375" style="31" customWidth="1"/>
    <col min="7" max="7" width="13" style="31" customWidth="1"/>
    <col min="8" max="8" width="4.28515625" style="31" customWidth="1"/>
    <col min="9" max="9" width="15.85546875" style="31" customWidth="1"/>
    <col min="10" max="10" width="3.42578125" style="31" customWidth="1"/>
    <col min="11" max="11" width="7.42578125" style="32" customWidth="1"/>
    <col min="12" max="12" width="14.28515625" style="31" customWidth="1"/>
    <col min="13" max="13" width="12" style="31" customWidth="1"/>
    <col min="14" max="14" width="5.42578125" style="31" customWidth="1"/>
    <col min="15" max="15" width="2.42578125" style="31" customWidth="1"/>
    <col min="16" max="16384" width="11.42578125" style="31"/>
  </cols>
  <sheetData>
    <row r="1" spans="1:15" ht="38.25" customHeight="1">
      <c r="A1" s="154"/>
      <c r="B1" s="154"/>
      <c r="C1" s="154"/>
      <c r="D1" s="154"/>
      <c r="E1" s="154"/>
      <c r="F1" s="154"/>
      <c r="G1" s="154"/>
      <c r="H1" s="154"/>
      <c r="I1" s="154"/>
      <c r="J1" s="154"/>
      <c r="K1" s="155"/>
      <c r="L1" s="154"/>
      <c r="M1" s="154"/>
      <c r="N1" s="154"/>
    </row>
    <row r="2" spans="1:15" customFormat="1" ht="27.75" customHeight="1">
      <c r="A2" s="3"/>
      <c r="B2" s="760" t="str">
        <f>+"Dashboard:  "&amp;"  "&amp;IF(+'Data Entry'!C4="Please Select","",'Data Entry'!C4&amp;" - ")&amp;IF('Data Entry'!G6="Please Select","",'Data Entry'!G6)</f>
        <v>Dashboard:    Georgia - TB</v>
      </c>
      <c r="C2" s="760"/>
      <c r="D2" s="760"/>
      <c r="E2" s="760"/>
      <c r="F2" s="760"/>
      <c r="G2" s="760"/>
      <c r="H2" s="760"/>
      <c r="I2" s="760"/>
      <c r="J2" s="760"/>
      <c r="K2" s="760"/>
      <c r="L2" s="760"/>
      <c r="M2" s="760"/>
      <c r="N2" s="760"/>
      <c r="O2" s="73"/>
    </row>
    <row r="3" spans="1:15" customFormat="1" ht="18.75">
      <c r="A3" s="3"/>
      <c r="B3" s="135" t="str">
        <f>+IF('Data Entry'!G8="Please Select","",'Data Entry'!G8)</f>
        <v>NFM</v>
      </c>
      <c r="C3" s="739" t="str">
        <f>+IF('Data Entry'!I8="Please Select","",'Data Entry'!I8)</f>
        <v>Phase 1</v>
      </c>
      <c r="D3" s="739"/>
      <c r="E3" s="763"/>
      <c r="F3" s="763"/>
      <c r="G3" s="763"/>
      <c r="H3" s="763"/>
      <c r="I3" s="763"/>
      <c r="J3" s="763"/>
      <c r="K3" s="763"/>
      <c r="L3" s="135" t="str">
        <f>+'Data Entry'!B16</f>
        <v>Report Period:</v>
      </c>
      <c r="M3" s="202" t="str">
        <f>+'Data Entry'!C16</f>
        <v>P12</v>
      </c>
      <c r="N3" s="202"/>
      <c r="O3" s="31"/>
    </row>
    <row r="4" spans="1:15" customFormat="1" ht="15">
      <c r="A4" s="3"/>
      <c r="B4" s="135" t="str">
        <f>+'Data Entry'!B12</f>
        <v>Latest Rating:</v>
      </c>
      <c r="C4" s="764" t="str">
        <f>+IF('Data Entry'!C12="Please Select","",'Data Entry'!C12)</f>
        <v>A2</v>
      </c>
      <c r="D4" s="764"/>
      <c r="E4" s="738" t="str">
        <f>+'Data Entry'!C8</f>
        <v>NCDC</v>
      </c>
      <c r="F4" s="738"/>
      <c r="G4" s="738"/>
      <c r="H4" s="738"/>
      <c r="I4" s="738"/>
      <c r="J4" s="738"/>
      <c r="K4" s="738"/>
      <c r="L4" s="135" t="str">
        <f>+'Data Entry'!D16</f>
        <v>From:</v>
      </c>
      <c r="M4" s="203">
        <f>+IF(ISBLANK('Data Entry'!E16),"",'Data Entry'!E16)</f>
        <v>43831</v>
      </c>
      <c r="N4" s="203"/>
      <c r="O4" s="31"/>
    </row>
    <row r="5" spans="1:15" customFormat="1" ht="18.75" customHeight="1">
      <c r="A5" s="3"/>
      <c r="B5" s="135"/>
      <c r="C5" s="135"/>
      <c r="D5" s="136"/>
      <c r="E5" s="738" t="str">
        <f>+'Data Entry'!G4</f>
        <v>Sustaining Universal Access to Quality Diagnosis and Treatment of all forms of TB</v>
      </c>
      <c r="F5" s="738"/>
      <c r="G5" s="738"/>
      <c r="H5" s="738"/>
      <c r="I5" s="738"/>
      <c r="J5" s="738"/>
      <c r="K5" s="738"/>
      <c r="L5" s="135" t="str">
        <f>+'Data Entry'!F16</f>
        <v>To:</v>
      </c>
      <c r="M5" s="203">
        <f>+IF(ISBLANK('Data Entry'!G16),"",'Data Entry'!G16)</f>
        <v>43921</v>
      </c>
      <c r="N5" s="203"/>
    </row>
    <row r="6" spans="1:15" customFormat="1" ht="22.5" customHeight="1">
      <c r="A6" s="3"/>
      <c r="B6" s="140"/>
      <c r="C6" s="141"/>
      <c r="D6" s="142"/>
      <c r="E6" s="828" t="s">
        <v>316</v>
      </c>
      <c r="F6" s="828"/>
      <c r="G6" s="828"/>
      <c r="H6" s="828"/>
      <c r="I6" s="828"/>
      <c r="J6" s="828"/>
      <c r="K6" s="828"/>
      <c r="L6" s="2"/>
      <c r="M6" s="2"/>
      <c r="N6" s="2"/>
    </row>
    <row r="7" spans="1:15" s="33" customFormat="1" ht="4.5" customHeight="1">
      <c r="A7" s="156"/>
      <c r="B7" s="157"/>
      <c r="C7" s="157"/>
      <c r="D7" s="157"/>
      <c r="E7" s="157"/>
      <c r="F7" s="157"/>
      <c r="G7" s="157"/>
      <c r="H7" s="157"/>
      <c r="I7" s="157"/>
      <c r="J7" s="157"/>
      <c r="K7" s="157"/>
      <c r="L7" s="158"/>
      <c r="M7" s="158"/>
      <c r="N7" s="159"/>
    </row>
    <row r="8" spans="1:15" s="33" customFormat="1" ht="21" customHeight="1" thickBot="1">
      <c r="A8" s="156"/>
      <c r="B8" s="802" t="s">
        <v>99</v>
      </c>
      <c r="C8" s="802"/>
      <c r="D8" s="802"/>
      <c r="E8" s="802"/>
      <c r="F8" s="802"/>
      <c r="G8" s="802"/>
      <c r="H8" s="802"/>
      <c r="I8" s="802"/>
      <c r="J8" s="802"/>
      <c r="K8" s="802"/>
      <c r="L8" s="802"/>
      <c r="M8" s="802"/>
      <c r="N8" s="802"/>
    </row>
    <row r="9" spans="1:15" s="33" customFormat="1" ht="3.75" customHeight="1" thickBot="1">
      <c r="A9" s="156"/>
      <c r="B9" s="157"/>
      <c r="C9" s="157"/>
      <c r="D9" s="157"/>
      <c r="E9" s="157"/>
      <c r="F9" s="157"/>
      <c r="G9" s="157"/>
      <c r="H9" s="157"/>
      <c r="I9" s="157"/>
      <c r="J9" s="157"/>
      <c r="K9" s="157"/>
      <c r="L9" s="158"/>
      <c r="M9" s="158"/>
      <c r="N9" s="159"/>
    </row>
    <row r="10" spans="1:15" s="34" customFormat="1" ht="25.5" customHeight="1" thickBot="1">
      <c r="A10" s="160"/>
      <c r="B10" s="823" t="s">
        <v>94</v>
      </c>
      <c r="C10" s="815"/>
      <c r="D10" s="803" t="s">
        <v>98</v>
      </c>
      <c r="E10" s="804"/>
      <c r="F10" s="804"/>
      <c r="G10" s="805"/>
      <c r="H10" s="163"/>
      <c r="I10" s="803" t="s">
        <v>316</v>
      </c>
      <c r="J10" s="804"/>
      <c r="K10" s="804"/>
      <c r="L10" s="804"/>
      <c r="M10" s="804"/>
      <c r="N10" s="805"/>
    </row>
    <row r="11" spans="1:15" s="34" customFormat="1" ht="28.5" customHeight="1">
      <c r="A11" s="160"/>
      <c r="B11" s="427" t="s">
        <v>102</v>
      </c>
      <c r="C11" s="180"/>
      <c r="D11" s="826" t="str">
        <f>IF(ISBLANK(Finance!C9),"",(Finance!C9))</f>
        <v/>
      </c>
      <c r="E11" s="826"/>
      <c r="F11" s="826"/>
      <c r="G11" s="831"/>
      <c r="H11" s="186"/>
      <c r="I11" s="832"/>
      <c r="J11" s="833"/>
      <c r="K11" s="833"/>
      <c r="L11" s="833"/>
      <c r="M11" s="833"/>
      <c r="N11" s="834"/>
    </row>
    <row r="12" spans="1:15" s="34" customFormat="1" ht="27.75" customHeight="1">
      <c r="A12" s="160"/>
      <c r="B12" s="428" t="s">
        <v>103</v>
      </c>
      <c r="C12" s="181"/>
      <c r="D12" s="826" t="str">
        <f>IF(ISBLANK(Finance!C23),"",(Finance!C23))</f>
        <v/>
      </c>
      <c r="E12" s="826"/>
      <c r="F12" s="826"/>
      <c r="G12" s="831"/>
      <c r="H12" s="186"/>
      <c r="I12" s="817"/>
      <c r="J12" s="818"/>
      <c r="K12" s="818"/>
      <c r="L12" s="818"/>
      <c r="M12" s="818"/>
      <c r="N12" s="819"/>
    </row>
    <row r="13" spans="1:15" s="34" customFormat="1" ht="26.25" customHeight="1">
      <c r="A13" s="160"/>
      <c r="B13" s="428" t="s">
        <v>104</v>
      </c>
      <c r="C13" s="181"/>
      <c r="D13" s="826" t="str">
        <f>IF(ISBLANK(Finance!I9),"",(Finance!I9))</f>
        <v/>
      </c>
      <c r="E13" s="826"/>
      <c r="F13" s="826"/>
      <c r="G13" s="831"/>
      <c r="H13" s="186"/>
      <c r="I13" s="817"/>
      <c r="J13" s="818"/>
      <c r="K13" s="818"/>
      <c r="L13" s="818"/>
      <c r="M13" s="818"/>
      <c r="N13" s="819"/>
    </row>
    <row r="14" spans="1:15" s="34" customFormat="1" ht="28.5" customHeight="1" thickBot="1">
      <c r="A14" s="160"/>
      <c r="B14" s="429" t="s">
        <v>105</v>
      </c>
      <c r="C14" s="182"/>
      <c r="D14" s="829" t="str">
        <f>IF(ISBLANK(Finance!I23),"",(Finance!I23))</f>
        <v/>
      </c>
      <c r="E14" s="829"/>
      <c r="F14" s="829"/>
      <c r="G14" s="830"/>
      <c r="H14" s="186"/>
      <c r="I14" s="820"/>
      <c r="J14" s="821"/>
      <c r="K14" s="821"/>
      <c r="L14" s="821"/>
      <c r="M14" s="821"/>
      <c r="N14" s="822"/>
    </row>
    <row r="15" spans="1:15" s="34" customFormat="1" ht="4.5" customHeight="1">
      <c r="A15" s="160"/>
      <c r="B15" s="183"/>
      <c r="C15" s="184"/>
      <c r="D15" s="185"/>
      <c r="E15" s="185"/>
      <c r="F15" s="185"/>
      <c r="G15" s="185"/>
      <c r="H15" s="186"/>
      <c r="I15" s="187"/>
      <c r="J15" s="187"/>
      <c r="K15" s="187"/>
      <c r="L15" s="187"/>
      <c r="M15" s="187"/>
      <c r="N15" s="187"/>
      <c r="O15" s="75"/>
    </row>
    <row r="16" spans="1:15" s="33" customFormat="1" ht="21" customHeight="1" thickBot="1">
      <c r="A16" s="156"/>
      <c r="B16" s="802" t="s">
        <v>101</v>
      </c>
      <c r="C16" s="802"/>
      <c r="D16" s="802"/>
      <c r="E16" s="802"/>
      <c r="F16" s="802"/>
      <c r="G16" s="802"/>
      <c r="H16" s="802"/>
      <c r="I16" s="802"/>
      <c r="J16" s="802"/>
      <c r="K16" s="802"/>
      <c r="L16" s="802"/>
      <c r="M16" s="802"/>
      <c r="N16" s="802"/>
    </row>
    <row r="17" spans="1:15" s="34" customFormat="1" ht="3.75" customHeight="1" thickBot="1">
      <c r="A17" s="160"/>
      <c r="B17" s="169"/>
      <c r="C17" s="170"/>
      <c r="D17" s="171"/>
      <c r="E17" s="172"/>
      <c r="F17" s="173"/>
      <c r="G17" s="173"/>
      <c r="H17" s="174"/>
      <c r="I17" s="175"/>
      <c r="J17" s="176"/>
      <c r="K17" s="165"/>
      <c r="L17" s="166"/>
      <c r="M17" s="167"/>
      <c r="N17" s="168"/>
    </row>
    <row r="18" spans="1:15" s="34" customFormat="1" ht="22.5" customHeight="1" thickBot="1">
      <c r="A18" s="160"/>
      <c r="B18" s="815" t="s">
        <v>95</v>
      </c>
      <c r="C18" s="816"/>
      <c r="D18" s="838" t="s">
        <v>98</v>
      </c>
      <c r="E18" s="839"/>
      <c r="F18" s="839"/>
      <c r="G18" s="840"/>
      <c r="H18" s="163"/>
      <c r="I18" s="835" t="s">
        <v>316</v>
      </c>
      <c r="J18" s="836"/>
      <c r="K18" s="836"/>
      <c r="L18" s="836"/>
      <c r="M18" s="837"/>
      <c r="N18" s="837"/>
    </row>
    <row r="19" spans="1:15" s="34" customFormat="1" ht="21.75" customHeight="1">
      <c r="A19" s="160"/>
      <c r="B19" s="430" t="s">
        <v>110</v>
      </c>
      <c r="C19" s="188"/>
      <c r="D19" s="824" t="str">
        <f>IF(ISBLANK(Management!C8),"",(Management!C8))</f>
        <v/>
      </c>
      <c r="E19" s="824"/>
      <c r="F19" s="824"/>
      <c r="G19" s="825"/>
      <c r="H19" s="189"/>
      <c r="I19" s="806"/>
      <c r="J19" s="807"/>
      <c r="K19" s="807"/>
      <c r="L19" s="807"/>
      <c r="M19" s="807"/>
      <c r="N19" s="808"/>
    </row>
    <row r="20" spans="1:15" ht="24.75" customHeight="1">
      <c r="A20" s="154"/>
      <c r="B20" s="431" t="s">
        <v>111</v>
      </c>
      <c r="C20" s="190"/>
      <c r="D20" s="826" t="str">
        <f>IF(ISBLANK(Management!I8),"",(Management!I8))</f>
        <v/>
      </c>
      <c r="E20" s="826">
        <f>+'Data Entry'!D73/'Data Entry'!G73</f>
        <v>0.83333333333333337</v>
      </c>
      <c r="F20" s="826">
        <f>+('Data Entry'!E73+'Data Entry'!F73)/'Data Entry'!G73</f>
        <v>0.16666666666666666</v>
      </c>
      <c r="G20" s="827"/>
      <c r="H20" s="189"/>
      <c r="I20" s="812"/>
      <c r="J20" s="813"/>
      <c r="K20" s="813"/>
      <c r="L20" s="813"/>
      <c r="M20" s="813"/>
      <c r="N20" s="814"/>
      <c r="O20" s="35"/>
    </row>
    <row r="21" spans="1:15" ht="29.25" customHeight="1">
      <c r="A21" s="154"/>
      <c r="B21" s="432" t="s">
        <v>112</v>
      </c>
      <c r="C21" s="190"/>
      <c r="D21" s="826" t="str">
        <f>IF(ISBLANK(Management!C16),"",(Management!C16))</f>
        <v/>
      </c>
      <c r="E21" s="826"/>
      <c r="F21" s="826"/>
      <c r="G21" s="827"/>
      <c r="H21" s="189"/>
      <c r="I21" s="812"/>
      <c r="J21" s="813"/>
      <c r="K21" s="813"/>
      <c r="L21" s="813"/>
      <c r="M21" s="813"/>
      <c r="N21" s="814"/>
      <c r="O21" s="35"/>
    </row>
    <row r="22" spans="1:15" ht="26.25" customHeight="1">
      <c r="A22" s="154"/>
      <c r="B22" s="432" t="s">
        <v>113</v>
      </c>
      <c r="C22" s="190"/>
      <c r="D22" s="826" t="str">
        <f>IF(ISBLANK(Management!I16),"",(Management!I16))</f>
        <v/>
      </c>
      <c r="E22" s="826"/>
      <c r="F22" s="826"/>
      <c r="G22" s="827"/>
      <c r="H22" s="189"/>
      <c r="I22" s="812"/>
      <c r="J22" s="813"/>
      <c r="K22" s="813"/>
      <c r="L22" s="813"/>
      <c r="M22" s="813"/>
      <c r="N22" s="814"/>
      <c r="O22" s="35"/>
    </row>
    <row r="23" spans="1:15" ht="24.75" customHeight="1">
      <c r="A23" s="154"/>
      <c r="B23" s="432" t="s">
        <v>114</v>
      </c>
      <c r="C23" s="190"/>
      <c r="D23" s="826" t="str">
        <f>IF(ISBLANK(Management!C27),"",(Management!C27))</f>
        <v/>
      </c>
      <c r="E23" s="826"/>
      <c r="F23" s="826"/>
      <c r="G23" s="827"/>
      <c r="H23" s="189"/>
      <c r="I23" s="812"/>
      <c r="J23" s="813"/>
      <c r="K23" s="813"/>
      <c r="L23" s="813"/>
      <c r="M23" s="813"/>
      <c r="N23" s="814"/>
      <c r="O23" s="35"/>
    </row>
    <row r="24" spans="1:15" ht="27" customHeight="1" thickBot="1">
      <c r="A24" s="154"/>
      <c r="B24" s="433" t="s">
        <v>116</v>
      </c>
      <c r="C24" s="191"/>
      <c r="D24" s="845" t="str">
        <f>IF(ISBLANK(Management!I27),"",(Management!I27))</f>
        <v xml:space="preserve">In central warehouse there was a stockout for Cycloserine but TB facilities had enough  stock for patients on treatment at that time.  The stock has been already refilled in central warehouse with the amount enough for more than 5 months. </v>
      </c>
      <c r="E24" s="845"/>
      <c r="F24" s="845"/>
      <c r="G24" s="846"/>
      <c r="H24" s="189"/>
      <c r="I24" s="809"/>
      <c r="J24" s="810"/>
      <c r="K24" s="810"/>
      <c r="L24" s="810"/>
      <c r="M24" s="810"/>
      <c r="N24" s="811"/>
      <c r="O24" s="35"/>
    </row>
    <row r="25" spans="1:15" ht="4.5" customHeight="1">
      <c r="A25" s="156"/>
      <c r="B25" s="161"/>
      <c r="C25" s="162"/>
      <c r="D25" s="177"/>
      <c r="E25" s="178"/>
      <c r="F25" s="179"/>
      <c r="G25" s="179"/>
      <c r="H25" s="163"/>
      <c r="I25" s="178"/>
      <c r="J25" s="164"/>
      <c r="K25" s="165"/>
      <c r="L25" s="166"/>
      <c r="M25" s="167"/>
      <c r="N25" s="168"/>
      <c r="O25" s="35"/>
    </row>
    <row r="26" spans="1:15" s="33" customFormat="1" ht="21" customHeight="1" thickBot="1">
      <c r="A26" s="156"/>
      <c r="B26" s="802" t="s">
        <v>100</v>
      </c>
      <c r="C26" s="802"/>
      <c r="D26" s="802"/>
      <c r="E26" s="802"/>
      <c r="F26" s="802"/>
      <c r="G26" s="802"/>
      <c r="H26" s="802"/>
      <c r="I26" s="802"/>
      <c r="J26" s="802"/>
      <c r="K26" s="802"/>
      <c r="L26" s="802"/>
      <c r="M26" s="802"/>
      <c r="N26" s="802"/>
    </row>
    <row r="27" spans="1:15" ht="3.75" customHeight="1" thickBot="1">
      <c r="A27" s="156"/>
      <c r="B27" s="161"/>
      <c r="C27" s="162"/>
      <c r="D27" s="177"/>
      <c r="E27" s="178"/>
      <c r="F27" s="179"/>
      <c r="G27" s="179"/>
      <c r="H27" s="163"/>
      <c r="I27" s="178"/>
      <c r="J27" s="164"/>
      <c r="K27" s="165"/>
      <c r="L27" s="166"/>
      <c r="M27" s="167"/>
      <c r="N27" s="168"/>
      <c r="O27" s="35"/>
    </row>
    <row r="28" spans="1:15" ht="21.75" customHeight="1" thickBot="1">
      <c r="A28" s="154"/>
      <c r="B28" s="823" t="s">
        <v>7</v>
      </c>
      <c r="C28" s="816"/>
      <c r="D28" s="847" t="s">
        <v>98</v>
      </c>
      <c r="E28" s="848"/>
      <c r="F28" s="848"/>
      <c r="G28" s="849"/>
      <c r="H28" s="163"/>
      <c r="I28" s="847" t="s">
        <v>316</v>
      </c>
      <c r="J28" s="848"/>
      <c r="K28" s="848"/>
      <c r="L28" s="848"/>
      <c r="M28" s="848"/>
      <c r="N28" s="849"/>
      <c r="O28" s="35"/>
    </row>
    <row r="29" spans="1:15" ht="29.25" customHeight="1">
      <c r="A29" s="154"/>
      <c r="B29" s="434" t="s">
        <v>317</v>
      </c>
      <c r="C29" s="192"/>
      <c r="D29" s="850" t="str">
        <f>IF(ISBLANK(Programmatic!C9),"",(Programmatic!C9))</f>
        <v/>
      </c>
      <c r="E29" s="851"/>
      <c r="F29" s="851"/>
      <c r="G29" s="852"/>
      <c r="H29" s="189"/>
      <c r="I29" s="853"/>
      <c r="J29" s="854"/>
      <c r="K29" s="854"/>
      <c r="L29" s="854"/>
      <c r="M29" s="854"/>
      <c r="N29" s="855"/>
      <c r="O29" s="35"/>
    </row>
    <row r="30" spans="1:15" ht="21.75" customHeight="1">
      <c r="A30" s="154"/>
      <c r="B30" s="435" t="s">
        <v>318</v>
      </c>
      <c r="C30" s="193"/>
      <c r="D30" s="844" t="str">
        <f>IF(ISBLANK(Programmatic!G9),"",(Programmatic!G9))</f>
        <v/>
      </c>
      <c r="E30" s="842"/>
      <c r="F30" s="842"/>
      <c r="G30" s="843"/>
      <c r="H30" s="189"/>
      <c r="I30" s="796"/>
      <c r="J30" s="797"/>
      <c r="K30" s="797"/>
      <c r="L30" s="797"/>
      <c r="M30" s="797"/>
      <c r="N30" s="798"/>
      <c r="O30" s="35"/>
    </row>
    <row r="31" spans="1:15" ht="21.75" customHeight="1">
      <c r="A31" s="154"/>
      <c r="B31" s="435" t="s">
        <v>319</v>
      </c>
      <c r="C31" s="193"/>
      <c r="D31" s="844" t="str">
        <f>IF(ISBLANK(Programmatic!M9),"",(Programmatic!M9))</f>
        <v/>
      </c>
      <c r="E31" s="842"/>
      <c r="F31" s="842"/>
      <c r="G31" s="843"/>
      <c r="H31" s="189"/>
      <c r="I31" s="796"/>
      <c r="J31" s="797"/>
      <c r="K31" s="797"/>
      <c r="L31" s="797"/>
      <c r="M31" s="797"/>
      <c r="N31" s="798"/>
      <c r="O31" s="35"/>
    </row>
    <row r="32" spans="1:15" ht="21.75" customHeight="1">
      <c r="A32" s="154"/>
      <c r="B32" s="436" t="s">
        <v>106</v>
      </c>
      <c r="C32" s="193"/>
      <c r="D32" s="841" t="str">
        <f>IF(ISBLANK(Programmatic!L20),"",(Programmatic!L20))</f>
        <v xml:space="preserve">MDR Patients that began second line treatment include:
1. Bacteriologically confirmed RR-TB and/or MDR-TB cases
2. Clinically diagnosed MDR TB Cases
The decreasing trend in case notification does not appear to be a result of a decline in the number of individuals screened or diagnostic tests performed. During the reporting period active case finding was used and 95% of new and relapse TB patients were tested with rapid diagnostic methods (GeneXpert), which significantly exceeded the target. WHO reduced estimated MDR/RR incidence among notified cases for 2018 from 400 to 310. The reduced numbers are also reflected in NSP 2019-2022. </v>
      </c>
      <c r="E32" s="842"/>
      <c r="F32" s="842"/>
      <c r="G32" s="843"/>
      <c r="H32" s="189"/>
      <c r="I32" s="796"/>
      <c r="J32" s="797"/>
      <c r="K32" s="797"/>
      <c r="L32" s="797"/>
      <c r="M32" s="797"/>
      <c r="N32" s="798"/>
      <c r="O32" s="35"/>
    </row>
    <row r="33" spans="1:15" ht="27" customHeight="1">
      <c r="A33" s="154"/>
      <c r="B33" s="436" t="s">
        <v>107</v>
      </c>
      <c r="C33" s="193"/>
      <c r="D33" s="841" t="str">
        <f>IF(ISBLANK(Programmatic!L21),"",(Programmatic!L21))</f>
        <v xml:space="preserve">The number includes bacteriologically confirmed XDR TB cases.
See comments above.
</v>
      </c>
      <c r="E33" s="842"/>
      <c r="F33" s="842"/>
      <c r="G33" s="843"/>
      <c r="H33" s="189"/>
      <c r="I33" s="796"/>
      <c r="J33" s="797"/>
      <c r="K33" s="797"/>
      <c r="L33" s="797"/>
      <c r="M33" s="797"/>
      <c r="N33" s="798"/>
      <c r="O33" s="35"/>
    </row>
    <row r="34" spans="1:15" ht="21.75" customHeight="1">
      <c r="A34" s="154"/>
      <c r="B34" s="436" t="s">
        <v>108</v>
      </c>
      <c r="C34" s="193"/>
      <c r="D34" s="841" t="str">
        <f>IF(ISBLANK(Programmatic!L22),"",(Programmatic!L22))</f>
        <v xml:space="preserve">Numerator: New and relapse TB cases enrolled in the TB program who underwent GeneXpert testing at the time of diagnosis
Denominator: New and relapse TB cases enrolled in the TB program </v>
      </c>
      <c r="E34" s="842"/>
      <c r="F34" s="842"/>
      <c r="G34" s="843"/>
      <c r="H34" s="189"/>
      <c r="I34" s="796"/>
      <c r="J34" s="797"/>
      <c r="K34" s="797"/>
      <c r="L34" s="797"/>
      <c r="M34" s="797"/>
      <c r="N34" s="798"/>
      <c r="O34" s="35"/>
    </row>
    <row r="35" spans="1:15" ht="21.75" customHeight="1">
      <c r="A35" s="154"/>
      <c r="B35" s="436" t="s">
        <v>109</v>
      </c>
      <c r="C35" s="236"/>
      <c r="D35" s="841" t="str">
        <f>IF(ISBLANK(Programmatic!L23),"",(Programmatic!L23))</f>
        <v/>
      </c>
      <c r="E35" s="842"/>
      <c r="F35" s="842"/>
      <c r="G35" s="843"/>
      <c r="H35" s="189"/>
      <c r="I35" s="796"/>
      <c r="J35" s="797"/>
      <c r="K35" s="797"/>
      <c r="L35" s="797"/>
      <c r="M35" s="797"/>
      <c r="N35" s="798"/>
      <c r="O35" s="35"/>
    </row>
    <row r="36" spans="1:15" ht="21.75" customHeight="1">
      <c r="A36" s="154"/>
      <c r="B36" s="436" t="s">
        <v>121</v>
      </c>
      <c r="C36" s="236"/>
      <c r="D36" s="841" t="str">
        <f>IF(ISBLANK(Programmatic!L24),"",(Programmatic!L24))</f>
        <v xml:space="preserve">The relatively low indicator relates to the actual (decreased) number of TB patients in the country. </v>
      </c>
      <c r="E36" s="842"/>
      <c r="F36" s="842"/>
      <c r="G36" s="843"/>
      <c r="H36" s="189"/>
      <c r="I36" s="796"/>
      <c r="J36" s="797"/>
      <c r="K36" s="797"/>
      <c r="L36" s="797"/>
      <c r="M36" s="797"/>
      <c r="N36" s="798"/>
      <c r="O36" s="35"/>
    </row>
    <row r="37" spans="1:15" ht="21.75" customHeight="1">
      <c r="A37" s="154"/>
      <c r="B37" s="436" t="s">
        <v>122</v>
      </c>
      <c r="C37" s="236"/>
      <c r="D37" s="841" t="str">
        <f>IF(ISBLANK(Programmatic!L25),"",(Programmatic!L25))</f>
        <v xml:space="preserve">The relatively low indicator relates to the actual (decreased) number of TB patients in the country. </v>
      </c>
      <c r="E37" s="842"/>
      <c r="F37" s="842"/>
      <c r="G37" s="843"/>
      <c r="H37" s="189"/>
      <c r="I37" s="796"/>
      <c r="J37" s="797"/>
      <c r="K37" s="797"/>
      <c r="L37" s="797"/>
      <c r="M37" s="797"/>
      <c r="N37" s="798"/>
      <c r="O37" s="35"/>
    </row>
    <row r="38" spans="1:15" ht="21.75" customHeight="1">
      <c r="A38" s="154"/>
      <c r="B38" s="436" t="s">
        <v>123</v>
      </c>
      <c r="C38" s="236"/>
      <c r="D38" s="841" t="str">
        <f>IF(ISBLANK(Programmatic!L26),"",(Programmatic!L26))</f>
        <v/>
      </c>
      <c r="E38" s="842"/>
      <c r="F38" s="842"/>
      <c r="G38" s="843"/>
      <c r="H38" s="189"/>
      <c r="I38" s="796"/>
      <c r="J38" s="797"/>
      <c r="K38" s="797"/>
      <c r="L38" s="797"/>
      <c r="M38" s="797"/>
      <c r="N38" s="798"/>
      <c r="O38" s="35"/>
    </row>
    <row r="39" spans="1:15" ht="21.75" customHeight="1">
      <c r="A39" s="154"/>
      <c r="B39" s="436" t="s">
        <v>124</v>
      </c>
      <c r="C39" s="236"/>
      <c r="D39" s="841" t="str">
        <f>IF(ISBLANK(Programmatic!L27),"",(Programmatic!L27))</f>
        <v/>
      </c>
      <c r="E39" s="842"/>
      <c r="F39" s="842"/>
      <c r="G39" s="843"/>
      <c r="H39" s="189"/>
      <c r="I39" s="796"/>
      <c r="J39" s="797"/>
      <c r="K39" s="797"/>
      <c r="L39" s="797"/>
      <c r="M39" s="797"/>
      <c r="N39" s="798"/>
      <c r="O39" s="35"/>
    </row>
    <row r="40" spans="1:15" ht="21.75" customHeight="1">
      <c r="A40" s="154"/>
      <c r="B40" s="436" t="s">
        <v>125</v>
      </c>
      <c r="C40" s="236"/>
      <c r="D40" s="841" t="str">
        <f>IF(ISBLANK(Programmatic!L28),"",(Programmatic!L28))</f>
        <v/>
      </c>
      <c r="E40" s="842"/>
      <c r="F40" s="842"/>
      <c r="G40" s="843"/>
      <c r="H40" s="189"/>
      <c r="I40" s="796"/>
      <c r="J40" s="797"/>
      <c r="K40" s="797"/>
      <c r="L40" s="797"/>
      <c r="M40" s="797"/>
      <c r="N40" s="798"/>
      <c r="O40" s="35"/>
    </row>
    <row r="41" spans="1:15" ht="21.75" customHeight="1" thickBot="1">
      <c r="A41" s="154"/>
      <c r="B41" s="436" t="s">
        <v>126</v>
      </c>
      <c r="C41" s="194"/>
      <c r="D41" s="841" t="str">
        <f>IF(ISBLANK(Programmatic!L29),"",(Programmatic!L29))</f>
        <v/>
      </c>
      <c r="E41" s="842"/>
      <c r="F41" s="842"/>
      <c r="G41" s="843"/>
      <c r="H41" s="189"/>
      <c r="I41" s="799"/>
      <c r="J41" s="800"/>
      <c r="K41" s="800"/>
      <c r="L41" s="800"/>
      <c r="M41" s="800"/>
      <c r="N41" s="801"/>
      <c r="O41" s="35"/>
    </row>
    <row r="42" spans="1:15" ht="14.25">
      <c r="A42" s="154"/>
      <c r="B42" s="195"/>
      <c r="C42" s="195"/>
      <c r="D42" s="196"/>
      <c r="E42" s="154"/>
      <c r="F42" s="195"/>
      <c r="G42" s="195"/>
      <c r="H42" s="154"/>
      <c r="I42" s="197"/>
      <c r="J42" s="154"/>
      <c r="K42" s="198"/>
      <c r="L42" s="198"/>
      <c r="M42" s="198"/>
      <c r="N42" s="198"/>
      <c r="O42" s="35"/>
    </row>
  </sheetData>
  <sheetProtection password="CFC9" sheet="1"/>
  <mergeCells count="65">
    <mergeCell ref="D41:G41"/>
    <mergeCell ref="I28:N28"/>
    <mergeCell ref="D40:G40"/>
    <mergeCell ref="D34:G34"/>
    <mergeCell ref="D29:G29"/>
    <mergeCell ref="D28:G28"/>
    <mergeCell ref="I34:N34"/>
    <mergeCell ref="D35:G35"/>
    <mergeCell ref="D32:G32"/>
    <mergeCell ref="D39:G39"/>
    <mergeCell ref="D38:G38"/>
    <mergeCell ref="D37:G37"/>
    <mergeCell ref="I32:N32"/>
    <mergeCell ref="I29:N29"/>
    <mergeCell ref="I33:N33"/>
    <mergeCell ref="I30:N30"/>
    <mergeCell ref="D36:G36"/>
    <mergeCell ref="D30:G30"/>
    <mergeCell ref="D31:G31"/>
    <mergeCell ref="D24:G24"/>
    <mergeCell ref="D33:G33"/>
    <mergeCell ref="I31:N31"/>
    <mergeCell ref="B26:N26"/>
    <mergeCell ref="B16:N16"/>
    <mergeCell ref="D14:G14"/>
    <mergeCell ref="D11:G11"/>
    <mergeCell ref="D13:G13"/>
    <mergeCell ref="I12:N12"/>
    <mergeCell ref="D12:G12"/>
    <mergeCell ref="I11:N11"/>
    <mergeCell ref="B28:C28"/>
    <mergeCell ref="D22:G22"/>
    <mergeCell ref="D23:G23"/>
    <mergeCell ref="I18:N18"/>
    <mergeCell ref="D18:G18"/>
    <mergeCell ref="D20:G20"/>
    <mergeCell ref="I21:N21"/>
    <mergeCell ref="B2:N2"/>
    <mergeCell ref="E5:K5"/>
    <mergeCell ref="E6:K6"/>
    <mergeCell ref="E3:K3"/>
    <mergeCell ref="C4:D4"/>
    <mergeCell ref="E4:K4"/>
    <mergeCell ref="C3:D3"/>
    <mergeCell ref="B8:N8"/>
    <mergeCell ref="I10:N10"/>
    <mergeCell ref="I19:N19"/>
    <mergeCell ref="I24:N24"/>
    <mergeCell ref="I20:N20"/>
    <mergeCell ref="B18:C18"/>
    <mergeCell ref="I13:N13"/>
    <mergeCell ref="I14:N14"/>
    <mergeCell ref="B10:C10"/>
    <mergeCell ref="D10:G10"/>
    <mergeCell ref="I22:N22"/>
    <mergeCell ref="I23:N23"/>
    <mergeCell ref="D19:G19"/>
    <mergeCell ref="D21:G21"/>
    <mergeCell ref="I40:N40"/>
    <mergeCell ref="I41:N41"/>
    <mergeCell ref="I35:N35"/>
    <mergeCell ref="I36:N36"/>
    <mergeCell ref="I37:N37"/>
    <mergeCell ref="I38:N38"/>
    <mergeCell ref="I39:N39"/>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topLeftCell="A25" zoomScale="110" zoomScaleNormal="110" zoomScaleSheetLayoutView="100" zoomScalePageLayoutView="110" workbookViewId="0">
      <selection activeCell="L3" sqref="L3"/>
    </sheetView>
  </sheetViews>
  <sheetFormatPr defaultColWidth="11" defaultRowHeight="15"/>
  <cols>
    <col min="1" max="1" width="4.140625" customWidth="1"/>
    <col min="2" max="2" width="14.42578125" customWidth="1"/>
    <col min="3" max="3" width="12.42578125" customWidth="1"/>
    <col min="4" max="4" width="11.42578125" customWidth="1"/>
    <col min="5" max="5" width="19" customWidth="1"/>
    <col min="6" max="6" width="1.42578125" customWidth="1"/>
    <col min="7" max="7" width="11.42578125" customWidth="1"/>
    <col min="8" max="8" width="9.42578125" customWidth="1"/>
    <col min="9" max="9" width="11.42578125" customWidth="1"/>
    <col min="10" max="10" width="12.42578125" customWidth="1"/>
    <col min="11" max="11" width="10.42578125" customWidth="1"/>
    <col min="12" max="12" width="9.7109375" customWidth="1"/>
  </cols>
  <sheetData>
    <row r="1" spans="1:13" ht="30.75" customHeight="1"/>
    <row r="2" spans="1:13" ht="27.75" customHeight="1">
      <c r="B2" s="757" t="str">
        <f>+"Dashboard:  "&amp;"  "&amp;IF(+'Data Entry'!C4="Please Select","",'Data Entry'!C4&amp;" - ")&amp;IF('Data Entry'!G6="Please Select","",'Data Entry'!G6)</f>
        <v>Dashboard:    Georgia - TB</v>
      </c>
      <c r="C2" s="757"/>
      <c r="D2" s="757"/>
      <c r="E2" s="757"/>
      <c r="F2" s="757"/>
      <c r="G2" s="757"/>
      <c r="H2" s="757"/>
      <c r="I2" s="757"/>
      <c r="J2" s="757"/>
      <c r="K2" s="757"/>
      <c r="L2" s="757"/>
    </row>
    <row r="3" spans="1:13">
      <c r="B3" s="24" t="str">
        <f>+IF('Data Entry'!G8="Please Select","",'Data Entry'!G8)</f>
        <v>NFM</v>
      </c>
      <c r="C3" s="756" t="str">
        <f>+IF('Data Entry'!I8="Please Select","",'Data Entry'!I8)</f>
        <v>Phase 1</v>
      </c>
      <c r="D3" s="756"/>
      <c r="E3" s="754"/>
      <c r="F3" s="754"/>
      <c r="G3" s="754"/>
      <c r="H3" s="754"/>
      <c r="I3" s="754"/>
      <c r="J3" s="750" t="str">
        <f>+'Data Entry'!B16</f>
        <v>Report Period:</v>
      </c>
      <c r="K3" s="750"/>
      <c r="L3" s="202" t="str">
        <f>+'Data Entry'!C16</f>
        <v>P12</v>
      </c>
      <c r="M3" s="85"/>
    </row>
    <row r="4" spans="1:13">
      <c r="B4" s="24" t="str">
        <f>+'Data Entry'!B12</f>
        <v>Latest Rating:</v>
      </c>
      <c r="C4" s="902" t="str">
        <f>+IF('Data Entry'!C12="Please Select","",'Data Entry'!C12)</f>
        <v>A2</v>
      </c>
      <c r="D4" s="902"/>
      <c r="E4" s="754" t="str">
        <f>+'Data Entry'!C8</f>
        <v>NCDC</v>
      </c>
      <c r="F4" s="754"/>
      <c r="G4" s="754"/>
      <c r="H4" s="754"/>
      <c r="I4" s="754"/>
      <c r="J4" s="750" t="str">
        <f>+'Data Entry'!D16</f>
        <v>From:</v>
      </c>
      <c r="K4" s="751"/>
      <c r="L4" s="203">
        <f>+IF(ISBLANK('Data Entry'!E16),"",'Data Entry'!E16)</f>
        <v>43831</v>
      </c>
    </row>
    <row r="5" spans="1:13" ht="18.75" customHeight="1">
      <c r="B5" s="24"/>
      <c r="C5" s="24"/>
      <c r="D5" s="754" t="str">
        <f>+'Data Entry'!G4</f>
        <v>Sustaining Universal Access to Quality Diagnosis and Treatment of all forms of TB</v>
      </c>
      <c r="E5" s="754"/>
      <c r="F5" s="754"/>
      <c r="G5" s="754"/>
      <c r="H5" s="754"/>
      <c r="I5" s="754"/>
      <c r="J5" s="754"/>
      <c r="K5" s="24" t="str">
        <f>+'Data Entry'!F16</f>
        <v>To:</v>
      </c>
      <c r="L5" s="203">
        <f>+IF(ISBLANK('Data Entry'!G16),"",'Data Entry'!G16)</f>
        <v>43921</v>
      </c>
    </row>
    <row r="6" spans="1:13" ht="18.75">
      <c r="B6" s="23"/>
      <c r="C6" s="24"/>
      <c r="D6" s="25"/>
      <c r="E6" s="758" t="s">
        <v>373</v>
      </c>
      <c r="F6" s="758"/>
      <c r="G6" s="758"/>
      <c r="H6" s="758"/>
      <c r="I6" s="758"/>
    </row>
    <row r="7" spans="1:13" ht="18.75">
      <c r="E7" s="72"/>
      <c r="F7" s="72"/>
      <c r="G7" s="72"/>
      <c r="H7" s="72"/>
      <c r="I7" s="72"/>
    </row>
    <row r="8" spans="1:13" s="33" customFormat="1" ht="21" customHeight="1" thickBot="1">
      <c r="B8" s="76" t="s">
        <v>96</v>
      </c>
      <c r="C8" s="76"/>
      <c r="D8" s="76"/>
      <c r="E8" s="76"/>
      <c r="F8" s="76"/>
      <c r="G8" s="76"/>
      <c r="H8" s="76"/>
      <c r="I8" s="76"/>
      <c r="J8" s="76"/>
      <c r="K8" s="76"/>
      <c r="L8" s="76"/>
    </row>
    <row r="9" spans="1:13" ht="6" customHeight="1">
      <c r="B9" s="74"/>
    </row>
    <row r="10" spans="1:13">
      <c r="B10" s="904"/>
      <c r="C10" s="905"/>
      <c r="D10" s="905"/>
      <c r="E10" s="905"/>
      <c r="F10" s="905"/>
      <c r="G10" s="905"/>
      <c r="H10" s="905"/>
      <c r="I10" s="905"/>
      <c r="J10" s="905"/>
      <c r="K10" s="905"/>
      <c r="L10" s="906"/>
    </row>
    <row r="11" spans="1:13">
      <c r="B11" s="907"/>
      <c r="C11" s="908"/>
      <c r="D11" s="908"/>
      <c r="E11" s="908"/>
      <c r="F11" s="908"/>
      <c r="G11" s="908"/>
      <c r="H11" s="908"/>
      <c r="I11" s="908"/>
      <c r="J11" s="908"/>
      <c r="K11" s="908"/>
      <c r="L11" s="909"/>
    </row>
    <row r="12" spans="1:13" ht="15.75" thickBot="1"/>
    <row r="13" spans="1:13" ht="26.25" customHeight="1" thickBot="1">
      <c r="B13" s="864" t="s">
        <v>306</v>
      </c>
      <c r="C13" s="865"/>
      <c r="D13" s="865"/>
      <c r="E13" s="866"/>
      <c r="F13" s="77"/>
      <c r="G13" s="859" t="s">
        <v>129</v>
      </c>
      <c r="H13" s="860"/>
      <c r="I13" s="860"/>
      <c r="J13" s="78" t="s">
        <v>97</v>
      </c>
      <c r="K13" s="860" t="s">
        <v>293</v>
      </c>
      <c r="L13" s="898"/>
    </row>
    <row r="14" spans="1:13">
      <c r="A14" s="856" t="s">
        <v>307</v>
      </c>
      <c r="B14" s="883"/>
      <c r="C14" s="883"/>
      <c r="D14" s="883"/>
      <c r="E14" s="884"/>
      <c r="F14" s="46"/>
      <c r="G14" s="890"/>
      <c r="H14" s="889"/>
      <c r="I14" s="889"/>
      <c r="J14" s="889"/>
      <c r="K14" s="889"/>
      <c r="L14" s="903"/>
    </row>
    <row r="15" spans="1:13">
      <c r="A15" s="857"/>
      <c r="B15" s="883"/>
      <c r="C15" s="883"/>
      <c r="D15" s="883"/>
      <c r="E15" s="884"/>
      <c r="F15" s="46"/>
      <c r="G15" s="861"/>
      <c r="H15" s="862"/>
      <c r="I15" s="862"/>
      <c r="J15" s="862"/>
      <c r="K15" s="862"/>
      <c r="L15" s="897"/>
    </row>
    <row r="16" spans="1:13">
      <c r="A16" s="857"/>
      <c r="B16" s="883"/>
      <c r="C16" s="883"/>
      <c r="D16" s="883"/>
      <c r="E16" s="884"/>
      <c r="F16" s="46"/>
      <c r="G16" s="861"/>
      <c r="H16" s="862"/>
      <c r="I16" s="862"/>
      <c r="J16" s="862"/>
      <c r="K16" s="862"/>
      <c r="L16" s="897"/>
    </row>
    <row r="17" spans="1:12">
      <c r="A17" s="857"/>
      <c r="B17" s="883"/>
      <c r="C17" s="883"/>
      <c r="D17" s="883"/>
      <c r="E17" s="884"/>
      <c r="F17" s="46"/>
      <c r="G17" s="861"/>
      <c r="H17" s="862"/>
      <c r="I17" s="862"/>
      <c r="J17" s="862"/>
      <c r="K17" s="862"/>
      <c r="L17" s="897"/>
    </row>
    <row r="18" spans="1:12">
      <c r="A18" s="857"/>
      <c r="B18" s="883"/>
      <c r="C18" s="883"/>
      <c r="D18" s="883"/>
      <c r="E18" s="884"/>
      <c r="F18" s="46"/>
      <c r="G18" s="891"/>
      <c r="H18" s="892"/>
      <c r="I18" s="893"/>
      <c r="J18" s="862"/>
      <c r="K18" s="862"/>
      <c r="L18" s="897"/>
    </row>
    <row r="19" spans="1:12" ht="30.75" customHeight="1">
      <c r="A19" s="857"/>
      <c r="B19" s="883"/>
      <c r="C19" s="883"/>
      <c r="D19" s="883"/>
      <c r="E19" s="884"/>
      <c r="F19" s="46"/>
      <c r="G19" s="874"/>
      <c r="H19" s="875"/>
      <c r="I19" s="894"/>
      <c r="J19" s="862"/>
      <c r="K19" s="862"/>
      <c r="L19" s="897"/>
    </row>
    <row r="20" spans="1:12">
      <c r="A20" s="857"/>
      <c r="B20" s="883"/>
      <c r="C20" s="883"/>
      <c r="D20" s="883"/>
      <c r="E20" s="884"/>
      <c r="F20" s="46"/>
      <c r="G20" s="861"/>
      <c r="H20" s="862"/>
      <c r="I20" s="862"/>
      <c r="J20" s="862"/>
      <c r="K20" s="862"/>
      <c r="L20" s="897"/>
    </row>
    <row r="21" spans="1:12">
      <c r="A21" s="857"/>
      <c r="B21" s="883"/>
      <c r="C21" s="883"/>
      <c r="D21" s="883"/>
      <c r="E21" s="884"/>
      <c r="F21" s="46"/>
      <c r="G21" s="861"/>
      <c r="H21" s="862"/>
      <c r="I21" s="862"/>
      <c r="J21" s="862"/>
      <c r="K21" s="862"/>
      <c r="L21" s="897"/>
    </row>
    <row r="22" spans="1:12">
      <c r="A22" s="857"/>
      <c r="B22" s="883"/>
      <c r="C22" s="883"/>
      <c r="D22" s="883"/>
      <c r="E22" s="884"/>
      <c r="F22" s="46"/>
      <c r="G22" s="861"/>
      <c r="H22" s="862"/>
      <c r="I22" s="862"/>
      <c r="J22" s="862"/>
      <c r="K22" s="862"/>
      <c r="L22" s="897"/>
    </row>
    <row r="23" spans="1:12">
      <c r="A23" s="857"/>
      <c r="B23" s="883"/>
      <c r="C23" s="883"/>
      <c r="D23" s="883"/>
      <c r="E23" s="884"/>
      <c r="F23" s="46"/>
      <c r="G23" s="861"/>
      <c r="H23" s="862"/>
      <c r="I23" s="862"/>
      <c r="J23" s="862"/>
      <c r="K23" s="862"/>
      <c r="L23" s="897"/>
    </row>
    <row r="24" spans="1:12">
      <c r="A24" s="857"/>
      <c r="B24" s="883"/>
      <c r="C24" s="883"/>
      <c r="D24" s="883"/>
      <c r="E24" s="884"/>
      <c r="F24" s="46"/>
      <c r="G24" s="861"/>
      <c r="H24" s="862"/>
      <c r="I24" s="862"/>
      <c r="J24" s="862"/>
      <c r="K24" s="862"/>
      <c r="L24" s="897"/>
    </row>
    <row r="25" spans="1:12" ht="15.75" thickBot="1">
      <c r="A25" s="858"/>
      <c r="B25" s="885"/>
      <c r="C25" s="885"/>
      <c r="D25" s="885"/>
      <c r="E25" s="886"/>
      <c r="F25" s="46"/>
      <c r="G25" s="867"/>
      <c r="H25" s="868"/>
      <c r="I25" s="868"/>
      <c r="J25" s="868"/>
      <c r="K25" s="868"/>
      <c r="L25" s="899"/>
    </row>
    <row r="27" spans="1:12" ht="18.75">
      <c r="E27" s="863" t="s">
        <v>336</v>
      </c>
      <c r="F27" s="863"/>
      <c r="G27" s="863"/>
      <c r="H27" s="863"/>
      <c r="I27" s="863"/>
    </row>
    <row r="28" spans="1:12" ht="6" customHeight="1">
      <c r="E28" s="72"/>
      <c r="F28" s="72"/>
      <c r="G28" s="72"/>
      <c r="H28" s="72"/>
      <c r="I28" s="72"/>
    </row>
    <row r="29" spans="1:12" s="33" customFormat="1" ht="21" customHeight="1" thickBot="1">
      <c r="B29" s="76" t="s">
        <v>96</v>
      </c>
      <c r="C29" s="76"/>
      <c r="D29" s="76"/>
      <c r="E29" s="76"/>
      <c r="F29" s="76"/>
      <c r="G29" s="76"/>
      <c r="H29" s="76"/>
      <c r="I29" s="76"/>
      <c r="J29" s="76"/>
      <c r="K29" s="76"/>
      <c r="L29" s="76"/>
    </row>
    <row r="30" spans="1:12" ht="6" customHeight="1" thickBot="1">
      <c r="B30" s="74"/>
    </row>
    <row r="31" spans="1:12" ht="21.75" customHeight="1" thickBot="1">
      <c r="B31" s="864" t="s">
        <v>129</v>
      </c>
      <c r="C31" s="865"/>
      <c r="D31" s="865"/>
      <c r="E31" s="866"/>
      <c r="F31" s="77"/>
      <c r="G31" s="859" t="s">
        <v>321</v>
      </c>
      <c r="H31" s="860"/>
      <c r="I31" s="860"/>
      <c r="J31" s="78" t="s">
        <v>295</v>
      </c>
      <c r="K31" s="860" t="s">
        <v>293</v>
      </c>
      <c r="L31" s="898"/>
    </row>
    <row r="32" spans="1:12" ht="14.25" customHeight="1">
      <c r="A32" s="856" t="s">
        <v>308</v>
      </c>
      <c r="B32" s="871"/>
      <c r="C32" s="872"/>
      <c r="D32" s="872"/>
      <c r="E32" s="873"/>
      <c r="F32" s="46"/>
      <c r="G32" s="887"/>
      <c r="H32" s="888"/>
      <c r="I32" s="888"/>
      <c r="J32" s="888"/>
      <c r="K32" s="888"/>
      <c r="L32" s="901"/>
    </row>
    <row r="33" spans="1:12" ht="16.5" customHeight="1">
      <c r="A33" s="857"/>
      <c r="B33" s="874"/>
      <c r="C33" s="875"/>
      <c r="D33" s="875"/>
      <c r="E33" s="876"/>
      <c r="F33" s="46"/>
      <c r="G33" s="869"/>
      <c r="H33" s="870"/>
      <c r="I33" s="870"/>
      <c r="J33" s="870"/>
      <c r="K33" s="870"/>
      <c r="L33" s="900"/>
    </row>
    <row r="34" spans="1:12">
      <c r="A34" s="857"/>
      <c r="B34" s="877" t="str">
        <f>IF(Recommendations!I43="","",Recommendations!I43)</f>
        <v/>
      </c>
      <c r="C34" s="878"/>
      <c r="D34" s="878"/>
      <c r="E34" s="879"/>
      <c r="F34" s="46"/>
      <c r="G34" s="869"/>
      <c r="H34" s="870"/>
      <c r="I34" s="870"/>
      <c r="J34" s="870"/>
      <c r="K34" s="870"/>
      <c r="L34" s="900"/>
    </row>
    <row r="35" spans="1:12">
      <c r="A35" s="857"/>
      <c r="B35" s="877"/>
      <c r="C35" s="878"/>
      <c r="D35" s="878"/>
      <c r="E35" s="879"/>
      <c r="F35" s="46"/>
      <c r="G35" s="869"/>
      <c r="H35" s="870"/>
      <c r="I35" s="870"/>
      <c r="J35" s="870"/>
      <c r="K35" s="870"/>
      <c r="L35" s="900"/>
    </row>
    <row r="36" spans="1:12">
      <c r="A36" s="857"/>
      <c r="B36" s="877" t="str">
        <f>+IF(Recommendations!I53="","",Recommendations!I53)</f>
        <v/>
      </c>
      <c r="C36" s="878"/>
      <c r="D36" s="878"/>
      <c r="E36" s="879"/>
      <c r="F36" s="46"/>
      <c r="G36" s="869"/>
      <c r="H36" s="870"/>
      <c r="I36" s="870"/>
      <c r="J36" s="870"/>
      <c r="K36" s="870"/>
      <c r="L36" s="900"/>
    </row>
    <row r="37" spans="1:12">
      <c r="A37" s="857"/>
      <c r="B37" s="877"/>
      <c r="C37" s="878"/>
      <c r="D37" s="878"/>
      <c r="E37" s="879"/>
      <c r="F37" s="46"/>
      <c r="G37" s="869"/>
      <c r="H37" s="870"/>
      <c r="I37" s="870"/>
      <c r="J37" s="870"/>
      <c r="K37" s="870"/>
      <c r="L37" s="900"/>
    </row>
    <row r="38" spans="1:12">
      <c r="A38" s="857"/>
      <c r="B38" s="877"/>
      <c r="C38" s="878"/>
      <c r="D38" s="878"/>
      <c r="E38" s="879"/>
      <c r="F38" s="46"/>
      <c r="G38" s="869"/>
      <c r="H38" s="870"/>
      <c r="I38" s="870"/>
      <c r="J38" s="870"/>
      <c r="K38" s="870"/>
      <c r="L38" s="900"/>
    </row>
    <row r="39" spans="1:12">
      <c r="A39" s="857"/>
      <c r="B39" s="877"/>
      <c r="C39" s="878"/>
      <c r="D39" s="878"/>
      <c r="E39" s="879"/>
      <c r="F39" s="46"/>
      <c r="G39" s="869"/>
      <c r="H39" s="870"/>
      <c r="I39" s="870"/>
      <c r="J39" s="870"/>
      <c r="K39" s="870"/>
      <c r="L39" s="900"/>
    </row>
    <row r="40" spans="1:12">
      <c r="A40" s="857"/>
      <c r="B40" s="877"/>
      <c r="C40" s="878"/>
      <c r="D40" s="878"/>
      <c r="E40" s="879"/>
      <c r="F40" s="46"/>
      <c r="G40" s="869"/>
      <c r="H40" s="870"/>
      <c r="I40" s="870"/>
      <c r="J40" s="870"/>
      <c r="K40" s="870"/>
      <c r="L40" s="900"/>
    </row>
    <row r="41" spans="1:12">
      <c r="A41" s="857"/>
      <c r="B41" s="877"/>
      <c r="C41" s="878"/>
      <c r="D41" s="878"/>
      <c r="E41" s="879"/>
      <c r="F41" s="46"/>
      <c r="G41" s="869"/>
      <c r="H41" s="870"/>
      <c r="I41" s="870"/>
      <c r="J41" s="870"/>
      <c r="K41" s="870"/>
      <c r="L41" s="900"/>
    </row>
    <row r="42" spans="1:12">
      <c r="A42" s="857"/>
      <c r="B42" s="877"/>
      <c r="C42" s="878"/>
      <c r="D42" s="878"/>
      <c r="E42" s="879"/>
      <c r="F42" s="46"/>
      <c r="G42" s="869"/>
      <c r="H42" s="870"/>
      <c r="I42" s="870"/>
      <c r="J42" s="870"/>
      <c r="K42" s="870"/>
      <c r="L42" s="900"/>
    </row>
    <row r="43" spans="1:12" ht="15.75" thickBot="1">
      <c r="A43" s="858"/>
      <c r="B43" s="880"/>
      <c r="C43" s="881"/>
      <c r="D43" s="881"/>
      <c r="E43" s="882"/>
      <c r="F43" s="46"/>
      <c r="G43" s="895"/>
      <c r="H43" s="896"/>
      <c r="I43" s="896"/>
      <c r="J43" s="896"/>
      <c r="K43" s="896"/>
      <c r="L43" s="910"/>
    </row>
  </sheetData>
  <sheetProtection password="CFC9" sheet="1"/>
  <mergeCells count="67">
    <mergeCell ref="J32:J33"/>
    <mergeCell ref="J34:J35"/>
    <mergeCell ref="K40:L41"/>
    <mergeCell ref="J38:J39"/>
    <mergeCell ref="K42:L43"/>
    <mergeCell ref="K36:L37"/>
    <mergeCell ref="K38:L39"/>
    <mergeCell ref="B2:L2"/>
    <mergeCell ref="C4:D4"/>
    <mergeCell ref="K14:L15"/>
    <mergeCell ref="K16:L17"/>
    <mergeCell ref="E3:I3"/>
    <mergeCell ref="J3:K3"/>
    <mergeCell ref="E4:I4"/>
    <mergeCell ref="J4:K4"/>
    <mergeCell ref="E6:I6"/>
    <mergeCell ref="C3:D3"/>
    <mergeCell ref="D5:J5"/>
    <mergeCell ref="B13:E13"/>
    <mergeCell ref="B10:L11"/>
    <mergeCell ref="K13:L13"/>
    <mergeCell ref="G42:I43"/>
    <mergeCell ref="G40:I41"/>
    <mergeCell ref="B38:E39"/>
    <mergeCell ref="K18:L19"/>
    <mergeCell ref="G13:I13"/>
    <mergeCell ref="K22:L23"/>
    <mergeCell ref="K20:L21"/>
    <mergeCell ref="B36:E37"/>
    <mergeCell ref="G36:I37"/>
    <mergeCell ref="J36:J37"/>
    <mergeCell ref="K31:L31"/>
    <mergeCell ref="K24:L25"/>
    <mergeCell ref="K34:L35"/>
    <mergeCell ref="K32:L33"/>
    <mergeCell ref="J40:J41"/>
    <mergeCell ref="J42:J43"/>
    <mergeCell ref="A14:A25"/>
    <mergeCell ref="J18:J19"/>
    <mergeCell ref="J16:J17"/>
    <mergeCell ref="J14:J15"/>
    <mergeCell ref="B16:E17"/>
    <mergeCell ref="G14:I15"/>
    <mergeCell ref="J24:J25"/>
    <mergeCell ref="B14:E15"/>
    <mergeCell ref="J22:J23"/>
    <mergeCell ref="G16:I17"/>
    <mergeCell ref="B18:E19"/>
    <mergeCell ref="B22:E23"/>
    <mergeCell ref="G18:I19"/>
    <mergeCell ref="J20:J21"/>
    <mergeCell ref="A32:A43"/>
    <mergeCell ref="G31:I31"/>
    <mergeCell ref="G20:I21"/>
    <mergeCell ref="G22:I23"/>
    <mergeCell ref="E27:I27"/>
    <mergeCell ref="B31:E31"/>
    <mergeCell ref="G24:I25"/>
    <mergeCell ref="G38:I39"/>
    <mergeCell ref="B32:E33"/>
    <mergeCell ref="B42:E43"/>
    <mergeCell ref="B24:E25"/>
    <mergeCell ref="G32:I33"/>
    <mergeCell ref="B40:E41"/>
    <mergeCell ref="B20:E21"/>
    <mergeCell ref="B34:E35"/>
    <mergeCell ref="G34:I35"/>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alignWithMargins="0">
    <oddFooter>&amp;L&amp;F&amp;C&amp;A&amp;RV1.0          &amp;D</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Nr xmlns="f127e3a1-6a43-4b35-8211-dfdf2a8cacea"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F8B9337-4B91-4BFB-AD68-7B155DF4A2A0}">
  <ds:schemaRefs>
    <ds:schemaRef ds:uri="http://schemas.microsoft.com/sharepoint/v3/contenttype/forms"/>
  </ds:schemaRefs>
</ds:datastoreItem>
</file>

<file path=customXml/itemProps2.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1A7189D-6043-4BCC-A93B-7366B7BCBFA9}">
  <ds:schemaRefs>
    <ds:schemaRef ds:uri="http://purl.org/dc/elements/1.1/"/>
    <ds:schemaRef ds:uri="http://schemas.microsoft.com/office/2006/documentManagement/types"/>
    <ds:schemaRef ds:uri="http://purl.org/dc/terms/"/>
    <ds:schemaRef ds:uri="http://schemas.microsoft.com/sharepoint/v3"/>
    <ds:schemaRef ds:uri="http://purl.org/dc/dcmitype/"/>
    <ds:schemaRef ds:uri="f127e3a1-6a43-4b35-8211-dfdf2a8cacea"/>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Nino Vakhania</cp:lastModifiedBy>
  <cp:lastPrinted>2015-03-11T10:26:05Z</cp:lastPrinted>
  <dcterms:created xsi:type="dcterms:W3CDTF">2008-11-20T16:06:13Z</dcterms:created>
  <dcterms:modified xsi:type="dcterms:W3CDTF">2020-05-15T12:39:56Z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ies>
</file>