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n.vakhania\Dropbox\NCDC_Finance\Dashboards\"/>
    </mc:Choice>
  </mc:AlternateContent>
  <bookViews>
    <workbookView xWindow="0" yWindow="0" windowWidth="28800" windowHeight="12435" tabRatio="717" activeTab="2"/>
  </bookViews>
  <sheets>
    <sheet name="Menu" sheetId="1" r:id="rId1"/>
    <sheet name="List of Indicators" sheetId="45" r:id="rId2"/>
    <sheet name="Data Entry" sheetId="29" r:id="rId3"/>
    <sheet name="Grant Detail" sheetId="27" r:id="rId4"/>
    <sheet name="Finance" sheetId="30" r:id="rId5"/>
    <sheet name="Management" sheetId="35" r:id="rId6"/>
    <sheet name="Programmatic" sheetId="37" r:id="rId7"/>
    <sheet name="Recommendations" sheetId="42" r:id="rId8"/>
    <sheet name="Actions"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Finance!$A$2:$K$31</definedName>
    <definedName name="_xlnm.Print_Area" localSheetId="5">Management!$A$1:$L$34</definedName>
    <definedName name="_xlnm.Print_Area" localSheetId="6">Programmatic!$A$1:$Q$29</definedName>
    <definedName name="PrintA">Actions!$A$2:$L$34</definedName>
    <definedName name="PrintDataF">'Data Entry'!$B$25:$J$65</definedName>
    <definedName name="PrintDataM">'Data Entry'!$B$67:$H$111</definedName>
    <definedName name="PrintF">Finance!$A$2:$K$31</definedName>
    <definedName name="PrintGD">'Grant Detail'!$A$2:$J$13</definedName>
    <definedName name="PrintM" localSheetId="8">Actions!$A$2:$L$6</definedName>
    <definedName name="PrintM">Management!$A$2:$L$36</definedName>
    <definedName name="PrintP">Programmatic!$A$2:$P$30</definedName>
    <definedName name="PrintR">Recommendations!$A$2:$N$41</definedName>
    <definedName name="Rating">Setup!$G$9:$G$14</definedName>
    <definedName name="Round">Setup!$D$9:$D$21</definedName>
  </definedNames>
  <calcPr calcId="152511" concurrentCalc="0"/>
  <extLst>
    <ext xmlns:mx="http://schemas.microsoft.com/office/mac/excel/2008/main" uri="{7523E5D3-25F3-A5E0-1632-64F254C22452}">
      <mx:ArchID Flags="4"/>
    </ext>
  </extLst>
</workbook>
</file>

<file path=xl/calcChain.xml><?xml version="1.0" encoding="utf-8"?>
<calcChain xmlns="http://schemas.openxmlformats.org/spreadsheetml/2006/main">
  <c r="G96" i="29" l="1"/>
  <c r="G97" i="29"/>
  <c r="D53" i="29"/>
  <c r="D54" i="29"/>
  <c r="C53" i="29"/>
  <c r="D52" i="29"/>
  <c r="C52" i="29"/>
  <c r="G32" i="29"/>
  <c r="C55" i="29"/>
  <c r="C54" i="29"/>
  <c r="G34" i="29"/>
  <c r="L127" i="29"/>
  <c r="L120" i="29"/>
  <c r="H109" i="29"/>
  <c r="H110" i="29"/>
  <c r="H108" i="29"/>
  <c r="L132" i="29"/>
  <c r="L130" i="29"/>
  <c r="L128" i="29"/>
  <c r="L126" i="29"/>
  <c r="L124" i="29"/>
  <c r="L118" i="29"/>
  <c r="F96" i="29"/>
  <c r="F32" i="29"/>
  <c r="E32" i="29"/>
  <c r="L23" i="37"/>
  <c r="G28" i="37"/>
  <c r="K127" i="29"/>
  <c r="K132" i="29"/>
  <c r="K130" i="29"/>
  <c r="K128" i="29"/>
  <c r="K126" i="29"/>
  <c r="K120" i="29"/>
  <c r="K124" i="29"/>
  <c r="K118" i="29"/>
  <c r="J127" i="29"/>
  <c r="J132" i="29"/>
  <c r="E109" i="29"/>
  <c r="G109" i="29"/>
  <c r="I109" i="29"/>
  <c r="K31" i="35"/>
  <c r="E110" i="29"/>
  <c r="G110" i="29"/>
  <c r="I110" i="29"/>
  <c r="K32" i="35"/>
  <c r="E111" i="29"/>
  <c r="G111" i="29"/>
  <c r="I111" i="29"/>
  <c r="K33" i="35"/>
  <c r="E108" i="29"/>
  <c r="G108" i="29"/>
  <c r="I108" i="29"/>
  <c r="J30" i="35"/>
  <c r="K30" i="35"/>
  <c r="L30" i="35"/>
  <c r="C90" i="29"/>
  <c r="D90" i="29"/>
  <c r="J128" i="29"/>
  <c r="J120" i="29"/>
  <c r="J130" i="29"/>
  <c r="J126" i="29"/>
  <c r="J124" i="29"/>
  <c r="J118" i="29"/>
  <c r="E96" i="29"/>
  <c r="C47" i="29"/>
  <c r="H143" i="29"/>
  <c r="E27" i="37"/>
  <c r="C32" i="29"/>
  <c r="C98" i="29"/>
  <c r="D98" i="29"/>
  <c r="E98" i="29"/>
  <c r="F98" i="29"/>
  <c r="G98" i="29"/>
  <c r="H98" i="29"/>
  <c r="I98" i="29"/>
  <c r="J98" i="29"/>
  <c r="K98" i="29"/>
  <c r="L98" i="29"/>
  <c r="M98" i="29"/>
  <c r="N98" i="29"/>
  <c r="D47" i="29"/>
  <c r="C33" i="29"/>
  <c r="D33" i="29"/>
  <c r="E33" i="29"/>
  <c r="C34" i="29"/>
  <c r="D34" i="29"/>
  <c r="E34" i="29"/>
  <c r="E35" i="29"/>
  <c r="F20" i="37"/>
  <c r="K145" i="29"/>
  <c r="B22" i="45"/>
  <c r="F27" i="37"/>
  <c r="F26" i="37"/>
  <c r="F25" i="37"/>
  <c r="E26" i="37"/>
  <c r="E25" i="37"/>
  <c r="F24" i="37"/>
  <c r="E24" i="37"/>
  <c r="F23" i="37"/>
  <c r="E23" i="37"/>
  <c r="F22" i="37"/>
  <c r="E22" i="37"/>
  <c r="F21" i="37"/>
  <c r="E21" i="37"/>
  <c r="F33" i="29"/>
  <c r="B2" i="45"/>
  <c r="B2" i="39"/>
  <c r="B2" i="42"/>
  <c r="B2" i="37"/>
  <c r="B2" i="35"/>
  <c r="K5" i="30"/>
  <c r="K4" i="30"/>
  <c r="L5" i="35"/>
  <c r="L4" i="35"/>
  <c r="Q5" i="37"/>
  <c r="Q4" i="37"/>
  <c r="M5" i="42"/>
  <c r="M4" i="42"/>
  <c r="L5" i="39"/>
  <c r="L4" i="39"/>
  <c r="C4" i="39"/>
  <c r="C3" i="39"/>
  <c r="B3" i="39"/>
  <c r="C4" i="42"/>
  <c r="C3" i="42"/>
  <c r="B3" i="42"/>
  <c r="C4" i="37"/>
  <c r="C3" i="37"/>
  <c r="B3" i="37"/>
  <c r="C4" i="35"/>
  <c r="C3" i="35"/>
  <c r="B3" i="35"/>
  <c r="C4" i="30"/>
  <c r="C3" i="30"/>
  <c r="B3" i="30"/>
  <c r="B2" i="30"/>
  <c r="I9" i="27"/>
  <c r="G9" i="27"/>
  <c r="G13" i="27"/>
  <c r="G11" i="27"/>
  <c r="D11" i="27"/>
  <c r="B12" i="27"/>
  <c r="I11" i="27"/>
  <c r="D10" i="27"/>
  <c r="B10" i="27"/>
  <c r="B9" i="27"/>
  <c r="B6" i="27"/>
  <c r="B3" i="27"/>
  <c r="B2" i="1"/>
  <c r="B4" i="1"/>
  <c r="E90" i="29"/>
  <c r="E89" i="29"/>
  <c r="F34" i="29"/>
  <c r="H34" i="29"/>
  <c r="I34" i="29"/>
  <c r="J34" i="29"/>
  <c r="K34" i="29"/>
  <c r="L34" i="29"/>
  <c r="M34" i="29"/>
  <c r="N34" i="29"/>
  <c r="D11" i="42"/>
  <c r="J3" i="35"/>
  <c r="L3" i="35"/>
  <c r="H15" i="35"/>
  <c r="I3" i="30"/>
  <c r="K3" i="30"/>
  <c r="H8" i="30"/>
  <c r="D33" i="42"/>
  <c r="D34" i="42"/>
  <c r="D35" i="42"/>
  <c r="D36" i="42"/>
  <c r="D37" i="42"/>
  <c r="D38" i="42"/>
  <c r="D39" i="42"/>
  <c r="D40" i="42"/>
  <c r="D41" i="42"/>
  <c r="D32" i="42"/>
  <c r="L144" i="29"/>
  <c r="M144" i="29"/>
  <c r="N144" i="29"/>
  <c r="O144" i="29"/>
  <c r="P144" i="29"/>
  <c r="Q144" i="29"/>
  <c r="R144" i="29"/>
  <c r="S144" i="29"/>
  <c r="L145" i="29"/>
  <c r="M145" i="29"/>
  <c r="N145" i="29"/>
  <c r="O145" i="29"/>
  <c r="P145" i="29"/>
  <c r="Q145" i="29"/>
  <c r="R145" i="29"/>
  <c r="S145" i="29"/>
  <c r="L146" i="29"/>
  <c r="M146" i="29"/>
  <c r="N146" i="29"/>
  <c r="O146" i="29"/>
  <c r="P146" i="29"/>
  <c r="Q146" i="29"/>
  <c r="R146" i="29"/>
  <c r="S146" i="29"/>
  <c r="L147" i="29"/>
  <c r="M147" i="29"/>
  <c r="N147" i="29"/>
  <c r="O147" i="29"/>
  <c r="P147" i="29"/>
  <c r="Q147" i="29"/>
  <c r="R147" i="29"/>
  <c r="S147" i="29"/>
  <c r="L148" i="29"/>
  <c r="M148" i="29"/>
  <c r="N148" i="29"/>
  <c r="O148" i="29"/>
  <c r="P148" i="29"/>
  <c r="Q148" i="29"/>
  <c r="R148" i="29"/>
  <c r="S148" i="29"/>
  <c r="M143" i="29"/>
  <c r="N143" i="29"/>
  <c r="O143" i="29"/>
  <c r="P143" i="29"/>
  <c r="Q143" i="29"/>
  <c r="R143" i="29"/>
  <c r="S143" i="29"/>
  <c r="F145" i="29"/>
  <c r="F147" i="29"/>
  <c r="F143" i="29"/>
  <c r="E145" i="29"/>
  <c r="E147" i="29"/>
  <c r="E143" i="29"/>
  <c r="B145" i="29"/>
  <c r="B147" i="29"/>
  <c r="B143" i="29"/>
  <c r="B32" i="29"/>
  <c r="D38" i="29"/>
  <c r="C38" i="29"/>
  <c r="B31" i="29"/>
  <c r="E51" i="29"/>
  <c r="H29" i="30"/>
  <c r="H28" i="30"/>
  <c r="H27" i="30"/>
  <c r="D24" i="42"/>
  <c r="D23" i="42"/>
  <c r="D22" i="42"/>
  <c r="D21" i="42"/>
  <c r="D20" i="42"/>
  <c r="D19" i="42"/>
  <c r="D14" i="42"/>
  <c r="D13" i="42"/>
  <c r="D12" i="42"/>
  <c r="B25" i="45"/>
  <c r="B23" i="45"/>
  <c r="B21" i="45"/>
  <c r="B20" i="45"/>
  <c r="B19" i="45"/>
  <c r="B11" i="45"/>
  <c r="B10" i="45"/>
  <c r="B9" i="45"/>
  <c r="B8" i="45"/>
  <c r="B4" i="37"/>
  <c r="B4" i="35"/>
  <c r="B4" i="30"/>
  <c r="E20" i="42"/>
  <c r="G12" i="27"/>
  <c r="H4" i="1"/>
  <c r="K148" i="29"/>
  <c r="K147" i="29"/>
  <c r="K146" i="29"/>
  <c r="K144" i="29"/>
  <c r="K143" i="29"/>
  <c r="G72" i="29"/>
  <c r="K27" i="30"/>
  <c r="J27" i="30"/>
  <c r="K28" i="30"/>
  <c r="J28" i="30"/>
  <c r="K29" i="30"/>
  <c r="J29" i="30"/>
  <c r="E53" i="29"/>
  <c r="E52" i="29"/>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C100" i="29"/>
  <c r="D100" i="29"/>
  <c r="E100" i="29"/>
  <c r="F100" i="29"/>
  <c r="G100" i="29"/>
  <c r="H100" i="29"/>
  <c r="I100" i="29"/>
  <c r="J100" i="29"/>
  <c r="K100" i="29"/>
  <c r="L100" i="29"/>
  <c r="M100" i="29"/>
  <c r="N100" i="29"/>
  <c r="C99" i="29"/>
  <c r="D99" i="29"/>
  <c r="E99" i="29"/>
  <c r="F99" i="29"/>
  <c r="G99" i="29"/>
  <c r="H99" i="29"/>
  <c r="I99" i="29"/>
  <c r="J99" i="29"/>
  <c r="K99" i="29"/>
  <c r="L99" i="29"/>
  <c r="M99" i="29"/>
  <c r="N99" i="29"/>
  <c r="E79" i="29"/>
  <c r="D5" i="35"/>
  <c r="E4" i="35"/>
  <c r="K5" i="35"/>
  <c r="J4" i="35"/>
  <c r="D5" i="37"/>
  <c r="P5" i="37"/>
  <c r="P4" i="37"/>
  <c r="O3" i="37"/>
  <c r="J5" i="30"/>
  <c r="D5" i="30"/>
  <c r="I4" i="30"/>
  <c r="E4" i="30"/>
  <c r="L8" i="37"/>
  <c r="F8" i="37"/>
  <c r="B8" i="37"/>
  <c r="L143" i="29"/>
  <c r="J148" i="29"/>
  <c r="J147" i="29"/>
  <c r="J146" i="29"/>
  <c r="J145" i="29"/>
  <c r="J144" i="29"/>
  <c r="J143" i="29"/>
  <c r="I148" i="29"/>
  <c r="I147" i="29"/>
  <c r="I146" i="29"/>
  <c r="I145" i="29"/>
  <c r="I144" i="29"/>
  <c r="I143" i="29"/>
  <c r="H148" i="29"/>
  <c r="H147" i="29"/>
  <c r="H146" i="29"/>
  <c r="H145" i="29"/>
  <c r="H144" i="29"/>
  <c r="B26" i="37"/>
  <c r="B25" i="37"/>
  <c r="B24" i="37"/>
  <c r="B23" i="37"/>
  <c r="S142" i="29"/>
  <c r="R142" i="29"/>
  <c r="Q142" i="29"/>
  <c r="P142" i="29"/>
  <c r="O142" i="29"/>
  <c r="B22" i="37"/>
  <c r="B21" i="37"/>
  <c r="B20" i="37"/>
  <c r="E55" i="29"/>
  <c r="B27" i="37"/>
  <c r="N142" i="29"/>
  <c r="M142" i="29"/>
  <c r="L142" i="29"/>
  <c r="K142" i="29"/>
  <c r="J142" i="29"/>
  <c r="I142" i="29"/>
  <c r="H142" i="29"/>
  <c r="B36" i="39"/>
  <c r="B34" i="39"/>
  <c r="E54" i="29"/>
  <c r="B34" i="35"/>
  <c r="AD23" i="37"/>
  <c r="AF21" i="37"/>
  <c r="AE21" i="37"/>
  <c r="AD21" i="37"/>
  <c r="T21" i="37"/>
  <c r="U21" i="37"/>
  <c r="V21" i="37"/>
  <c r="T22" i="37"/>
  <c r="U22" i="37"/>
  <c r="V22" i="37"/>
  <c r="T23" i="37"/>
  <c r="U23" i="37"/>
  <c r="V23" i="37"/>
  <c r="T24" i="37"/>
  <c r="U24" i="37"/>
  <c r="V24" i="37"/>
  <c r="T25" i="37"/>
  <c r="U25" i="37"/>
  <c r="V25" i="37"/>
  <c r="U28" i="37"/>
  <c r="T26" i="37"/>
  <c r="U26" i="37"/>
  <c r="V26" i="37"/>
  <c r="W26" i="37"/>
  <c r="X26" i="37"/>
  <c r="T29" i="37"/>
  <c r="T27" i="37"/>
  <c r="U27" i="37"/>
  <c r="V27" i="37"/>
  <c r="W27" i="37"/>
  <c r="X27" i="37"/>
  <c r="T28" i="37"/>
  <c r="V28" i="37"/>
  <c r="X28"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B7" i="35"/>
  <c r="F20" i="42"/>
  <c r="AE23" i="37"/>
  <c r="AF23" i="37"/>
  <c r="AF22" i="37"/>
  <c r="AD22" i="37"/>
  <c r="AE22" i="37"/>
  <c r="AD24" i="37"/>
  <c r="AF24" i="37"/>
  <c r="AE24" i="37"/>
  <c r="B15" i="35"/>
  <c r="H26" i="35"/>
  <c r="B3" i="32"/>
  <c r="R29" i="29"/>
  <c r="H7" i="35"/>
  <c r="C35" i="29"/>
  <c r="R30" i="29"/>
  <c r="D35" i="29"/>
  <c r="E20" i="37"/>
  <c r="K108" i="29"/>
  <c r="H22" i="30"/>
  <c r="B8" i="30"/>
  <c r="B22" i="30"/>
  <c r="D30" i="42"/>
  <c r="D31" i="42"/>
  <c r="R31" i="29"/>
  <c r="D29" i="42"/>
  <c r="F35" i="29"/>
  <c r="R32" i="29"/>
  <c r="G33" i="29"/>
  <c r="R33" i="29"/>
  <c r="G35" i="29"/>
  <c r="H33" i="29"/>
  <c r="I33" i="29"/>
  <c r="F47" i="29"/>
  <c r="J31" i="35"/>
  <c r="L31" i="35"/>
  <c r="K109" i="29"/>
  <c r="G21" i="37"/>
  <c r="J33" i="35"/>
  <c r="L33" i="35"/>
  <c r="K111" i="29"/>
  <c r="G26" i="37"/>
  <c r="G25" i="37"/>
  <c r="G22" i="37"/>
  <c r="G24" i="37"/>
  <c r="K110" i="29"/>
  <c r="J32" i="35"/>
  <c r="L32" i="35"/>
  <c r="G23" i="37"/>
  <c r="G27" i="37"/>
  <c r="G20" i="37"/>
  <c r="R34" i="29"/>
  <c r="H35" i="29"/>
  <c r="J33" i="29"/>
  <c r="R35" i="29"/>
  <c r="I35" i="29"/>
  <c r="K33" i="29"/>
  <c r="R49" i="29"/>
  <c r="J35" i="29"/>
  <c r="L33" i="29"/>
  <c r="R50" i="29"/>
  <c r="K35" i="29"/>
  <c r="M33" i="29"/>
  <c r="L35" i="29"/>
  <c r="M35" i="29"/>
  <c r="Q51" i="29"/>
  <c r="N33" i="29"/>
  <c r="N35" i="29"/>
  <c r="O31" i="29"/>
</calcChain>
</file>

<file path=xl/comments1.xml><?xml version="1.0" encoding="utf-8"?>
<comments xmlns="http://schemas.openxmlformats.org/spreadsheetml/2006/main">
  <authors>
    <author>mgleixner</author>
    <author>molszak</author>
  </authors>
  <commentList>
    <comment ref="B30" authorId="0" shapeId="0">
      <text>
        <r>
          <rPr>
            <sz val="8"/>
            <color indexed="81"/>
            <rFont val="Tahoma"/>
            <family val="2"/>
          </rPr>
          <t>To define your periods (eg. P1, P2, P3 etc or P9, P10, P11 etc) you need to unprotect the cells.</t>
        </r>
      </text>
    </comment>
    <comment ref="B72" authorId="1" shapeId="0">
      <text>
        <r>
          <rPr>
            <b/>
            <sz val="8"/>
            <color indexed="81"/>
            <rFont val="Tahoma"/>
            <family val="2"/>
          </rPr>
          <t xml:space="preserve">If data are not available, do not enter zeros; rather, leave the cells in the table blank. </t>
        </r>
      </text>
    </comment>
    <comment ref="B73" authorId="1" shapeId="0">
      <text>
        <r>
          <rPr>
            <b/>
            <sz val="8"/>
            <color indexed="81"/>
            <rFont val="Tahoma"/>
            <family val="2"/>
          </rPr>
          <t>If data are not available, do not enter zeros; rather, leave the cells in this table blank.</t>
        </r>
      </text>
    </comment>
    <comment ref="B79" authorId="0" shapeId="0">
      <text>
        <r>
          <rPr>
            <sz val="8"/>
            <color indexed="81"/>
            <rFont val="Tahoma"/>
            <family val="2"/>
          </rPr>
          <t xml:space="preserve">If data are not available, do not enter zeros; rather, leave the cells in this table blank. </t>
        </r>
      </text>
    </comment>
    <comment ref="B94" authorId="0" shapeId="0">
      <text>
        <r>
          <rPr>
            <sz val="8"/>
            <color indexed="81"/>
            <rFont val="Tahoma"/>
            <family val="2"/>
          </rPr>
          <t>To define your periods (eg. P1, P2, P3 etc or P9, P10, P11 etc) you need to unprotect the cells.</t>
        </r>
      </text>
    </comment>
  </commentList>
</comments>
</file>

<file path=xl/sharedStrings.xml><?xml version="1.0" encoding="utf-8"?>
<sst xmlns="http://schemas.openxmlformats.org/spreadsheetml/2006/main" count="616" uniqueCount="471">
  <si>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</si>
  <si>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Days taken to submit final PU/DR to LFA</t>
  </si>
  <si>
    <t>Information reporting period</t>
  </si>
  <si>
    <t>Enter the data based on the colour-coded cells</t>
  </si>
  <si>
    <t>% Cumulative</t>
  </si>
  <si>
    <t>Obligations cumulative</t>
  </si>
  <si>
    <t>Expenditures cumulative</t>
  </si>
  <si>
    <t>Programmatic</t>
  </si>
  <si>
    <t>To:</t>
  </si>
  <si>
    <t>Comments:</t>
  </si>
  <si>
    <t xml:space="preserve">Comments: </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</si>
  <si>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</si>
  <si>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</si>
  <si>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</si>
  <si>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</si>
  <si>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</si>
  <si>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</si>
  <si>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</si>
  <si>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</si>
  <si>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</si>
  <si>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</si>
  <si>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</si>
  <si>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</si>
  <si>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</si>
  <si>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</si>
  <si>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</si>
  <si>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</si>
  <si>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</si>
  <si>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</si>
  <si>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</si>
  <si>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</si>
  <si>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</si>
  <si>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</si>
  <si>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</si>
  <si>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</si>
  <si>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</si>
  <si>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</si>
  <si>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</si>
  <si>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</si>
  <si>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</si>
  <si>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</si>
  <si>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</si>
  <si>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</si>
  <si>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</si>
  <si>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</si>
  <si>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</si>
  <si>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</si>
  <si>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</si>
  <si>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</si>
  <si>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</si>
  <si>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</si>
  <si>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</si>
  <si>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</si>
  <si>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</si>
  <si>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</si>
  <si>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</si>
  <si>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</si>
  <si>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</si>
  <si>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</si>
  <si>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</si>
  <si>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</si>
  <si>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</si>
  <si>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</si>
  <si>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</si>
  <si>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</si>
  <si>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</si>
  <si>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</si>
  <si>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</si>
  <si>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</si>
  <si>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</si>
  <si>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</si>
  <si>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</si>
  <si>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</si>
  <si>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</si>
  <si>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</si>
  <si>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</si>
  <si>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</si>
  <si>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</si>
  <si>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</si>
  <si>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</si>
  <si>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</si>
  <si>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</si>
  <si>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</si>
  <si>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</si>
  <si>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</si>
  <si>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</si>
  <si>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</si>
  <si>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</si>
  <si>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</si>
  <si>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</si>
  <si>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</si>
  <si>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</si>
  <si>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</si>
  <si>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</si>
  <si>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</si>
  <si>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</si>
  <si>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</si>
  <si>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</si>
  <si>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</si>
  <si>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</si>
  <si>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</si>
  <si>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</si>
  <si>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</si>
  <si>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</si>
  <si>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</si>
  <si>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</si>
  <si>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</si>
  <si>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</si>
  <si>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</si>
  <si>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</si>
  <si>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</si>
  <si>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</si>
  <si>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</si>
  <si>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</si>
  <si>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</si>
  <si>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</si>
  <si>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Grant No.:</t>
  </si>
  <si>
    <t>Fulfilled</t>
  </si>
  <si>
    <t>Not fulfilled, and past the deadline</t>
  </si>
  <si>
    <t>Receiving Funding</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</si>
  <si>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</si>
  <si>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</si>
  <si>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</si>
  <si>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</si>
  <si>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</si>
  <si>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</si>
  <si>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</si>
  <si>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</si>
  <si>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</si>
  <si>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</si>
  <si>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</si>
  <si>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</si>
  <si>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</si>
  <si>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</si>
  <si>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</si>
  <si>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</si>
  <si>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</si>
  <si>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</si>
  <si>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</si>
  <si>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</si>
  <si>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</si>
  <si>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</si>
  <si>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</si>
  <si>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</si>
  <si>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</si>
  <si>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</si>
  <si>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</si>
  <si>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</si>
  <si>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</si>
  <si>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</si>
  <si>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</si>
  <si>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</si>
  <si>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</si>
  <si>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</si>
  <si>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</si>
  <si>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</si>
  <si>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</si>
  <si>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</si>
  <si>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</si>
  <si>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</si>
  <si>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</si>
  <si>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</si>
  <si>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</si>
  <si>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</si>
  <si>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</si>
  <si>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</si>
  <si>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</si>
  <si>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</si>
  <si>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</si>
  <si>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</si>
  <si>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</si>
  <si>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</si>
  <si>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</si>
  <si>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</si>
  <si>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</si>
  <si>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</si>
  <si>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</si>
  <si>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</si>
  <si>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</si>
  <si>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</si>
  <si>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</si>
  <si>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</si>
  <si>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</si>
  <si>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</si>
  <si>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</si>
  <si>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</si>
  <si>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</si>
  <si>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</si>
  <si>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</si>
  <si>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</si>
  <si>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</si>
  <si>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</si>
  <si>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</si>
  <si>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</si>
  <si>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</si>
  <si>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</si>
  <si>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</si>
  <si>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</si>
  <si>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</si>
  <si>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</si>
  <si>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</si>
  <si>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</si>
  <si>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</si>
  <si>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</si>
  <si>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</si>
  <si>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</si>
  <si>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</si>
  <si>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</si>
  <si>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</si>
  <si>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</si>
  <si>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</si>
  <si>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</si>
  <si>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</si>
  <si>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</si>
  <si>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</si>
  <si>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</si>
  <si>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</si>
  <si>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</si>
  <si>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</si>
  <si>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</si>
  <si>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</si>
  <si>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</si>
  <si>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</si>
  <si>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</si>
  <si>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</si>
  <si>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</si>
  <si>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</si>
  <si>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</si>
  <si>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</si>
  <si>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</si>
  <si>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</si>
  <si>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</si>
  <si>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</si>
  <si>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</si>
  <si>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</si>
  <si>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</si>
  <si>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</si>
  <si>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</si>
  <si>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</si>
  <si>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</si>
  <si>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</si>
  <si>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</si>
  <si>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</si>
  <si>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</si>
  <si>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</si>
  <si>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</si>
  <si>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</si>
  <si>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</si>
  <si>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</si>
  <si>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</si>
  <si>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</si>
  <si>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</si>
  <si>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</si>
  <si>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</si>
  <si>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</si>
  <si>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</si>
  <si>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</si>
  <si>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</si>
  <si>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</si>
  <si>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</si>
  <si>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</si>
  <si>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</si>
  <si>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</si>
  <si>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</si>
  <si>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</si>
  <si>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</si>
  <si>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</si>
  <si>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</si>
  <si>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</si>
  <si>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Disbursed to SRs</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</si>
  <si>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</si>
  <si>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</si>
  <si>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</si>
  <si>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</si>
  <si>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</si>
  <si>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</si>
  <si>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</si>
  <si>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</si>
  <si>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</si>
  <si>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</si>
  <si>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</si>
  <si>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</si>
  <si>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</si>
  <si>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</si>
  <si>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</si>
  <si>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</si>
  <si>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</si>
  <si>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</si>
  <si>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Pending</t>
  </si>
  <si>
    <t>Fund Portfolio Manager:</t>
  </si>
  <si>
    <t>PR expenditure and disbursement</t>
  </si>
  <si>
    <t>Identified</t>
  </si>
  <si>
    <t>Person Responsible</t>
  </si>
  <si>
    <t>LFA</t>
  </si>
  <si>
    <t xml:space="preserve">Date </t>
  </si>
  <si>
    <t xml:space="preserve">The indicators should be selected by the PRs and members of the CCM or the CCM Technical Committee, from the Performance Framework </t>
  </si>
  <si>
    <t>Not fulfilled, but within deadline</t>
  </si>
  <si>
    <t>Programmatic Indicators (from Performance Framework)</t>
  </si>
  <si>
    <t>Indicator Number: Name (Perf Framework No.)</t>
  </si>
  <si>
    <t>Isoniazid</t>
  </si>
  <si>
    <t>Ethambutol</t>
  </si>
  <si>
    <t>Rifampicin</t>
  </si>
  <si>
    <t>Pyrazimamide</t>
  </si>
  <si>
    <t>Definition  (from M&amp;E Plan, June 2007)</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</si>
  <si>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</si>
  <si>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</si>
  <si>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</si>
  <si>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</si>
  <si>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</si>
  <si>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</si>
  <si>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</si>
  <si>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</si>
  <si>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PMU</t>
  </si>
  <si>
    <t>Expenditures</t>
  </si>
  <si>
    <t>TB nutri'l supplements</t>
  </si>
  <si>
    <t>Recommendations</t>
  </si>
  <si>
    <t>P1 - trend</t>
  </si>
  <si>
    <t>P2 - trend</t>
  </si>
  <si>
    <t>P3 - trend</t>
  </si>
  <si>
    <t>Set-up = List of validation for Grant Detail page</t>
  </si>
  <si>
    <t>Action Taken</t>
  </si>
  <si>
    <t>Total Funding:</t>
  </si>
  <si>
    <t>Phase:</t>
  </si>
  <si>
    <t>Round:</t>
  </si>
  <si>
    <t>From:</t>
  </si>
  <si>
    <t>Date of entry  of information:</t>
  </si>
  <si>
    <t xml:space="preserve">     Enter finance data in every orange cell like this.</t>
  </si>
  <si>
    <t>Code</t>
  </si>
  <si>
    <t>Grant No.</t>
  </si>
  <si>
    <t>Total Funding</t>
  </si>
  <si>
    <t>Difference between current stock and safety stock</t>
  </si>
  <si>
    <t>Months of safety stock</t>
  </si>
  <si>
    <t>0% - 59%</t>
  </si>
  <si>
    <t>60% - 89%</t>
  </si>
  <si>
    <t>&gt; 90%</t>
  </si>
  <si>
    <t>Actions to Implement / Previous Period</t>
  </si>
  <si>
    <t>(2 = 1 x 30)
Monthly treatment 
(Tablets per patient x 30 days)</t>
  </si>
  <si>
    <t>(3)
Total patients in treatment</t>
  </si>
  <si>
    <t>(4 = 2 x 3)
Total # tab/pills required for all patients per month</t>
  </si>
  <si>
    <t>(5)
Current stock in central warehouse (that does not expire within the next 3 months)</t>
  </si>
  <si>
    <t>(6 = 5 / 4)
Stock level expressed in months of treatment for all current patients</t>
  </si>
  <si>
    <t xml:space="preserve">(7)
Level of safety stock
(expressed in months and defined by country) </t>
  </si>
  <si>
    <t>(8 = 6 - 7)
Difference between current stock and safety stock</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</si>
  <si>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</si>
  <si>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</si>
  <si>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</si>
  <si>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</si>
  <si>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</si>
  <si>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</si>
  <si>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</si>
  <si>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</si>
  <si>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</si>
  <si>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</si>
  <si>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</si>
  <si>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</si>
  <si>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</si>
  <si>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</si>
  <si>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</si>
  <si>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</si>
  <si>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</si>
  <si>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</si>
  <si>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</si>
  <si>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Information on indicators</t>
  </si>
  <si>
    <t>Days taken for disbursement to reach PR</t>
  </si>
  <si>
    <t xml:space="preserve">Days taken for disbursement to reach SRs </t>
  </si>
  <si>
    <t>Obligations</t>
  </si>
  <si>
    <t>PR records: Warehouse data.</t>
  </si>
  <si>
    <t>Budget Approved*</t>
  </si>
  <si>
    <t>Round 10</t>
  </si>
  <si>
    <t>Currency of the grant</t>
  </si>
  <si>
    <t xml:space="preserve">     Enter performance data in every yellow cell.</t>
  </si>
  <si>
    <t>Decisions and Actions</t>
  </si>
  <si>
    <t>Please Select</t>
  </si>
  <si>
    <t>Grant information</t>
  </si>
  <si>
    <t>TOP 3</t>
  </si>
  <si>
    <t>Prior to reporting period</t>
  </si>
  <si>
    <t>Current reporting period</t>
  </si>
  <si>
    <t>F3: Disbursements and expenditures</t>
  </si>
  <si>
    <t>F2: Budget and actual expenditures by Grant Objective</t>
  </si>
  <si>
    <t>F1: Budget and disbursements by Global Fund</t>
  </si>
  <si>
    <t>F4: Latest PR reporting and disbursement cycle</t>
  </si>
  <si>
    <t>M1: Status of Conditions Precedent (CPs) and Time Bound Actions (TBAs)</t>
  </si>
  <si>
    <t>M2: Status of key PR management positions</t>
  </si>
  <si>
    <t>M4: Number of complete reports received on time</t>
  </si>
  <si>
    <t>M6: Difference between current and safety stock</t>
  </si>
  <si>
    <t>Cumulative budget</t>
  </si>
  <si>
    <t>Cumulative disbursements</t>
  </si>
  <si>
    <t xml:space="preserve">M3: Contractual arrangements (SRs) </t>
  </si>
  <si>
    <t>SSR to SR</t>
  </si>
  <si>
    <t>SRs to PR</t>
  </si>
  <si>
    <t>M5: Budget and Procurement of health products, health equipment, medicines and pharmaceuticals</t>
  </si>
  <si>
    <t>Programmatic Information:</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</si>
  <si>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</si>
  <si>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</si>
  <si>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</si>
  <si>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</si>
  <si>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</si>
  <si>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Programmatic indicators  (Performance Framework )</t>
  </si>
  <si>
    <t xml:space="preserve">Financial Information: </t>
  </si>
  <si>
    <t xml:space="preserve">Management Information: </t>
  </si>
  <si>
    <t xml:space="preserve">Programmatic Information: </t>
  </si>
  <si>
    <t>Grant Objective</t>
  </si>
  <si>
    <t>Start Date (dd/Mmm/yy):</t>
  </si>
  <si>
    <t>* Includes only EFR category 4 and 5  (Health products and health equipment &amp; Medicines and Pharmaceuticals)</t>
  </si>
  <si>
    <t>Table is automatically updated. No data or information is to be entered here.</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</si>
  <si>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</si>
  <si>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</si>
  <si>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</si>
  <si>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</si>
  <si>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Budget Approved cumulative*</t>
  </si>
  <si>
    <t>Comment: P1</t>
  </si>
  <si>
    <t>Comment: P2</t>
  </si>
  <si>
    <t>Comment: P3</t>
  </si>
  <si>
    <t>GEO-H-NCDC</t>
  </si>
  <si>
    <t>NCDC</t>
  </si>
  <si>
    <t>Alexander Asatiani</t>
  </si>
  <si>
    <t>Zidovudine/Lamivudine</t>
  </si>
  <si>
    <t>Syringes (1ml)</t>
  </si>
  <si>
    <t>(1)
Number of tablets/mgs per patient per day
(Review country treatment guidelines)</t>
  </si>
  <si>
    <t>Prevention programs for MSM and TGs</t>
  </si>
  <si>
    <t>Prevention programs for sex workers and their clients</t>
  </si>
  <si>
    <t>Prevention programs for people who inject drugs (PWID) and their partners</t>
  </si>
  <si>
    <t>Prevention programs for other vulnerable populations (please specify)</t>
  </si>
  <si>
    <t>Treatment, care and support</t>
  </si>
  <si>
    <t>HSS - Health information systems and M&amp;E</t>
  </si>
  <si>
    <t>Removing legal barriers to access</t>
  </si>
  <si>
    <t>Program management</t>
  </si>
  <si>
    <t>Percentage of PWID reached with HIV prevention programs - defined package of services</t>
  </si>
  <si>
    <t>KP-1d</t>
  </si>
  <si>
    <t>Percentage of PWID that have received an HIV test during the reporting period and know their results</t>
  </si>
  <si>
    <t>KP-3d</t>
  </si>
  <si>
    <t>Percentage of MSM reached with HIV prevention programs - defined package of services</t>
  </si>
  <si>
    <t>KP-1a</t>
  </si>
  <si>
    <t>Percentage of MSM that have received an HIV test during the reporting period and know their results</t>
  </si>
  <si>
    <t>KP-3a</t>
  </si>
  <si>
    <t>Percentage of sex workers reached with HIV prevention programs - defined package of services</t>
  </si>
  <si>
    <t>KP-1c</t>
  </si>
  <si>
    <t>Percentage of sex workers that have received an HIV test during the reporting period and know their results</t>
  </si>
  <si>
    <t>KP-3c</t>
  </si>
  <si>
    <t>Percentage of other vulnerable populations (prisoners) that have received an HIV test during the reporting period and know their results</t>
  </si>
  <si>
    <t>KP-3e</t>
  </si>
  <si>
    <t xml:space="preserve">Percentage of people living with HIV currently receiving antiretroviral therapy </t>
  </si>
  <si>
    <t>TCS-1</t>
  </si>
  <si>
    <t>N/A</t>
  </si>
  <si>
    <t>NFM</t>
  </si>
  <si>
    <t xml:space="preserve">Sustaining and Scaling up the Effective HIV/AIDS Prevention, Treatment and Care in Georgia </t>
  </si>
  <si>
    <t>Coordiantion of efforts with State HIV Program</t>
  </si>
  <si>
    <t>IDACIRC</t>
  </si>
  <si>
    <t>HAPSF</t>
  </si>
  <si>
    <t>GHRN</t>
  </si>
  <si>
    <t>IMPHA</t>
  </si>
  <si>
    <t>CIF</t>
  </si>
  <si>
    <t>Equality</t>
  </si>
  <si>
    <t>Tanadgoma</t>
  </si>
  <si>
    <t>2 Projects</t>
  </si>
  <si>
    <t>NFM Grant Requirements</t>
  </si>
  <si>
    <t>Improved outreach work.</t>
  </si>
  <si>
    <t>Jul-Sep 2016</t>
  </si>
  <si>
    <t>Oct-Dec 2017</t>
  </si>
  <si>
    <t>Jan-Mar 2017</t>
  </si>
  <si>
    <t xml:space="preserve">Gyongyver Jakab </t>
  </si>
  <si>
    <t>Condoms (Tanadgoma)</t>
  </si>
  <si>
    <t xml:space="preserve"> Percentage of individuals receiving Opioid Substitution Therapy who received treatment for at least 6 months</t>
  </si>
  <si>
    <t>Inc. Duovir</t>
  </si>
  <si>
    <t>GHRN Condom Transfer</t>
  </si>
  <si>
    <t>According to approved PF, target is set to be annual. Unlike other indicators,  number of people living with HIV currently receiving antiretroviral therapy is not split 3/4. Accordingly Q3 acheivement is promising when compared to the annual target.</t>
  </si>
  <si>
    <t xml:space="preserve">To promote VCT among MSM PR has procured saliva tests, LGBT resource Centers have started on-site testing as well. Two projects (One with Tanadgoma and other with Equality Movement) contribute towards successful achievements for the Q3. It is expected to maintain the same trend for the upcoming reporting cycles. </t>
  </si>
  <si>
    <t>Data provided represents a ratio of individuals reached through  January-September compared to the 3/4 annual target as per approved performance framework. The next reporting period (P6) will provide cummulative acheivements compared to annual target. currently 53% of annual target is reached. additional efforts will be made in order to upscale coverage for the upcoming reporting periods.</t>
  </si>
  <si>
    <t>Jan-Jun 2017</t>
  </si>
  <si>
    <t>Jan-Sep 2017</t>
  </si>
  <si>
    <t>Data provided represents a ratio of individuals reached through January-September compared to the 3/4 annual target as per approved performance framework. P6 will be reported on cummulative basis as well and will provide more precise/complete info on the target reach ratio.</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</si>
</sst>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_);_(* \(#,##0.00\);_(* &quot;-&quot;??_);_(@_)"/>
    <numFmt numFmtId="164" formatCode="_-* #,##0.00\ _L_a_r_i_-;\-* #,##0.00\ _L_a_r_i_-;_-* &quot;-&quot;??\ _L_a_r_i_-;_-@_-"/>
    <numFmt numFmtId="165" formatCode="&quot;Q&quot;#,##0_);[Red]\(&quot;Q&quot;#,##0\)"/>
    <numFmt numFmtId="166" formatCode="_(* #,##0_);_(* \(#,##0\);_(* &quot;-&quot;??_);_(@_)"/>
    <numFmt numFmtId="167" formatCode=";;;"/>
    <numFmt numFmtId="168" formatCode="0.0"/>
    <numFmt numFmtId="169" formatCode=";;;&quot;Financial Variance in %&quot;"/>
    <numFmt numFmtId="170" formatCode="_([$€]* #,##0.00_);_([$€]* \(#,##0.00\);_([$€]* &quot;-&quot;??_);_(@_)"/>
    <numFmt numFmtId="171" formatCode="[$$-409]#,##0"/>
    <numFmt numFmtId="172" formatCode="[$-409]d/mmm/yyyy;@"/>
    <numFmt numFmtId="173" formatCode="[$$-409]#,##0_);\([$$-409]#,##0\)"/>
    <numFmt numFmtId="174" formatCode="0.0%"/>
  </numFmts>
  <fonts count="143">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font>
    <font>
      <b/>
      <sz val="14"/>
      <color indexed="52"/>
      <name val="Calibri"/>
      <family val="2"/>
    </font>
    <font>
      <b/>
      <sz val="12"/>
      <color indexed="8"/>
      <name val="Calibri"/>
      <family val="2"/>
    </font>
    <font>
      <b/>
      <sz val="11"/>
      <color indexed="8"/>
      <name val="Calibri"/>
      <family val="2"/>
    </font>
    <font>
      <sz val="11"/>
      <color indexed="8"/>
      <name val="Calibri"/>
      <family val="2"/>
    </font>
    <font>
      <b/>
      <sz val="14"/>
      <color indexed="14"/>
      <name val="Calibri"/>
      <family val="2"/>
    </font>
    <font>
      <b/>
      <sz val="10"/>
      <color indexed="53"/>
      <name val="Calibri"/>
      <family val="2"/>
    </font>
    <font>
      <b/>
      <sz val="12"/>
      <name val="Arial"/>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font>
    <font>
      <b/>
      <sz val="11"/>
      <color indexed="60"/>
      <name val="Calibri"/>
      <family val="2"/>
    </font>
    <font>
      <b/>
      <sz val="11"/>
      <color indexed="14"/>
      <name val="Calibri"/>
      <family val="2"/>
    </font>
    <font>
      <sz val="22"/>
      <color indexed="9"/>
      <name val="Calibri"/>
      <family val="2"/>
    </font>
    <font>
      <sz val="10"/>
      <color indexed="60"/>
      <name val="Calibri"/>
      <family val="2"/>
    </font>
    <font>
      <sz val="11"/>
      <color indexed="12"/>
      <name val="Calibri"/>
      <family val="2"/>
    </font>
    <font>
      <sz val="10"/>
      <name val="Calibri"/>
      <family val="2"/>
    </font>
    <font>
      <sz val="9"/>
      <color indexed="16"/>
      <name val="Calibri"/>
      <family val="2"/>
    </font>
    <font>
      <b/>
      <i/>
      <sz val="14"/>
      <color indexed="12"/>
      <name val="Calibri"/>
      <family val="2"/>
    </font>
    <font>
      <b/>
      <sz val="9"/>
      <name val="Calibri"/>
      <family val="2"/>
    </font>
    <font>
      <sz val="16"/>
      <color indexed="9"/>
      <name val="Calibri"/>
      <family val="2"/>
    </font>
    <font>
      <i/>
      <sz val="11"/>
      <color indexed="8"/>
      <name val="Calibri"/>
      <family val="2"/>
    </font>
    <font>
      <b/>
      <sz val="14"/>
      <color indexed="44"/>
      <name val="Calibri"/>
      <family val="2"/>
    </font>
    <font>
      <b/>
      <sz val="14"/>
      <color indexed="51"/>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font>
    <font>
      <sz val="11"/>
      <color indexed="8"/>
      <name val="Calibri"/>
      <family val="2"/>
    </font>
    <font>
      <sz val="8"/>
      <color indexed="81"/>
      <name val="Tahoma"/>
      <family val="2"/>
    </font>
    <font>
      <b/>
      <sz val="20"/>
      <color indexed="8"/>
      <name val="Calibri"/>
      <family val="2"/>
    </font>
    <font>
      <sz val="20"/>
      <color indexed="8"/>
      <name val="Calibri"/>
      <family val="2"/>
    </font>
    <font>
      <sz val="11"/>
      <color theme="1"/>
      <name val="Calibri"/>
      <family val="2"/>
      <scheme val="minor"/>
    </font>
    <font>
      <b/>
      <sz val="11"/>
      <color theme="1"/>
      <name val="Calibri"/>
      <family val="2"/>
      <scheme val="minor"/>
    </font>
    <font>
      <sz val="11"/>
      <color rgb="FFFF0000"/>
      <name val="Calibri"/>
      <family val="2"/>
      <scheme val="minor"/>
    </font>
    <font>
      <strike/>
      <sz val="10"/>
      <name val="Arial"/>
      <family val="2"/>
    </font>
    <font>
      <sz val="11"/>
      <color theme="1"/>
      <name val="Calibri"/>
      <family val="2"/>
    </font>
    <font>
      <sz val="11"/>
      <color rgb="FF000000"/>
      <name val="Calibri"/>
      <family val="2"/>
      <scheme val="minor"/>
    </font>
    <font>
      <sz val="11"/>
      <color theme="0"/>
      <name val="Calibri"/>
      <family val="2"/>
      <scheme val="minor"/>
    </font>
    <font>
      <sz val="9"/>
      <name val="Calibri"/>
      <family val="2"/>
      <scheme val="minor"/>
    </font>
    <font>
      <b/>
      <sz val="11"/>
      <color theme="0"/>
      <name val="Calibri"/>
      <family val="2"/>
      <scheme val="minor"/>
    </font>
    <font>
      <sz val="11"/>
      <color theme="0" tint="-0.14999847407452621"/>
      <name val="Calibri"/>
      <family val="2"/>
      <scheme val="minor"/>
    </font>
    <font>
      <i/>
      <sz val="11"/>
      <color theme="0" tint="-0.14999847407452621"/>
      <name val="Calibri"/>
      <family val="2"/>
    </font>
    <font>
      <sz val="11"/>
      <color theme="0" tint="-0.14999847407452621"/>
      <name val="Calibri"/>
      <family val="2"/>
    </font>
  </fonts>
  <fills count="41">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3"/>
        <bgColor indexed="64"/>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solid">
        <fgColor indexed="43"/>
        <bgColor indexed="51"/>
      </patternFill>
    </fill>
    <fill>
      <patternFill patternType="solid">
        <fgColor indexed="65"/>
        <bgColor indexed="64"/>
      </patternFill>
    </fill>
    <fill>
      <patternFill patternType="solid">
        <fgColor indexed="61"/>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s>
  <borders count="24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auto="1"/>
      </right>
      <top style="thin">
        <color auto="1"/>
      </top>
      <bottom style="thin">
        <color auto="1"/>
      </bottom>
      <diagonal/>
    </border>
    <border>
      <left style="medium">
        <color indexed="16"/>
      </left>
      <right style="thin">
        <color auto="1"/>
      </right>
      <top style="thin">
        <color auto="1"/>
      </top>
      <bottom style="medium">
        <color indexed="16"/>
      </bottom>
      <diagonal/>
    </border>
    <border>
      <left/>
      <right/>
      <top/>
      <bottom style="medium">
        <color indexed="12"/>
      </bottom>
      <diagonal/>
    </border>
    <border>
      <left style="thin">
        <color auto="1"/>
      </left>
      <right style="thin">
        <color auto="1"/>
      </right>
      <top style="medium">
        <color indexed="48"/>
      </top>
      <bottom style="thin">
        <color auto="1"/>
      </bottom>
      <diagonal/>
    </border>
    <border>
      <left style="thin">
        <color auto="1"/>
      </left>
      <right style="medium">
        <color indexed="48"/>
      </right>
      <top style="medium">
        <color indexed="48"/>
      </top>
      <bottom style="thin">
        <color auto="1"/>
      </bottom>
      <diagonal/>
    </border>
    <border>
      <left style="thin">
        <color auto="1"/>
      </left>
      <right style="medium">
        <color indexed="48"/>
      </right>
      <top style="thin">
        <color auto="1"/>
      </top>
      <bottom style="thin">
        <color auto="1"/>
      </bottom>
      <diagonal/>
    </border>
    <border>
      <left style="thin">
        <color auto="1"/>
      </left>
      <right style="medium">
        <color indexed="48"/>
      </right>
      <top style="thin">
        <color auto="1"/>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auto="1"/>
      </left>
      <right/>
      <top style="thin">
        <color auto="1"/>
      </top>
      <bottom style="thin">
        <color auto="1"/>
      </bottom>
      <diagonal/>
    </border>
    <border>
      <left style="thin">
        <color auto="1"/>
      </left>
      <right/>
      <top style="thin">
        <color auto="1"/>
      </top>
      <bottom style="medium">
        <color indexed="51"/>
      </bottom>
      <diagonal/>
    </border>
    <border>
      <left style="thin">
        <color auto="1"/>
      </left>
      <right style="medium">
        <color indexed="51"/>
      </right>
      <top style="thin">
        <color auto="1"/>
      </top>
      <bottom style="thin">
        <color auto="1"/>
      </bottom>
      <diagonal/>
    </border>
    <border>
      <left style="dotted">
        <color auto="1"/>
      </left>
      <right style="dotted">
        <color auto="1"/>
      </right>
      <top style="medium">
        <color indexed="52"/>
      </top>
      <bottom style="hair">
        <color auto="1"/>
      </bottom>
      <diagonal/>
    </border>
    <border>
      <left style="dotted">
        <color auto="1"/>
      </left>
      <right style="dotted">
        <color auto="1"/>
      </right>
      <top style="hair">
        <color auto="1"/>
      </top>
      <bottom style="hair">
        <color auto="1"/>
      </bottom>
      <diagonal/>
    </border>
    <border>
      <left style="dotted">
        <color auto="1"/>
      </left>
      <right style="dotted">
        <color auto="1"/>
      </right>
      <top style="hair">
        <color auto="1"/>
      </top>
      <bottom style="medium">
        <color indexed="52"/>
      </bottom>
      <diagonal/>
    </border>
    <border>
      <left style="dotted">
        <color indexed="62"/>
      </left>
      <right style="dotted">
        <color auto="1"/>
      </right>
      <top style="medium">
        <color indexed="62"/>
      </top>
      <bottom style="hair">
        <color auto="1"/>
      </bottom>
      <diagonal/>
    </border>
    <border>
      <left style="dotted">
        <color indexed="62"/>
      </left>
      <right style="dotted">
        <color auto="1"/>
      </right>
      <top style="hair">
        <color auto="1"/>
      </top>
      <bottom style="hair">
        <color auto="1"/>
      </bottom>
      <diagonal/>
    </border>
    <border>
      <left style="dotted">
        <color indexed="62"/>
      </left>
      <right style="dotted">
        <color auto="1"/>
      </right>
      <top style="hair">
        <color auto="1"/>
      </top>
      <bottom style="medium">
        <color indexed="62"/>
      </bottom>
      <diagonal/>
    </border>
    <border>
      <left style="hair">
        <color auto="1"/>
      </left>
      <right style="hair">
        <color auto="1"/>
      </right>
      <top style="medium">
        <color indexed="5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indexed="5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thin">
        <color indexed="30"/>
      </top>
      <bottom style="thin">
        <color indexed="30"/>
      </bottom>
      <diagonal/>
    </border>
    <border>
      <left/>
      <right style="thick">
        <color indexed="9"/>
      </right>
      <top/>
      <bottom/>
      <diagonal/>
    </border>
    <border>
      <left style="hair">
        <color auto="1"/>
      </left>
      <right style="hair">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51"/>
      </top>
      <bottom style="thin">
        <color auto="1"/>
      </bottom>
      <diagonal/>
    </border>
    <border>
      <left style="thin">
        <color auto="1"/>
      </left>
      <right style="thin">
        <color auto="1"/>
      </right>
      <top style="thin">
        <color auto="1"/>
      </top>
      <bottom style="medium">
        <color indexed="48"/>
      </bottom>
      <diagonal/>
    </border>
    <border>
      <left style="medium">
        <color indexed="16"/>
      </left>
      <right style="thin">
        <color indexed="16"/>
      </right>
      <top/>
      <bottom style="thin">
        <color indexed="16"/>
      </bottom>
      <diagonal/>
    </border>
    <border>
      <left/>
      <right style="thin">
        <color auto="1"/>
      </right>
      <top style="medium">
        <color indexed="51"/>
      </top>
      <bottom style="thin">
        <color auto="1"/>
      </bottom>
      <diagonal/>
    </border>
    <border>
      <left style="thin">
        <color auto="1"/>
      </left>
      <right/>
      <top/>
      <bottom/>
      <diagonal/>
    </border>
    <border>
      <left style="medium">
        <color indexed="60"/>
      </left>
      <right style="thin">
        <color auto="1"/>
      </right>
      <top style="thin">
        <color auto="1"/>
      </top>
      <bottom style="thin">
        <color auto="1"/>
      </bottom>
      <diagonal/>
    </border>
    <border>
      <left style="medium">
        <color indexed="60"/>
      </left>
      <right style="thin">
        <color auto="1"/>
      </right>
      <top style="thin">
        <color auto="1"/>
      </top>
      <bottom style="medium">
        <color indexed="60"/>
      </bottom>
      <diagonal/>
    </border>
    <border>
      <left style="medium">
        <color indexed="60"/>
      </left>
      <right/>
      <top style="medium">
        <color indexed="60"/>
      </top>
      <bottom style="thin">
        <color auto="1"/>
      </bottom>
      <diagonal/>
    </border>
    <border>
      <left style="thin">
        <color indexed="60"/>
      </left>
      <right style="thin">
        <color indexed="60"/>
      </right>
      <top style="medium">
        <color indexed="60"/>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16"/>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indexed="51"/>
      </left>
      <right style="medium">
        <color indexed="51"/>
      </right>
      <top style="medium">
        <color indexed="5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style="thin">
        <color auto="1"/>
      </right>
      <top style="thin">
        <color auto="1"/>
      </top>
      <bottom style="medium">
        <color indexed="16"/>
      </bottom>
      <diagonal/>
    </border>
    <border>
      <left style="thin">
        <color auto="1"/>
      </left>
      <right style="medium">
        <color indexed="16"/>
      </right>
      <top style="thin">
        <color auto="1"/>
      </top>
      <bottom style="medium">
        <color indexed="16"/>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auto="1"/>
      </top>
      <bottom style="thin">
        <color auto="1"/>
      </bottom>
      <diagonal/>
    </border>
    <border>
      <left style="thin">
        <color indexed="16"/>
      </left>
      <right style="medium">
        <color indexed="16"/>
      </right>
      <top style="medium">
        <color auto="1"/>
      </top>
      <bottom style="thin">
        <color auto="1"/>
      </bottom>
      <diagonal/>
    </border>
    <border>
      <left style="medium">
        <color auto="1"/>
      </left>
      <right/>
      <top/>
      <bottom style="thin">
        <color auto="1"/>
      </bottom>
      <diagonal/>
    </border>
    <border>
      <left style="thin">
        <color indexed="16"/>
      </left>
      <right style="thin">
        <color indexed="16"/>
      </right>
      <top style="thin">
        <color indexed="16"/>
      </top>
      <bottom/>
      <diagonal/>
    </border>
    <border>
      <left style="thin">
        <color auto="1"/>
      </left>
      <right style="medium">
        <color indexed="60"/>
      </right>
      <top style="thin">
        <color auto="1"/>
      </top>
      <bottom style="thin">
        <color auto="1"/>
      </bottom>
      <diagonal/>
    </border>
    <border>
      <left style="thin">
        <color auto="1"/>
      </left>
      <right style="medium">
        <color indexed="60"/>
      </right>
      <top style="thin">
        <color auto="1"/>
      </top>
      <bottom style="medium">
        <color indexed="60"/>
      </bottom>
      <diagonal/>
    </border>
    <border>
      <left style="thin">
        <color indexed="16"/>
      </left>
      <right style="thin">
        <color indexed="16"/>
      </right>
      <top style="medium">
        <color indexed="51"/>
      </top>
      <bottom style="thin">
        <color auto="1"/>
      </bottom>
      <diagonal/>
    </border>
    <border>
      <left style="thin">
        <color indexed="16"/>
      </left>
      <right style="medium">
        <color indexed="51"/>
      </right>
      <top style="medium">
        <color indexed="51"/>
      </top>
      <bottom style="thin">
        <color auto="1"/>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auto="1"/>
      </left>
      <right style="thin">
        <color auto="1"/>
      </right>
      <top/>
      <bottom/>
      <diagonal/>
    </border>
    <border>
      <left/>
      <right style="medium">
        <color indexed="60"/>
      </right>
      <top style="medium">
        <color indexed="60"/>
      </top>
      <bottom/>
      <diagonal/>
    </border>
    <border>
      <left style="thin">
        <color auto="1"/>
      </left>
      <right style="thin">
        <color auto="1"/>
      </right>
      <top style="thin">
        <color auto="1"/>
      </top>
      <bottom style="medium">
        <color indexed="51"/>
      </bottom>
      <diagonal/>
    </border>
    <border>
      <left style="medium">
        <color indexed="60"/>
      </left>
      <right style="dotted">
        <color auto="1"/>
      </right>
      <top style="medium">
        <color indexed="60"/>
      </top>
      <bottom style="hair">
        <color auto="1"/>
      </bottom>
      <diagonal/>
    </border>
    <border>
      <left style="medium">
        <color indexed="60"/>
      </left>
      <right style="dotted">
        <color auto="1"/>
      </right>
      <top style="hair">
        <color auto="1"/>
      </top>
      <bottom style="hair">
        <color auto="1"/>
      </bottom>
      <diagonal/>
    </border>
    <border>
      <left style="medium">
        <color indexed="60"/>
      </left>
      <right style="dotted">
        <color auto="1"/>
      </right>
      <top style="hair">
        <color auto="1"/>
      </top>
      <bottom style="medium">
        <color indexed="60"/>
      </bottom>
      <diagonal/>
    </border>
    <border>
      <left style="medium">
        <color indexed="62"/>
      </left>
      <right/>
      <top style="medium">
        <color indexed="62"/>
      </top>
      <bottom style="hair">
        <color auto="1"/>
      </bottom>
      <diagonal/>
    </border>
    <border>
      <left style="medium">
        <color indexed="62"/>
      </left>
      <right/>
      <top style="hair">
        <color auto="1"/>
      </top>
      <bottom style="hair">
        <color auto="1"/>
      </bottom>
      <diagonal/>
    </border>
    <border>
      <left style="medium">
        <color indexed="62"/>
      </left>
      <right/>
      <top style="hair">
        <color auto="1"/>
      </top>
      <bottom style="medium">
        <color indexed="62"/>
      </bottom>
      <diagonal/>
    </border>
    <border>
      <left style="medium">
        <color indexed="51"/>
      </left>
      <right style="hair">
        <color auto="1"/>
      </right>
      <top style="medium">
        <color indexed="51"/>
      </top>
      <bottom style="hair">
        <color auto="1"/>
      </bottom>
      <diagonal/>
    </border>
    <border>
      <left style="medium">
        <color indexed="51"/>
      </left>
      <right style="hair">
        <color auto="1"/>
      </right>
      <top style="hair">
        <color auto="1"/>
      </top>
      <bottom style="hair">
        <color auto="1"/>
      </bottom>
      <diagonal/>
    </border>
    <border>
      <left style="medium">
        <color indexed="51"/>
      </left>
      <right/>
      <top/>
      <bottom style="hair">
        <color auto="1"/>
      </bottom>
      <diagonal/>
    </border>
    <border>
      <left style="thin">
        <color auto="1"/>
      </left>
      <right style="medium">
        <color indexed="51"/>
      </right>
      <top style="thin">
        <color auto="1"/>
      </top>
      <bottom style="medium">
        <color indexed="51"/>
      </bottom>
      <diagonal/>
    </border>
    <border>
      <left style="thin">
        <color auto="1"/>
      </left>
      <right style="thin">
        <color auto="1"/>
      </right>
      <top style="thin">
        <color auto="1"/>
      </top>
      <bottom style="medium">
        <color auto="1"/>
      </bottom>
      <diagonal/>
    </border>
    <border>
      <left/>
      <right/>
      <top style="medium">
        <color auto="1"/>
      </top>
      <bottom/>
      <diagonal/>
    </border>
    <border>
      <left style="medium">
        <color indexed="48"/>
      </left>
      <right style="thin">
        <color auto="1"/>
      </right>
      <top style="thin">
        <color auto="1"/>
      </top>
      <bottom style="medium">
        <color indexed="48"/>
      </bottom>
      <diagonal/>
    </border>
    <border>
      <left style="medium">
        <color indexed="51"/>
      </left>
      <right/>
      <top/>
      <bottom style="thin">
        <color auto="1"/>
      </bottom>
      <diagonal/>
    </border>
    <border>
      <left/>
      <right/>
      <top/>
      <bottom style="thin">
        <color auto="1"/>
      </bottom>
      <diagonal/>
    </border>
    <border>
      <left style="medium">
        <color indexed="51"/>
      </left>
      <right style="medium">
        <color indexed="5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indexed="5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medium">
        <color indexed="51"/>
      </bottom>
      <diagonal/>
    </border>
    <border>
      <left style="medium">
        <color indexed="51"/>
      </left>
      <right style="medium">
        <color indexed="51"/>
      </right>
      <top style="thin">
        <color auto="1"/>
      </top>
      <bottom style="thin">
        <color auto="1"/>
      </bottom>
      <diagonal/>
    </border>
    <border>
      <left style="medium">
        <color indexed="51"/>
      </left>
      <right style="medium">
        <color indexed="51"/>
      </right>
      <top style="thin">
        <color auto="1"/>
      </top>
      <bottom style="medium">
        <color indexed="51"/>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auto="1"/>
      </right>
      <top style="thin">
        <color auto="1"/>
      </top>
      <bottom/>
      <diagonal/>
    </border>
    <border>
      <left style="medium">
        <color indexed="5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51"/>
      </left>
      <right/>
      <top style="thin">
        <color auto="1"/>
      </top>
      <bottom style="medium">
        <color indexed="51"/>
      </bottom>
      <diagonal/>
    </border>
    <border>
      <left/>
      <right/>
      <top style="thin">
        <color auto="1"/>
      </top>
      <bottom style="medium">
        <color indexed="51"/>
      </bottom>
      <diagonal/>
    </border>
    <border>
      <left/>
      <right style="medium">
        <color indexed="51"/>
      </right>
      <top style="thin">
        <color auto="1"/>
      </top>
      <bottom style="medium">
        <color indexed="51"/>
      </bottom>
      <diagonal/>
    </border>
    <border>
      <left style="medium">
        <color indexed="51"/>
      </left>
      <right/>
      <top style="thin">
        <color auto="1"/>
      </top>
      <bottom/>
      <diagonal/>
    </border>
    <border>
      <left/>
      <right style="medium">
        <color indexed="51"/>
      </right>
      <top style="thin">
        <color auto="1"/>
      </top>
      <bottom/>
      <diagonal/>
    </border>
    <border>
      <left style="medium">
        <color indexed="51"/>
      </left>
      <right/>
      <top/>
      <bottom style="medium">
        <color indexed="51"/>
      </bottom>
      <diagonal/>
    </border>
    <border>
      <left/>
      <right style="medium">
        <color indexed="51"/>
      </right>
      <top/>
      <bottom style="medium">
        <color indexed="51"/>
      </bottom>
      <diagonal/>
    </border>
    <border>
      <left style="medium">
        <color indexed="48"/>
      </left>
      <right style="thin">
        <color auto="1"/>
      </right>
      <top style="medium">
        <color indexed="48"/>
      </top>
      <bottom style="thin">
        <color auto="1"/>
      </bottom>
      <diagonal/>
    </border>
    <border>
      <left/>
      <right/>
      <top style="medium">
        <color indexed="60"/>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indexed="51"/>
      </left>
      <right/>
      <top style="medium">
        <color indexed="51"/>
      </top>
      <bottom style="thin">
        <color auto="1"/>
      </bottom>
      <diagonal/>
    </border>
    <border>
      <left/>
      <right/>
      <top style="medium">
        <color indexed="51"/>
      </top>
      <bottom style="thin">
        <color auto="1"/>
      </bottom>
      <diagonal/>
    </border>
    <border>
      <left/>
      <right style="medium">
        <color indexed="51"/>
      </right>
      <top style="medium">
        <color indexed="51"/>
      </top>
      <bottom style="thin">
        <color auto="1"/>
      </bottom>
      <diagonal/>
    </border>
    <border>
      <left style="medium">
        <color indexed="51"/>
      </left>
      <right/>
      <top style="thin">
        <color auto="1"/>
      </top>
      <bottom style="thin">
        <color auto="1"/>
      </bottom>
      <diagonal/>
    </border>
    <border>
      <left/>
      <right style="medium">
        <color indexed="51"/>
      </right>
      <top style="thin">
        <color auto="1"/>
      </top>
      <bottom style="thin">
        <color auto="1"/>
      </bottom>
      <diagonal/>
    </border>
    <border>
      <left/>
      <right style="thin">
        <color auto="1"/>
      </right>
      <top/>
      <bottom/>
      <diagonal/>
    </border>
    <border>
      <left style="medium">
        <color indexed="48"/>
      </left>
      <right style="thin">
        <color auto="1"/>
      </right>
      <top style="thin">
        <color auto="1"/>
      </top>
      <bottom style="thin">
        <color auto="1"/>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style="thin">
        <color auto="1"/>
      </right>
      <top style="thin">
        <color auto="1"/>
      </top>
      <bottom style="thin">
        <color auto="1"/>
      </bottom>
      <diagonal/>
    </border>
    <border>
      <left style="medium">
        <color indexed="16"/>
      </left>
      <right/>
      <top style="medium">
        <color indexed="16"/>
      </top>
      <bottom style="thin">
        <color auto="1"/>
      </bottom>
      <diagonal/>
    </border>
    <border>
      <left/>
      <right/>
      <top style="medium">
        <color indexed="16"/>
      </top>
      <bottom style="thin">
        <color auto="1"/>
      </bottom>
      <diagonal/>
    </border>
    <border>
      <left/>
      <right style="medium">
        <color indexed="16"/>
      </right>
      <top style="medium">
        <color indexed="16"/>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thick">
        <color indexed="9"/>
      </left>
      <right/>
      <top/>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style="medium">
        <color indexed="60"/>
      </left>
      <right/>
      <top style="hair">
        <color auto="1"/>
      </top>
      <bottom style="hair">
        <color auto="1"/>
      </bottom>
      <diagonal/>
    </border>
    <border>
      <left/>
      <right/>
      <top style="hair">
        <color auto="1"/>
      </top>
      <bottom style="hair">
        <color auto="1"/>
      </bottom>
      <diagonal/>
    </border>
    <border>
      <left/>
      <right style="medium">
        <color indexed="60"/>
      </right>
      <top style="hair">
        <color auto="1"/>
      </top>
      <bottom style="hair">
        <color auto="1"/>
      </bottom>
      <diagonal/>
    </border>
    <border>
      <left style="medium">
        <color indexed="60"/>
      </left>
      <right/>
      <top/>
      <bottom style="medium">
        <color indexed="60"/>
      </bottom>
      <diagonal/>
    </border>
    <border>
      <left/>
      <right style="medium">
        <color indexed="60"/>
      </right>
      <top/>
      <bottom style="medium">
        <color indexed="60"/>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top style="hair">
        <color indexed="23"/>
      </top>
      <bottom style="hair">
        <color indexed="23"/>
      </bottom>
      <diagonal/>
    </border>
    <border>
      <left/>
      <right style="medium">
        <color indexed="60"/>
      </right>
      <top style="hair">
        <color indexed="23"/>
      </top>
      <bottom style="hair">
        <color indexed="23"/>
      </bottom>
      <diagonal/>
    </border>
    <border>
      <left style="medium">
        <color indexed="60"/>
      </left>
      <right/>
      <top/>
      <bottom style="hair">
        <color auto="1"/>
      </bottom>
      <diagonal/>
    </border>
    <border>
      <left/>
      <right/>
      <top/>
      <bottom style="hair">
        <color auto="1"/>
      </bottom>
      <diagonal/>
    </border>
    <border>
      <left/>
      <right style="medium">
        <color indexed="60"/>
      </right>
      <top/>
      <bottom style="hair">
        <color auto="1"/>
      </bottom>
      <diagonal/>
    </border>
    <border>
      <left style="hair">
        <color auto="1"/>
      </left>
      <right/>
      <top style="hair">
        <color auto="1"/>
      </top>
      <bottom style="hair">
        <color auto="1"/>
      </bottom>
      <diagonal/>
    </border>
    <border>
      <left/>
      <right style="medium">
        <color indexed="51"/>
      </right>
      <top style="hair">
        <color auto="1"/>
      </top>
      <bottom style="hair">
        <color auto="1"/>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style="medium">
        <color indexed="62"/>
      </right>
      <top style="hair">
        <color indexed="23"/>
      </top>
      <bottom style="hair">
        <color indexed="23"/>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auto="1"/>
      </left>
      <right/>
      <top style="medium">
        <color indexed="51"/>
      </top>
      <bottom style="hair">
        <color auto="1"/>
      </bottom>
      <diagonal/>
    </border>
    <border>
      <left/>
      <right/>
      <top style="medium">
        <color indexed="51"/>
      </top>
      <bottom style="hair">
        <color auto="1"/>
      </bottom>
      <diagonal/>
    </border>
    <border>
      <left/>
      <right style="medium">
        <color indexed="51"/>
      </right>
      <top style="medium">
        <color indexed="51"/>
      </top>
      <bottom style="hair">
        <color auto="1"/>
      </bottom>
      <diagonal/>
    </border>
    <border>
      <left style="hair">
        <color indexed="57"/>
      </left>
      <right style="medium">
        <color indexed="57"/>
      </right>
      <top style="medium">
        <color indexed="57"/>
      </top>
      <bottom style="medium">
        <color indexed="57"/>
      </bottom>
      <diagonal/>
    </border>
    <border>
      <left/>
      <right style="medium">
        <color auto="1"/>
      </right>
      <top style="hair">
        <color auto="1"/>
      </top>
      <bottom style="hair">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hair">
        <color auto="1"/>
      </right>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style="medium">
        <color auto="1"/>
      </left>
      <right/>
      <top/>
      <bottom style="hair">
        <color auto="1"/>
      </bottom>
      <diagonal/>
    </border>
    <border>
      <left/>
      <right style="hair">
        <color auto="1"/>
      </right>
      <top/>
      <bottom style="hair">
        <color auto="1"/>
      </bottom>
      <diagonal/>
    </border>
    <border>
      <left style="medium">
        <color indexed="57"/>
      </left>
      <right style="hair">
        <color indexed="57"/>
      </right>
      <top style="medium">
        <color indexed="57"/>
      </top>
      <bottom style="medium">
        <color indexed="57"/>
      </bottom>
      <diagonal/>
    </border>
    <border>
      <left style="thin">
        <color auto="1"/>
      </left>
      <right style="thin">
        <color auto="1"/>
      </right>
      <top style="thin">
        <color auto="1"/>
      </top>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medium">
        <color auto="1"/>
      </left>
      <right/>
      <top style="medium">
        <color indexed="57"/>
      </top>
      <bottom/>
      <diagonal/>
    </border>
    <border>
      <left/>
      <right/>
      <top style="medium">
        <color indexed="57"/>
      </top>
      <bottom/>
      <diagonal/>
    </border>
    <border>
      <left/>
      <right style="medium">
        <color auto="1"/>
      </right>
      <top style="medium">
        <color indexed="57"/>
      </top>
      <bottom/>
      <diagonal/>
    </border>
    <border>
      <left/>
      <right style="medium">
        <color auto="1"/>
      </right>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style="hair">
        <color auto="1"/>
      </left>
      <right style="medium">
        <color auto="1"/>
      </right>
      <top/>
      <bottom style="hair">
        <color auto="1"/>
      </bottom>
      <diagonal/>
    </border>
    <border>
      <left style="hair">
        <color auto="1"/>
      </left>
      <right style="medium">
        <color auto="1"/>
      </right>
      <top style="hair">
        <color auto="1"/>
      </top>
      <bottom style="medium">
        <color auto="1"/>
      </bottom>
      <diagonal/>
    </border>
    <border>
      <left style="thin">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thin">
        <color indexed="60"/>
      </left>
      <right style="thin">
        <color indexed="60"/>
      </right>
      <top style="thin">
        <color indexed="60"/>
      </top>
      <bottom style="medium">
        <color indexed="60"/>
      </bottom>
      <diagonal/>
    </border>
    <border>
      <left/>
      <right/>
      <top style="medium">
        <color rgb="FFFFC000"/>
      </top>
      <bottom/>
      <diagonal/>
    </border>
    <border>
      <left style="thin">
        <color auto="1"/>
      </left>
      <right style="medium">
        <color indexed="51"/>
      </right>
      <top style="thin">
        <color auto="1"/>
      </top>
      <bottom style="medium">
        <color rgb="FFFFC000"/>
      </bottom>
      <diagonal/>
    </border>
  </borders>
  <cellStyleXfs count="6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8" borderId="0" applyNumberFormat="0" applyBorder="0" applyAlignment="0" applyProtection="0"/>
    <xf numFmtId="0" fontId="15" fillId="12" borderId="0" applyNumberFormat="0" applyBorder="0" applyAlignment="0" applyProtection="0"/>
    <xf numFmtId="0" fontId="15" fillId="3" borderId="0" applyNumberFormat="0" applyBorder="0" applyAlignment="0" applyProtection="0"/>
    <xf numFmtId="0" fontId="15" fillId="12"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2" borderId="0" applyNumberFormat="0" applyBorder="0" applyAlignment="0" applyProtection="0"/>
    <xf numFmtId="0" fontId="15" fillId="17" borderId="0" applyNumberFormat="0" applyBorder="0" applyAlignment="0" applyProtection="0"/>
    <xf numFmtId="0" fontId="5" fillId="6" borderId="0" applyNumberFormat="0" applyBorder="0" applyAlignment="0" applyProtection="0"/>
    <xf numFmtId="0" fontId="9" fillId="2" borderId="1" applyNumberFormat="0" applyAlignment="0" applyProtection="0"/>
    <xf numFmtId="0" fontId="11" fillId="18" borderId="2" applyNumberFormat="0" applyAlignment="0" applyProtection="0"/>
    <xf numFmtId="43" fontId="3" fillId="0" borderId="0" applyFont="0" applyFill="0" applyBorder="0" applyAlignment="0" applyProtection="0"/>
    <xf numFmtId="170" fontId="2" fillId="0" borderId="0" applyFont="0" applyFill="0" applyBorder="0" applyAlignment="0" applyProtection="0"/>
    <xf numFmtId="0" fontId="13" fillId="0" borderId="0" applyNumberFormat="0" applyFill="0" applyBorder="0" applyAlignment="0" applyProtection="0"/>
    <xf numFmtId="0" fontId="4" fillId="7"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7" fillId="3" borderId="1" applyNumberFormat="0" applyAlignment="0" applyProtection="0"/>
    <xf numFmtId="0" fontId="10" fillId="0" borderId="3" applyNumberFormat="0" applyFill="0" applyAlignment="0" applyProtection="0"/>
    <xf numFmtId="43" fontId="2" fillId="0" borderId="0" applyFill="0" applyBorder="0" applyAlignment="0" applyProtection="0"/>
    <xf numFmtId="43" fontId="1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 fillId="0" borderId="0"/>
    <xf numFmtId="43" fontId="1" fillId="0" borderId="0"/>
    <xf numFmtId="43" fontId="131" fillId="0" borderId="0"/>
    <xf numFmtId="43" fontId="131" fillId="0" borderId="0"/>
    <xf numFmtId="43" fontId="131" fillId="0" borderId="0"/>
    <xf numFmtId="43" fontId="131" fillId="0" borderId="0"/>
    <xf numFmtId="0" fontId="67" fillId="0" borderId="0"/>
    <xf numFmtId="0" fontId="2" fillId="4" borderId="7" applyNumberFormat="0" applyFont="0" applyAlignment="0" applyProtection="0"/>
    <xf numFmtId="0" fontId="8" fillId="2" borderId="8" applyNumberFormat="0" applyAlignment="0" applyProtection="0"/>
    <xf numFmtId="9" fontId="3" fillId="0" borderId="0" applyFont="0" applyFill="0" applyBorder="0" applyAlignment="0" applyProtection="0"/>
    <xf numFmtId="0" fontId="42" fillId="0" borderId="0" applyNumberFormat="0" applyFill="0" applyBorder="0" applyAlignment="0" applyProtection="0"/>
    <xf numFmtId="43" fontId="131" fillId="0" borderId="9" applyNumberFormat="0" applyFill="0" applyAlignment="0" applyProtection="0"/>
    <xf numFmtId="43" fontId="1" fillId="0" borderId="9" applyNumberFormat="0" applyFill="0" applyAlignment="0" applyProtection="0"/>
    <xf numFmtId="43" fontId="1" fillId="0" borderId="9" applyNumberFormat="0" applyFill="0" applyAlignment="0" applyProtection="0"/>
    <xf numFmtId="43" fontId="131" fillId="0" borderId="9" applyNumberFormat="0" applyFill="0" applyAlignment="0" applyProtection="0"/>
    <xf numFmtId="0" fontId="76" fillId="0" borderId="0" applyNumberFormat="0" applyFill="0" applyBorder="0" applyAlignment="0" applyProtection="0"/>
    <xf numFmtId="164" fontId="136" fillId="0" borderId="0" applyFont="0" applyFill="0" applyBorder="0" applyAlignment="0" applyProtection="0"/>
  </cellStyleXfs>
  <cellXfs count="963">
    <xf numFmtId="0" fontId="0" fillId="0" borderId="0" xfId="0"/>
    <xf numFmtId="43" fontId="16" fillId="0" borderId="0" xfId="39" applyFont="1" applyFill="1" applyAlignment="1">
      <alignment vertical="center"/>
    </xf>
    <xf numFmtId="0" fontId="0" fillId="0" borderId="0" xfId="0" applyBorder="1" applyProtection="1"/>
    <xf numFmtId="0" fontId="0" fillId="0" borderId="0" xfId="0" applyProtection="1"/>
    <xf numFmtId="43" fontId="22" fillId="0" borderId="0" xfId="39" applyFont="1" applyFill="1" applyAlignment="1" applyProtection="1">
      <alignment vertical="center"/>
    </xf>
    <xf numFmtId="0" fontId="21" fillId="0" borderId="0" xfId="0" applyFont="1" applyProtection="1"/>
    <xf numFmtId="43" fontId="19" fillId="0" borderId="0" xfId="50" applyFont="1" applyFill="1" applyAlignment="1" applyProtection="1"/>
    <xf numFmtId="43" fontId="19" fillId="0" borderId="0" xfId="50" applyFont="1" applyFill="1" applyAlignment="1" applyProtection="1">
      <alignment horizontal="center"/>
    </xf>
    <xf numFmtId="43" fontId="19" fillId="0" borderId="0" xfId="50" applyFont="1" applyFill="1" applyAlignment="1" applyProtection="1">
      <alignment horizontal="right"/>
    </xf>
    <xf numFmtId="43" fontId="19" fillId="0" borderId="0" xfId="50" applyFont="1" applyFill="1" applyBorder="1" applyAlignment="1" applyProtection="1">
      <alignment horizontal="center"/>
    </xf>
    <xf numFmtId="43" fontId="131" fillId="0" borderId="0" xfId="49" applyProtection="1"/>
    <xf numFmtId="43" fontId="15" fillId="0" borderId="0" xfId="49" applyFont="1" applyProtection="1"/>
    <xf numFmtId="0" fontId="18" fillId="0" borderId="0" xfId="49" applyNumberFormat="1" applyFont="1" applyBorder="1" applyProtection="1"/>
    <xf numFmtId="43" fontId="131" fillId="0" borderId="0" xfId="51" applyProtection="1"/>
    <xf numFmtId="43" fontId="131" fillId="0" borderId="0" xfId="51" applyFill="1" applyBorder="1" applyAlignment="1" applyProtection="1">
      <alignment horizontal="left"/>
    </xf>
    <xf numFmtId="0" fontId="0" fillId="0" borderId="0" xfId="0" applyFill="1" applyBorder="1" applyProtection="1"/>
    <xf numFmtId="43" fontId="131" fillId="0" borderId="0" xfId="51" applyFill="1" applyBorder="1" applyProtection="1"/>
    <xf numFmtId="0" fontId="15" fillId="0" borderId="0" xfId="0" applyFont="1" applyProtection="1"/>
    <xf numFmtId="43" fontId="15" fillId="0" borderId="0" xfId="51"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43" fontId="28" fillId="0" borderId="0" xfId="0" applyNumberFormat="1" applyFont="1"/>
    <xf numFmtId="43" fontId="28" fillId="0" borderId="0" xfId="0" applyNumberFormat="1" applyFont="1" applyAlignment="1">
      <alignment horizontal="right"/>
    </xf>
    <xf numFmtId="166" fontId="28" fillId="0" borderId="0" xfId="28" applyNumberFormat="1" applyFont="1" applyAlignment="1">
      <alignment horizontal="left"/>
    </xf>
    <xf numFmtId="43" fontId="16" fillId="0" borderId="0" xfId="48" applyFont="1" applyFill="1" applyAlignment="1">
      <alignment vertical="center"/>
    </xf>
    <xf numFmtId="0" fontId="0" fillId="0" borderId="10"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56" applyNumberFormat="1" applyFont="1" applyFill="1" applyBorder="1" applyAlignment="1">
      <alignment horizontal="center"/>
    </xf>
    <xf numFmtId="10" fontId="6" fillId="0" borderId="0" xfId="56" applyNumberFormat="1" applyFont="1" applyFill="1" applyBorder="1" applyAlignment="1" applyProtection="1">
      <alignment horizontal="center"/>
      <protection locked="0"/>
    </xf>
    <xf numFmtId="43" fontId="28" fillId="0" borderId="0" xfId="0" applyNumberFormat="1" applyFont="1" applyFill="1" applyBorder="1" applyAlignment="1"/>
    <xf numFmtId="43" fontId="131" fillId="0" borderId="0" xfId="61" applyFill="1" applyBorder="1" applyAlignment="1" applyProtection="1">
      <alignment vertical="center"/>
      <protection locked="0"/>
    </xf>
    <xf numFmtId="165"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43" fontId="39" fillId="0" borderId="0" xfId="61"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31" fillId="0" borderId="0" xfId="58"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43" fontId="69" fillId="0" borderId="0" xfId="49" applyFont="1" applyProtection="1"/>
    <xf numFmtId="43" fontId="69" fillId="0" borderId="0" xfId="51" applyFont="1" applyProtection="1"/>
    <xf numFmtId="0" fontId="69" fillId="0" borderId="10" xfId="0" applyFont="1" applyFill="1" applyBorder="1" applyAlignment="1" applyProtection="1">
      <alignment horizontal="center"/>
    </xf>
    <xf numFmtId="0" fontId="69" fillId="0" borderId="10" xfId="0" applyFont="1" applyFill="1" applyBorder="1" applyProtection="1"/>
    <xf numFmtId="43" fontId="69" fillId="0" borderId="10" xfId="51" applyFont="1" applyBorder="1" applyProtection="1"/>
    <xf numFmtId="0" fontId="70" fillId="0" borderId="10" xfId="0" applyFont="1" applyBorder="1" applyAlignment="1" applyProtection="1">
      <alignment horizontal="left" indent="1"/>
    </xf>
    <xf numFmtId="0" fontId="71" fillId="0" borderId="10" xfId="0" applyFont="1" applyBorder="1"/>
    <xf numFmtId="0" fontId="72" fillId="19" borderId="10" xfId="0" applyFont="1" applyFill="1" applyBorder="1" applyAlignment="1" applyProtection="1">
      <alignment horizontal="center"/>
    </xf>
    <xf numFmtId="0" fontId="72" fillId="19" borderId="10" xfId="0" applyFont="1" applyFill="1" applyBorder="1" applyAlignment="1">
      <alignment horizontal="center"/>
    </xf>
    <xf numFmtId="0" fontId="21" fillId="0" borderId="0" xfId="0" applyFont="1"/>
    <xf numFmtId="3" fontId="15" fillId="20" borderId="11" xfId="0" applyNumberFormat="1" applyFont="1" applyFill="1" applyBorder="1" applyAlignment="1">
      <alignment horizontal="right"/>
    </xf>
    <xf numFmtId="3" fontId="15" fillId="20" borderId="11" xfId="28" applyNumberFormat="1" applyFont="1" applyFill="1" applyBorder="1"/>
    <xf numFmtId="9" fontId="15" fillId="20" borderId="11" xfId="56" applyFont="1" applyFill="1" applyBorder="1"/>
    <xf numFmtId="9" fontId="15" fillId="20" borderId="11" xfId="56" applyNumberFormat="1" applyFont="1" applyFill="1" applyBorder="1"/>
    <xf numFmtId="0" fontId="15" fillId="20" borderId="11" xfId="0" applyFont="1" applyFill="1" applyBorder="1"/>
    <xf numFmtId="9" fontId="15" fillId="20" borderId="11" xfId="56" applyFont="1" applyFill="1" applyBorder="1" applyAlignment="1">
      <alignment horizontal="center"/>
    </xf>
    <xf numFmtId="0" fontId="15" fillId="0" borderId="0" xfId="0" applyFont="1"/>
    <xf numFmtId="0" fontId="33" fillId="0" borderId="0" xfId="0" applyFont="1" applyAlignment="1">
      <alignment horizontal="center"/>
    </xf>
    <xf numFmtId="43" fontId="61" fillId="0" borderId="0" xfId="48" applyFont="1" applyFill="1" applyAlignment="1">
      <alignment vertical="center"/>
    </xf>
    <xf numFmtId="0" fontId="14" fillId="0" borderId="0" xfId="0" applyFont="1"/>
    <xf numFmtId="0" fontId="46" fillId="0" borderId="0" xfId="0" applyFont="1" applyFill="1"/>
    <xf numFmtId="0" fontId="79" fillId="19" borderId="12" xfId="0" applyFont="1" applyFill="1" applyBorder="1" applyAlignment="1">
      <alignment vertical="center"/>
    </xf>
    <xf numFmtId="0" fontId="77" fillId="0" borderId="0" xfId="53" applyNumberFormat="1" applyFont="1" applyFill="1" applyBorder="1" applyAlignment="1">
      <alignment horizontal="center" vertical="center" wrapText="1"/>
    </xf>
    <xf numFmtId="0" fontId="77" fillId="21" borderId="13" xfId="53"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0"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43" fontId="39" fillId="0" borderId="0" xfId="61" applyFont="1" applyFill="1" applyBorder="1" applyAlignment="1" applyProtection="1">
      <alignment horizontal="center" vertical="center"/>
      <protection locked="0"/>
    </xf>
    <xf numFmtId="15" fontId="0" fillId="0" borderId="0" xfId="0" applyNumberFormat="1"/>
    <xf numFmtId="0" fontId="0" fillId="0" borderId="10" xfId="0" quotePrefix="1" applyNumberFormat="1" applyBorder="1"/>
    <xf numFmtId="43" fontId="31" fillId="0" borderId="14" xfId="61" applyFont="1" applyBorder="1" applyAlignment="1" applyProtection="1"/>
    <xf numFmtId="43" fontId="131" fillId="0" borderId="14" xfId="61" applyFill="1" applyBorder="1" applyAlignment="1" applyProtection="1">
      <alignment vertical="center"/>
    </xf>
    <xf numFmtId="43" fontId="3" fillId="0" borderId="14" xfId="61" applyFont="1" applyFill="1" applyBorder="1" applyAlignment="1" applyProtection="1">
      <alignment vertical="center"/>
    </xf>
    <xf numFmtId="43" fontId="31" fillId="0" borderId="0" xfId="61" applyFont="1" applyBorder="1" applyAlignment="1" applyProtection="1"/>
    <xf numFmtId="43" fontId="131" fillId="0" borderId="0" xfId="61" applyFill="1" applyBorder="1" applyAlignment="1" applyProtection="1">
      <alignment vertical="center"/>
    </xf>
    <xf numFmtId="43" fontId="3" fillId="0" borderId="0" xfId="61" applyFont="1" applyFill="1" applyBorder="1" applyAlignment="1" applyProtection="1">
      <alignment vertical="center"/>
    </xf>
    <xf numFmtId="0" fontId="32" fillId="0" borderId="15" xfId="0" applyFont="1" applyBorder="1" applyAlignment="1" applyProtection="1">
      <alignment horizontal="center"/>
    </xf>
    <xf numFmtId="15" fontId="32" fillId="0" borderId="16" xfId="0" applyNumberFormat="1" applyFont="1" applyBorder="1" applyAlignment="1" applyProtection="1">
      <alignment horizontal="center"/>
    </xf>
    <xf numFmtId="0" fontId="32" fillId="0" borderId="17" xfId="0" applyFont="1" applyBorder="1" applyAlignment="1" applyProtection="1">
      <alignment horizontal="center"/>
    </xf>
    <xf numFmtId="166"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56"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18" xfId="0" applyNumberFormat="1" applyFont="1" applyFill="1" applyBorder="1" applyAlignment="1" applyProtection="1"/>
    <xf numFmtId="0" fontId="26" fillId="0" borderId="18" xfId="0" applyFont="1" applyFill="1" applyBorder="1" applyProtection="1"/>
    <xf numFmtId="0" fontId="26" fillId="0" borderId="19" xfId="0" applyFont="1" applyFill="1" applyBorder="1" applyProtection="1"/>
    <xf numFmtId="43" fontId="38" fillId="0" borderId="20" xfId="61" applyFont="1" applyBorder="1" applyAlignment="1" applyProtection="1"/>
    <xf numFmtId="43" fontId="39" fillId="0" borderId="20" xfId="61" applyFont="1" applyFill="1" applyBorder="1" applyAlignment="1" applyProtection="1">
      <alignment vertical="center"/>
    </xf>
    <xf numFmtId="43" fontId="39" fillId="0" borderId="20" xfId="61" applyFont="1" applyFill="1" applyBorder="1" applyAlignment="1" applyProtection="1">
      <alignment horizontal="center" vertical="center"/>
    </xf>
    <xf numFmtId="43" fontId="39" fillId="0" borderId="0" xfId="61" applyFont="1" applyFill="1" applyBorder="1" applyAlignment="1" applyProtection="1">
      <alignment vertical="center"/>
    </xf>
    <xf numFmtId="43" fontId="38" fillId="0" borderId="0" xfId="61" applyFont="1" applyBorder="1" applyAlignment="1" applyProtection="1"/>
    <xf numFmtId="43" fontId="40" fillId="0" borderId="0" xfId="61" applyFont="1" applyFill="1" applyBorder="1" applyAlignment="1" applyProtection="1">
      <alignment vertical="center"/>
    </xf>
    <xf numFmtId="0" fontId="14" fillId="0" borderId="0" xfId="0" applyFont="1" applyBorder="1" applyAlignment="1" applyProtection="1">
      <alignment horizontal="center"/>
    </xf>
    <xf numFmtId="0" fontId="0" fillId="0" borderId="21" xfId="0" applyBorder="1" applyAlignment="1" applyProtection="1">
      <alignment horizontal="center"/>
    </xf>
    <xf numFmtId="0" fontId="14" fillId="0" borderId="21" xfId="0" applyFont="1" applyBorder="1" applyAlignment="1" applyProtection="1">
      <alignment horizontal="center"/>
    </xf>
    <xf numFmtId="0" fontId="14" fillId="0" borderId="21" xfId="0" applyFont="1" applyBorder="1" applyAlignment="1" applyProtection="1">
      <alignment horizontal="center" wrapText="1"/>
    </xf>
    <xf numFmtId="0" fontId="14" fillId="0" borderId="22" xfId="0" applyFont="1" applyBorder="1" applyAlignment="1" applyProtection="1">
      <alignment horizontal="center"/>
    </xf>
    <xf numFmtId="1" fontId="21" fillId="20" borderId="23" xfId="0" applyNumberFormat="1" applyFont="1" applyFill="1" applyBorder="1" applyAlignment="1" applyProtection="1">
      <alignment horizontal="center"/>
    </xf>
    <xf numFmtId="1" fontId="21" fillId="20" borderId="24" xfId="0" applyNumberFormat="1" applyFont="1" applyFill="1" applyBorder="1" applyAlignment="1" applyProtection="1">
      <alignment horizontal="center"/>
    </xf>
    <xf numFmtId="0" fontId="0" fillId="0" borderId="25" xfId="0" applyBorder="1" applyProtection="1"/>
    <xf numFmtId="0" fontId="0" fillId="0" borderId="22" xfId="0" applyBorder="1" applyAlignment="1" applyProtection="1">
      <alignment horizontal="center"/>
    </xf>
    <xf numFmtId="0" fontId="32" fillId="0" borderId="21" xfId="0" applyFont="1" applyBorder="1" applyAlignment="1" applyProtection="1">
      <alignment horizontal="center"/>
    </xf>
    <xf numFmtId="0" fontId="32" fillId="0" borderId="22" xfId="0" applyFont="1" applyBorder="1" applyAlignment="1" applyProtection="1">
      <alignment horizontal="center"/>
    </xf>
    <xf numFmtId="0" fontId="0" fillId="0" borderId="0" xfId="0" applyFill="1" applyBorder="1" applyAlignment="1" applyProtection="1">
      <alignment horizontal="center" wrapText="1"/>
    </xf>
    <xf numFmtId="43" fontId="101" fillId="0" borderId="0" xfId="28" applyFont="1" applyFill="1" applyBorder="1" applyProtection="1"/>
    <xf numFmtId="43" fontId="0" fillId="0" borderId="0" xfId="0" applyNumberFormat="1" applyFill="1" applyBorder="1" applyProtection="1"/>
    <xf numFmtId="43" fontId="68" fillId="0" borderId="26" xfId="61" applyFont="1" applyFill="1" applyBorder="1" applyAlignment="1" applyProtection="1"/>
    <xf numFmtId="43" fontId="39" fillId="0" borderId="26" xfId="61" applyFont="1" applyFill="1" applyBorder="1" applyAlignment="1" applyProtection="1">
      <alignment vertical="center"/>
    </xf>
    <xf numFmtId="0" fontId="67" fillId="0" borderId="27" xfId="0" applyFont="1" applyFill="1" applyBorder="1" applyProtection="1"/>
    <xf numFmtId="0" fontId="67" fillId="0" borderId="28" xfId="0" applyFont="1" applyFill="1" applyBorder="1" applyProtection="1"/>
    <xf numFmtId="3" fontId="67" fillId="22" borderId="10" xfId="0" applyNumberFormat="1" applyFont="1" applyFill="1" applyBorder="1" applyAlignment="1" applyProtection="1">
      <alignment vertical="center"/>
      <protection locked="0"/>
    </xf>
    <xf numFmtId="3" fontId="67" fillId="22" borderId="29" xfId="0" applyNumberFormat="1" applyFont="1" applyFill="1" applyBorder="1" applyAlignment="1" applyProtection="1">
      <alignment vertical="center"/>
      <protection locked="0"/>
    </xf>
    <xf numFmtId="43" fontId="28" fillId="0" borderId="0" xfId="0" applyNumberFormat="1" applyFont="1" applyAlignment="1" applyProtection="1">
      <alignment horizontal="right"/>
    </xf>
    <xf numFmtId="166" fontId="28" fillId="0" borderId="0" xfId="28"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43" fontId="28" fillId="0" borderId="0" xfId="0" applyNumberFormat="1" applyFont="1" applyProtection="1"/>
    <xf numFmtId="43" fontId="28" fillId="0" borderId="0" xfId="0" applyNumberFormat="1" applyFont="1" applyBorder="1" applyProtection="1"/>
    <xf numFmtId="43" fontId="28" fillId="0" borderId="0" xfId="0" applyNumberFormat="1" applyFont="1" applyBorder="1" applyAlignment="1" applyProtection="1">
      <alignment horizontal="right"/>
    </xf>
    <xf numFmtId="166" fontId="28" fillId="0" borderId="0" xfId="28"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0" xfId="0" applyFont="1" applyBorder="1" applyAlignment="1" applyProtection="1">
      <alignment horizontal="center"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2"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67"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0"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0" borderId="0" xfId="0" applyFont="1" applyFill="1" applyBorder="1" applyAlignment="1" applyProtection="1">
      <alignment horizontal="left" vertical="center"/>
    </xf>
    <xf numFmtId="169" fontId="52" fillId="20" borderId="0" xfId="0" applyNumberFormat="1" applyFont="1" applyFill="1" applyBorder="1" applyAlignment="1" applyProtection="1">
      <alignment vertical="center"/>
    </xf>
    <xf numFmtId="0" fontId="53" fillId="20" borderId="0" xfId="0" applyNumberFormat="1" applyFont="1" applyFill="1" applyBorder="1" applyAlignment="1" applyProtection="1">
      <alignment horizontal="right"/>
    </xf>
    <xf numFmtId="0" fontId="63" fillId="20" borderId="0" xfId="0" applyFont="1" applyFill="1" applyBorder="1" applyAlignment="1" applyProtection="1">
      <alignment horizontal="center" vertical="center"/>
    </xf>
    <xf numFmtId="0" fontId="54" fillId="20" borderId="0" xfId="0" applyFont="1" applyFill="1" applyBorder="1" applyAlignment="1" applyProtection="1">
      <alignment horizontal="center" vertical="center"/>
    </xf>
    <xf numFmtId="168" fontId="52" fillId="20" borderId="0" xfId="56" applyNumberFormat="1" applyFont="1" applyFill="1" applyBorder="1" applyAlignment="1" applyProtection="1">
      <alignment horizontal="right"/>
    </xf>
    <xf numFmtId="9" fontId="55" fillId="20" borderId="0" xfId="0" applyNumberFormat="1" applyFont="1" applyFill="1" applyBorder="1" applyProtection="1"/>
    <xf numFmtId="0" fontId="56" fillId="20" borderId="0" xfId="0" applyFont="1" applyFill="1" applyBorder="1" applyAlignment="1" applyProtection="1">
      <alignment horizontal="center" vertical="center"/>
    </xf>
    <xf numFmtId="9" fontId="55" fillId="20"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0" xfId="0" applyNumberFormat="1" applyFont="1" applyFill="1" applyBorder="1" applyAlignment="1" applyProtection="1">
      <alignment horizontal="right"/>
    </xf>
    <xf numFmtId="0" fontId="53" fillId="0" borderId="31" xfId="0" applyNumberFormat="1" applyFont="1" applyFill="1" applyBorder="1" applyAlignment="1" applyProtection="1">
      <alignment horizontal="right"/>
    </xf>
    <xf numFmtId="0" fontId="53" fillId="0" borderId="32"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3" xfId="0" applyNumberFormat="1" applyFont="1" applyFill="1" applyBorder="1" applyAlignment="1" applyProtection="1">
      <alignment horizontal="right"/>
    </xf>
    <xf numFmtId="9" fontId="55" fillId="0" borderId="0" xfId="0" applyNumberFormat="1" applyFont="1" applyFill="1" applyBorder="1" applyProtection="1"/>
    <xf numFmtId="0" fontId="53" fillId="0" borderId="34" xfId="0" applyNumberFormat="1" applyFont="1" applyFill="1" applyBorder="1" applyAlignment="1" applyProtection="1">
      <alignment horizontal="right"/>
    </xf>
    <xf numFmtId="0" fontId="53" fillId="0" borderId="35" xfId="0" applyNumberFormat="1" applyFont="1" applyFill="1" applyBorder="1" applyAlignment="1" applyProtection="1">
      <alignment horizontal="right"/>
    </xf>
    <xf numFmtId="0" fontId="34" fillId="0" borderId="36" xfId="0" applyNumberFormat="1" applyFont="1" applyFill="1" applyBorder="1" applyAlignment="1" applyProtection="1">
      <alignment vertical="center"/>
    </xf>
    <xf numFmtId="0" fontId="34" fillId="0" borderId="37" xfId="0" applyNumberFormat="1" applyFont="1" applyFill="1" applyBorder="1" applyAlignment="1" applyProtection="1">
      <alignment vertical="center"/>
    </xf>
    <xf numFmtId="0" fontId="34" fillId="0" borderId="38"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43"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43" fontId="0" fillId="0" borderId="0" xfId="0" applyNumberFormat="1" applyAlignment="1" applyProtection="1">
      <alignment horizontal="right"/>
    </xf>
    <xf numFmtId="3" fontId="0" fillId="0" borderId="0" xfId="0" applyNumberFormat="1" applyProtection="1"/>
    <xf numFmtId="43" fontId="37" fillId="0" borderId="0" xfId="0" applyNumberFormat="1" applyFont="1" applyBorder="1" applyProtection="1"/>
    <xf numFmtId="43" fontId="37" fillId="0" borderId="0" xfId="0" applyNumberFormat="1" applyFont="1" applyProtection="1"/>
    <xf numFmtId="166" fontId="6" fillId="0" borderId="0" xfId="28" applyNumberFormat="1" applyFont="1" applyFill="1" applyBorder="1" applyAlignment="1" applyProtection="1">
      <protection locked="0"/>
    </xf>
    <xf numFmtId="166" fontId="6" fillId="0" borderId="0" xfId="28" applyNumberFormat="1" applyFont="1" applyFill="1" applyBorder="1" applyProtection="1">
      <protection locked="0"/>
    </xf>
    <xf numFmtId="0" fontId="0" fillId="0" borderId="0" xfId="0" applyBorder="1" applyAlignment="1">
      <alignment horizontal="center"/>
    </xf>
    <xf numFmtId="0" fontId="15" fillId="20" borderId="0" xfId="0" applyFont="1" applyFill="1"/>
    <xf numFmtId="165" fontId="15" fillId="20" borderId="0" xfId="0" applyNumberFormat="1" applyFont="1" applyFill="1"/>
    <xf numFmtId="166" fontId="15" fillId="20" borderId="0" xfId="0" applyNumberFormat="1" applyFont="1" applyFill="1"/>
    <xf numFmtId="3" fontId="15" fillId="20" borderId="0" xfId="0" applyNumberFormat="1" applyFont="1" applyFill="1" applyProtection="1"/>
    <xf numFmtId="165" fontId="15" fillId="20"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0" borderId="0" xfId="0" applyFill="1" applyBorder="1" applyAlignment="1">
      <alignment horizontal="center"/>
    </xf>
    <xf numFmtId="0" fontId="28" fillId="0" borderId="39" xfId="0" applyFont="1" applyFill="1" applyBorder="1" applyAlignment="1" applyProtection="1">
      <alignment horizontal="center" wrapText="1"/>
    </xf>
    <xf numFmtId="0" fontId="28" fillId="0" borderId="40" xfId="0" applyFont="1" applyFill="1" applyBorder="1" applyAlignment="1" applyProtection="1">
      <alignment horizontal="center" wrapText="1"/>
    </xf>
    <xf numFmtId="0" fontId="0" fillId="0" borderId="40" xfId="0" applyBorder="1" applyProtection="1"/>
    <xf numFmtId="43" fontId="17" fillId="0" borderId="0" xfId="47" applyFont="1" applyFill="1" applyAlignment="1" applyProtection="1">
      <alignment horizontal="center" vertical="center"/>
    </xf>
    <xf numFmtId="43" fontId="16" fillId="0" borderId="0" xfId="47" applyFont="1" applyFill="1" applyAlignment="1" applyProtection="1">
      <alignment vertical="center"/>
    </xf>
    <xf numFmtId="0" fontId="84" fillId="0" borderId="0" xfId="0" applyFont="1"/>
    <xf numFmtId="43" fontId="14" fillId="0" borderId="0" xfId="0" applyNumberFormat="1" applyFont="1" applyAlignment="1" applyProtection="1">
      <alignment horizontal="center"/>
    </xf>
    <xf numFmtId="43" fontId="20" fillId="0" borderId="41" xfId="58" applyFont="1" applyBorder="1" applyAlignment="1" applyProtection="1">
      <alignment horizontal="right"/>
    </xf>
    <xf numFmtId="0" fontId="12" fillId="0" borderId="0" xfId="0" applyFont="1"/>
    <xf numFmtId="0" fontId="0" fillId="20" borderId="0" xfId="0" applyFill="1" applyProtection="1"/>
    <xf numFmtId="0" fontId="0" fillId="20" borderId="42" xfId="0" applyFill="1" applyBorder="1" applyProtection="1"/>
    <xf numFmtId="43" fontId="90" fillId="0" borderId="0" xfId="0" applyNumberFormat="1" applyFont="1"/>
    <xf numFmtId="0" fontId="90" fillId="0" borderId="0" xfId="0" applyFont="1"/>
    <xf numFmtId="43" fontId="0" fillId="0" borderId="0" xfId="0" quotePrefix="1" applyNumberFormat="1"/>
    <xf numFmtId="43" fontId="0" fillId="0" borderId="0" xfId="0" applyNumberFormat="1"/>
    <xf numFmtId="0" fontId="34" fillId="0" borderId="43" xfId="0" applyNumberFormat="1" applyFont="1" applyFill="1" applyBorder="1" applyAlignment="1" applyProtection="1">
      <alignment vertical="center"/>
    </xf>
    <xf numFmtId="43" fontId="131" fillId="0" borderId="0" xfId="52" applyFill="1" applyBorder="1" applyAlignment="1" applyProtection="1">
      <alignment horizontal="center"/>
    </xf>
    <xf numFmtId="0" fontId="34" fillId="0" borderId="0" xfId="0" quotePrefix="1" applyFont="1" applyProtection="1"/>
    <xf numFmtId="0" fontId="63" fillId="0" borderId="27" xfId="0" applyFont="1" applyBorder="1" applyAlignment="1">
      <alignment horizontal="justify" vertical="center" wrapText="1"/>
    </xf>
    <xf numFmtId="0" fontId="63" fillId="0" borderId="44" xfId="0" applyFont="1" applyBorder="1" applyAlignment="1">
      <alignment horizontal="justify" vertical="center" wrapText="1"/>
    </xf>
    <xf numFmtId="0" fontId="63" fillId="0" borderId="45" xfId="0" applyFont="1" applyBorder="1" applyAlignment="1">
      <alignment horizontal="justify" vertical="center" wrapText="1"/>
    </xf>
    <xf numFmtId="0" fontId="89" fillId="0" borderId="44" xfId="0" applyFont="1" applyBorder="1" applyAlignment="1">
      <alignment horizontal="justify" vertical="center" wrapText="1"/>
    </xf>
    <xf numFmtId="43" fontId="92" fillId="0" borderId="26" xfId="61" applyFont="1" applyFill="1" applyBorder="1" applyAlignment="1" applyProtection="1"/>
    <xf numFmtId="43" fontId="9" fillId="0" borderId="26" xfId="61" applyFont="1" applyFill="1" applyBorder="1" applyAlignment="1" applyProtection="1">
      <alignment vertical="center"/>
    </xf>
    <xf numFmtId="3" fontId="67" fillId="23" borderId="10" xfId="0" applyNumberFormat="1" applyFont="1" applyFill="1" applyBorder="1" applyAlignment="1" applyProtection="1">
      <alignment vertical="center"/>
      <protection locked="0"/>
    </xf>
    <xf numFmtId="0" fontId="88" fillId="0" borderId="27" xfId="0" applyFont="1" applyBorder="1" applyAlignment="1">
      <alignment vertical="center" wrapText="1"/>
    </xf>
    <xf numFmtId="0" fontId="88" fillId="0" borderId="44" xfId="0" applyFont="1" applyBorder="1" applyAlignment="1">
      <alignment vertical="center" wrapText="1"/>
    </xf>
    <xf numFmtId="0" fontId="2" fillId="0" borderId="46" xfId="0" applyFont="1" applyFill="1" applyBorder="1" applyAlignment="1" applyProtection="1">
      <alignment horizontal="center"/>
    </xf>
    <xf numFmtId="0" fontId="67" fillId="0" borderId="10" xfId="0" applyFont="1" applyFill="1" applyBorder="1" applyAlignment="1" applyProtection="1">
      <alignment horizontal="center"/>
    </xf>
    <xf numFmtId="0" fontId="1" fillId="0" borderId="0" xfId="0" applyFont="1"/>
    <xf numFmtId="0" fontId="95" fillId="0" borderId="0" xfId="0" applyFont="1"/>
    <xf numFmtId="0" fontId="63" fillId="22" borderId="27" xfId="0" applyFont="1" applyFill="1" applyBorder="1" applyAlignment="1">
      <alignment horizontal="justify" vertical="center" wrapText="1"/>
    </xf>
    <xf numFmtId="0" fontId="89" fillId="22" borderId="44" xfId="0" applyFont="1" applyFill="1" applyBorder="1" applyAlignment="1">
      <alignment horizontal="justify" vertical="center" wrapText="1"/>
    </xf>
    <xf numFmtId="0" fontId="89" fillId="22" borderId="45" xfId="0" applyFont="1" applyFill="1" applyBorder="1" applyAlignment="1">
      <alignment horizontal="justify" vertical="center" wrapText="1"/>
    </xf>
    <xf numFmtId="0" fontId="63" fillId="0" borderId="27" xfId="0" applyFont="1" applyBorder="1" applyAlignment="1" applyProtection="1">
      <alignment horizontal="justify" vertical="center" wrapText="1"/>
      <protection locked="0"/>
    </xf>
    <xf numFmtId="0" fontId="89" fillId="0" borderId="44" xfId="0" applyFont="1" applyBorder="1" applyAlignment="1" applyProtection="1">
      <alignment horizontal="justify" vertical="center" wrapText="1"/>
      <protection locked="0"/>
    </xf>
    <xf numFmtId="0" fontId="89" fillId="0" borderId="45" xfId="0" applyFont="1" applyBorder="1" applyAlignment="1" applyProtection="1">
      <alignment horizontal="justify" vertical="center" wrapText="1"/>
      <protection locked="0"/>
    </xf>
    <xf numFmtId="43" fontId="97" fillId="0" borderId="26" xfId="61" applyFont="1" applyFill="1" applyBorder="1" applyAlignment="1" applyProtection="1">
      <alignment vertical="center"/>
    </xf>
    <xf numFmtId="0" fontId="96" fillId="0" borderId="0" xfId="0" applyFont="1" applyFill="1"/>
    <xf numFmtId="15" fontId="6" fillId="0" borderId="0" xfId="0" applyNumberFormat="1" applyFont="1" applyFill="1" applyBorder="1" applyAlignment="1" applyProtection="1">
      <alignment horizontal="centerContinuous"/>
    </xf>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24" borderId="10" xfId="0" applyNumberFormat="1" applyFont="1" applyFill="1" applyBorder="1" applyAlignment="1" applyProtection="1">
      <alignment horizontal="center"/>
      <protection locked="0"/>
    </xf>
    <xf numFmtId="1" fontId="21" fillId="24" borderId="47" xfId="0" applyNumberFormat="1" applyFont="1" applyFill="1" applyBorder="1" applyAlignment="1" applyProtection="1">
      <alignment horizontal="center"/>
      <protection locked="0"/>
    </xf>
    <xf numFmtId="1" fontId="0" fillId="24" borderId="10" xfId="0" applyNumberFormat="1" applyFill="1" applyBorder="1" applyAlignment="1" applyProtection="1">
      <alignment horizontal="center"/>
      <protection locked="0"/>
    </xf>
    <xf numFmtId="166" fontId="0" fillId="0" borderId="0" xfId="0" applyNumberFormat="1" applyProtection="1"/>
    <xf numFmtId="0" fontId="63" fillId="0" borderId="27" xfId="0" applyFont="1" applyBorder="1" applyAlignment="1" applyProtection="1">
      <alignment horizontal="left" vertical="center" wrapText="1"/>
      <protection locked="0"/>
    </xf>
    <xf numFmtId="0" fontId="63" fillId="0" borderId="44" xfId="0" applyFont="1" applyBorder="1" applyAlignment="1" applyProtection="1">
      <alignment horizontal="left" vertical="center" wrapText="1"/>
      <protection locked="0"/>
    </xf>
    <xf numFmtId="0" fontId="63" fillId="0" borderId="45" xfId="0" applyFont="1" applyBorder="1" applyAlignment="1" applyProtection="1">
      <alignment horizontal="left" vertical="center" wrapText="1"/>
      <protection locked="0"/>
    </xf>
    <xf numFmtId="43" fontId="20" fillId="0" borderId="0" xfId="50" applyFont="1" applyFill="1" applyAlignment="1" applyProtection="1">
      <alignment horizontal="right" vertical="center"/>
    </xf>
    <xf numFmtId="0" fontId="103" fillId="0" borderId="0" xfId="0" applyFont="1" applyFill="1" applyBorder="1" applyAlignment="1" applyProtection="1">
      <alignment horizontal="right"/>
    </xf>
    <xf numFmtId="0" fontId="63" fillId="22" borderId="27" xfId="0" applyFont="1" applyFill="1" applyBorder="1" applyAlignment="1">
      <alignment horizontal="left" vertical="center" wrapText="1"/>
    </xf>
    <xf numFmtId="0" fontId="63" fillId="22" borderId="44" xfId="0" applyFont="1" applyFill="1" applyBorder="1" applyAlignment="1">
      <alignment horizontal="left" vertical="center" wrapText="1"/>
    </xf>
    <xf numFmtId="0" fontId="63" fillId="22" borderId="45" xfId="0" applyFont="1" applyFill="1" applyBorder="1" applyAlignment="1">
      <alignment horizontal="left" vertical="center" wrapText="1"/>
    </xf>
    <xf numFmtId="43" fontId="104" fillId="0" borderId="14" xfId="61" applyFont="1" applyFill="1" applyBorder="1" applyAlignment="1" applyProtection="1">
      <alignment horizontal="left" vertical="center"/>
    </xf>
    <xf numFmtId="0" fontId="105" fillId="0" borderId="0" xfId="0" applyFont="1" applyFill="1" applyBorder="1" applyProtection="1"/>
    <xf numFmtId="0" fontId="103" fillId="0" borderId="0" xfId="0" applyFont="1" applyBorder="1" applyProtection="1"/>
    <xf numFmtId="3" fontId="6" fillId="0" borderId="0" xfId="0" applyNumberFormat="1" applyFont="1" applyAlignment="1" applyProtection="1">
      <alignment horizontal="right"/>
    </xf>
    <xf numFmtId="15" fontId="102" fillId="0" borderId="0" xfId="0" applyNumberFormat="1" applyFont="1" applyFill="1" applyBorder="1" applyAlignment="1" applyProtection="1">
      <alignment horizontal="left"/>
    </xf>
    <xf numFmtId="3" fontId="2" fillId="22" borderId="10" xfId="0" applyNumberFormat="1" applyFont="1" applyFill="1" applyBorder="1" applyAlignment="1" applyProtection="1">
      <alignment vertical="center"/>
      <protection locked="0"/>
    </xf>
    <xf numFmtId="3" fontId="2" fillId="23" borderId="10" xfId="0" applyNumberFormat="1" applyFont="1" applyFill="1" applyBorder="1" applyAlignment="1" applyProtection="1">
      <alignment vertical="center"/>
      <protection locked="0"/>
    </xf>
    <xf numFmtId="0" fontId="0" fillId="0" borderId="0" xfId="0" quotePrefix="1" applyProtection="1"/>
    <xf numFmtId="15" fontId="32" fillId="0" borderId="48"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77" fillId="0" borderId="49" xfId="0" applyFont="1" applyFill="1" applyBorder="1" applyAlignment="1" applyProtection="1">
      <alignment horizontal="center" vertical="center"/>
    </xf>
    <xf numFmtId="0" fontId="114" fillId="0" borderId="0" xfId="0" applyFont="1" applyBorder="1" applyAlignment="1" applyProtection="1">
      <alignment horizontal="right"/>
    </xf>
    <xf numFmtId="0" fontId="114" fillId="0" borderId="0" xfId="0" applyFont="1" applyAlignment="1" applyProtection="1">
      <alignment horizontal="right"/>
    </xf>
    <xf numFmtId="0" fontId="114" fillId="0" borderId="50" xfId="0" applyFont="1" applyBorder="1" applyAlignment="1" applyProtection="1">
      <alignment horizontal="right"/>
    </xf>
    <xf numFmtId="43" fontId="113" fillId="0" borderId="0" xfId="39" applyFont="1" applyFill="1" applyAlignment="1" applyProtection="1">
      <alignment vertical="center"/>
    </xf>
    <xf numFmtId="0" fontId="114" fillId="0" borderId="0" xfId="0" applyFont="1" applyProtection="1"/>
    <xf numFmtId="0" fontId="114" fillId="0" borderId="0" xfId="0" applyFont="1" applyBorder="1" applyProtection="1"/>
    <xf numFmtId="15" fontId="1" fillId="0" borderId="10" xfId="58"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0" fontId="0" fillId="0" borderId="0" xfId="0" applyFill="1" applyBorder="1" applyProtection="1">
      <protection locked="0"/>
    </xf>
    <xf numFmtId="0" fontId="100" fillId="0" borderId="0" xfId="0" applyFont="1" applyFill="1" applyBorder="1" applyAlignment="1" applyProtection="1">
      <alignment horizontal="center" vertical="center"/>
    </xf>
    <xf numFmtId="0" fontId="6" fillId="0" borderId="51" xfId="0" applyFont="1" applyBorder="1" applyAlignment="1" applyProtection="1"/>
    <xf numFmtId="0" fontId="6" fillId="0" borderId="52" xfId="0" applyFont="1" applyBorder="1" applyAlignment="1" applyProtection="1"/>
    <xf numFmtId="0" fontId="25" fillId="0" borderId="53" xfId="0" applyFont="1" applyBorder="1" applyAlignment="1" applyProtection="1">
      <alignment vertical="distributed"/>
    </xf>
    <xf numFmtId="15" fontId="27" fillId="0" borderId="54"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09" fillId="0" borderId="0" xfId="0" applyFont="1" applyFill="1" applyBorder="1" applyAlignment="1" applyProtection="1">
      <alignment horizontal="left"/>
      <protection locked="0"/>
    </xf>
    <xf numFmtId="0" fontId="107" fillId="0" borderId="0" xfId="0" applyFont="1" applyFill="1" applyBorder="1" applyAlignment="1" applyProtection="1">
      <alignment horizontal="center" vertical="center"/>
    </xf>
    <xf numFmtId="0" fontId="26" fillId="0" borderId="55" xfId="0" applyFont="1" applyFill="1" applyBorder="1" applyAlignment="1" applyProtection="1"/>
    <xf numFmtId="15" fontId="26" fillId="0" borderId="10" xfId="0" applyNumberFormat="1" applyFont="1" applyFill="1" applyBorder="1" applyAlignment="1" applyProtection="1">
      <alignment horizontal="center"/>
    </xf>
    <xf numFmtId="15" fontId="26" fillId="0" borderId="56" xfId="0" applyNumberFormat="1" applyFont="1" applyFill="1" applyBorder="1" applyAlignment="1" applyProtection="1">
      <alignment horizontal="center"/>
    </xf>
    <xf numFmtId="0" fontId="32" fillId="25" borderId="57" xfId="0" applyFont="1" applyFill="1" applyBorder="1" applyAlignment="1" applyProtection="1">
      <alignment horizontal="centerContinuous"/>
    </xf>
    <xf numFmtId="15" fontId="110" fillId="0" borderId="40" xfId="0" applyNumberFormat="1" applyFont="1" applyFill="1" applyBorder="1" applyAlignment="1" applyProtection="1">
      <alignment horizontal="center" wrapText="1"/>
    </xf>
    <xf numFmtId="15" fontId="110" fillId="0" borderId="58" xfId="0" applyNumberFormat="1" applyFont="1" applyFill="1" applyBorder="1" applyAlignment="1" applyProtection="1">
      <alignment horizontal="center" wrapText="1"/>
    </xf>
    <xf numFmtId="0" fontId="37" fillId="0" borderId="55" xfId="0" applyFont="1" applyFill="1" applyBorder="1" applyAlignment="1" applyProtection="1">
      <alignment horizontal="center"/>
    </xf>
    <xf numFmtId="0" fontId="37" fillId="0" borderId="59" xfId="0" applyFont="1" applyFill="1" applyBorder="1" applyAlignment="1" applyProtection="1">
      <alignment horizontal="center"/>
    </xf>
    <xf numFmtId="0" fontId="32" fillId="25" borderId="60"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2" fillId="0" borderId="0" xfId="0" applyFont="1" applyFill="1" applyBorder="1" applyAlignment="1" applyProtection="1">
      <alignment horizontal="center"/>
    </xf>
    <xf numFmtId="0" fontId="108" fillId="0" borderId="0" xfId="0" applyFont="1" applyFill="1" applyBorder="1" applyAlignment="1" applyProtection="1">
      <alignment horizontal="center" vertical="center"/>
    </xf>
    <xf numFmtId="1" fontId="0" fillId="0" borderId="23" xfId="0" applyNumberFormat="1" applyFill="1" applyBorder="1" applyAlignment="1" applyProtection="1">
      <alignment horizontal="center"/>
    </xf>
    <xf numFmtId="14" fontId="0" fillId="0" borderId="10" xfId="0" applyNumberFormat="1" applyBorder="1" applyAlignment="1" applyProtection="1">
      <alignment horizontal="center"/>
      <protection locked="0"/>
    </xf>
    <xf numFmtId="0" fontId="0" fillId="0" borderId="61" xfId="0" applyBorder="1" applyAlignment="1" applyProtection="1">
      <alignment horizontal="center"/>
    </xf>
    <xf numFmtId="0" fontId="0" fillId="0" borderId="40" xfId="0" applyFill="1" applyBorder="1" applyAlignment="1" applyProtection="1">
      <alignment horizontal="center"/>
    </xf>
    <xf numFmtId="0" fontId="1" fillId="0" borderId="39" xfId="0" applyFont="1" applyFill="1" applyBorder="1" applyAlignment="1" applyProtection="1">
      <alignment horizontal="center" wrapText="1"/>
    </xf>
    <xf numFmtId="0" fontId="0" fillId="0" borderId="39" xfId="0" applyBorder="1" applyAlignment="1">
      <alignment horizontal="center" wrapText="1"/>
    </xf>
    <xf numFmtId="0" fontId="28" fillId="0" borderId="39" xfId="0" applyFont="1" applyBorder="1" applyAlignment="1">
      <alignment horizontal="center" wrapText="1"/>
    </xf>
    <xf numFmtId="0" fontId="1" fillId="0" borderId="58" xfId="0" applyFont="1" applyFill="1" applyBorder="1" applyAlignment="1" applyProtection="1">
      <alignment horizontal="center" wrapText="1"/>
    </xf>
    <xf numFmtId="3" fontId="67" fillId="23" borderId="29" xfId="0" applyNumberFormat="1" applyFont="1" applyFill="1" applyBorder="1" applyAlignment="1" applyProtection="1">
      <alignment vertical="center"/>
      <protection locked="0"/>
    </xf>
    <xf numFmtId="3" fontId="67" fillId="23" borderId="10" xfId="0" applyNumberFormat="1" applyFont="1" applyFill="1" applyBorder="1" applyAlignment="1" applyProtection="1">
      <alignment horizontal="right" vertical="center"/>
      <protection locked="0"/>
    </xf>
    <xf numFmtId="3" fontId="2" fillId="23" borderId="10" xfId="0" applyNumberFormat="1" applyFont="1" applyFill="1" applyBorder="1" applyAlignment="1" applyProtection="1">
      <alignment horizontal="right" vertical="center"/>
      <protection locked="0"/>
    </xf>
    <xf numFmtId="0" fontId="77" fillId="0" borderId="62" xfId="0" applyFont="1" applyFill="1" applyBorder="1" applyAlignment="1" applyProtection="1">
      <alignment horizontal="center" vertical="center"/>
    </xf>
    <xf numFmtId="43" fontId="115" fillId="0" borderId="20" xfId="61" applyFont="1" applyFill="1" applyBorder="1" applyAlignment="1" applyProtection="1">
      <alignment vertical="center"/>
    </xf>
    <xf numFmtId="0" fontId="24" fillId="0" borderId="0" xfId="0" applyFont="1" applyProtection="1"/>
    <xf numFmtId="43" fontId="110" fillId="0" borderId="0" xfId="0" applyNumberFormat="1" applyFont="1" applyBorder="1" applyAlignment="1" applyProtection="1">
      <alignment vertical="center" wrapText="1"/>
    </xf>
    <xf numFmtId="0" fontId="110" fillId="0" borderId="0" xfId="0" applyFont="1" applyFill="1" applyBorder="1" applyAlignment="1" applyProtection="1">
      <alignment wrapText="1"/>
    </xf>
    <xf numFmtId="43" fontId="20" fillId="0" borderId="41" xfId="58" applyFont="1" applyFill="1" applyBorder="1" applyAlignment="1" applyProtection="1">
      <alignment horizontal="right"/>
    </xf>
    <xf numFmtId="0" fontId="28" fillId="0" borderId="63" xfId="0" applyFont="1" applyFill="1" applyBorder="1" applyAlignment="1" applyProtection="1">
      <alignment wrapText="1"/>
    </xf>
    <xf numFmtId="0" fontId="34" fillId="0" borderId="64" xfId="0" applyFont="1" applyFill="1" applyBorder="1" applyAlignment="1" applyProtection="1">
      <alignment horizontal="center" wrapText="1"/>
    </xf>
    <xf numFmtId="0" fontId="21" fillId="20" borderId="27" xfId="0" applyFont="1" applyFill="1" applyBorder="1" applyAlignment="1" applyProtection="1"/>
    <xf numFmtId="0" fontId="21" fillId="20" borderId="65" xfId="0" applyFont="1" applyFill="1" applyBorder="1" applyAlignment="1" applyProtection="1"/>
    <xf numFmtId="0" fontId="28" fillId="0" borderId="0" xfId="0" applyFont="1" applyFill="1" applyBorder="1" applyAlignment="1" applyProtection="1">
      <alignment wrapText="1"/>
    </xf>
    <xf numFmtId="9" fontId="112" fillId="26" borderId="10" xfId="56" applyFont="1" applyFill="1" applyBorder="1" applyAlignment="1" applyProtection="1">
      <alignment horizontal="center" vertical="center" wrapText="1"/>
    </xf>
    <xf numFmtId="43" fontId="28" fillId="0" borderId="0" xfId="0" applyNumberFormat="1" applyFont="1" applyAlignment="1" applyProtection="1"/>
    <xf numFmtId="15" fontId="28" fillId="0" borderId="0" xfId="0" applyNumberFormat="1" applyFont="1"/>
    <xf numFmtId="0" fontId="0" fillId="0" borderId="26" xfId="0" applyFill="1" applyBorder="1" applyProtection="1"/>
    <xf numFmtId="43" fontId="116" fillId="0" borderId="26" xfId="61" applyFont="1" applyFill="1" applyBorder="1" applyAlignment="1" applyProtection="1">
      <alignment vertical="center"/>
    </xf>
    <xf numFmtId="0" fontId="0" fillId="0" borderId="26" xfId="0" applyBorder="1" applyProtection="1"/>
    <xf numFmtId="0" fontId="0" fillId="0" borderId="26" xfId="0" applyBorder="1"/>
    <xf numFmtId="9" fontId="15" fillId="0" borderId="0" xfId="56" applyFont="1" applyProtection="1"/>
    <xf numFmtId="14" fontId="24" fillId="24" borderId="41" xfId="58" applyNumberFormat="1" applyFont="1" applyFill="1" applyBorder="1" applyAlignment="1" applyProtection="1">
      <alignment horizontal="center" vertical="center"/>
    </xf>
    <xf numFmtId="43" fontId="24" fillId="24" borderId="41" xfId="58" applyFont="1" applyFill="1" applyBorder="1" applyAlignment="1" applyProtection="1">
      <alignment horizontal="center" vertical="center"/>
    </xf>
    <xf numFmtId="15" fontId="24" fillId="24" borderId="41" xfId="58" applyNumberFormat="1" applyFont="1" applyFill="1" applyBorder="1" applyAlignment="1" applyProtection="1">
      <alignment horizontal="center" vertical="center"/>
    </xf>
    <xf numFmtId="172" fontId="24" fillId="24" borderId="41" xfId="58" applyNumberFormat="1" applyFont="1" applyFill="1" applyBorder="1" applyAlignment="1" applyProtection="1">
      <alignment horizontal="center"/>
    </xf>
    <xf numFmtId="3" fontId="24" fillId="24" borderId="41" xfId="58" applyNumberFormat="1" applyFont="1" applyFill="1" applyBorder="1" applyAlignment="1" applyProtection="1">
      <alignment horizontal="center"/>
    </xf>
    <xf numFmtId="43" fontId="24" fillId="24" borderId="41" xfId="58" applyFont="1" applyFill="1" applyBorder="1" applyAlignment="1" applyProtection="1">
      <alignment horizontal="center"/>
    </xf>
    <xf numFmtId="15" fontId="24" fillId="24" borderId="41" xfId="58" applyNumberFormat="1" applyFont="1" applyFill="1" applyBorder="1" applyAlignment="1" applyProtection="1">
      <alignment horizontal="center"/>
    </xf>
    <xf numFmtId="43" fontId="90" fillId="0" borderId="0" xfId="0" applyNumberFormat="1" applyFont="1" applyAlignment="1"/>
    <xf numFmtId="0" fontId="34" fillId="0" borderId="39" xfId="0" applyFont="1" applyFill="1" applyBorder="1" applyAlignment="1" applyProtection="1">
      <alignment horizontal="center" wrapText="1"/>
    </xf>
    <xf numFmtId="0" fontId="67" fillId="0" borderId="66" xfId="0" applyFont="1" applyFill="1" applyBorder="1" applyProtection="1"/>
    <xf numFmtId="0" fontId="30" fillId="22" borderId="0" xfId="0" applyFont="1" applyFill="1" applyBorder="1" applyAlignment="1" applyProtection="1">
      <alignment horizontal="left"/>
      <protection locked="0"/>
    </xf>
    <xf numFmtId="0" fontId="34" fillId="22" borderId="0" xfId="0" applyFont="1" applyFill="1" applyBorder="1" applyAlignment="1" applyProtection="1">
      <alignment horizontal="left"/>
      <protection locked="0"/>
    </xf>
    <xf numFmtId="0" fontId="34" fillId="22" borderId="0" xfId="0" applyFont="1" applyFill="1" applyAlignment="1" applyProtection="1">
      <alignment horizontal="left"/>
      <protection locked="0"/>
    </xf>
    <xf numFmtId="49" fontId="0" fillId="0" borderId="0" xfId="0" applyNumberFormat="1" applyProtection="1"/>
    <xf numFmtId="0" fontId="0" fillId="24" borderId="47" xfId="0" applyNumberFormat="1" applyFill="1" applyBorder="1" applyAlignment="1" applyProtection="1">
      <alignment horizontal="center"/>
      <protection locked="0"/>
    </xf>
    <xf numFmtId="0" fontId="0" fillId="0" borderId="24" xfId="0" applyNumberFormat="1" applyFill="1" applyBorder="1" applyAlignment="1" applyProtection="1">
      <alignment horizontal="center"/>
    </xf>
    <xf numFmtId="0" fontId="0" fillId="24" borderId="24" xfId="0" applyNumberFormat="1" applyFill="1" applyBorder="1" applyAlignment="1" applyProtection="1">
      <alignment horizontal="center"/>
      <protection locked="0"/>
    </xf>
    <xf numFmtId="3" fontId="0" fillId="24" borderId="10" xfId="0" applyNumberFormat="1" applyFill="1" applyBorder="1" applyAlignment="1" applyProtection="1">
      <alignment horizontal="right" wrapText="1"/>
      <protection locked="0"/>
    </xf>
    <xf numFmtId="3" fontId="0" fillId="0" borderId="10" xfId="0" applyNumberFormat="1" applyBorder="1" applyAlignment="1" applyProtection="1">
      <alignment horizontal="right" wrapText="1"/>
    </xf>
    <xf numFmtId="171" fontId="21" fillId="20" borderId="0" xfId="0" applyNumberFormat="1" applyFont="1" applyFill="1"/>
    <xf numFmtId="4" fontId="0" fillId="0" borderId="0" xfId="0" applyNumberFormat="1" applyProtection="1"/>
    <xf numFmtId="1" fontId="0" fillId="25" borderId="10" xfId="0" applyNumberFormat="1" applyFill="1" applyBorder="1" applyAlignment="1" applyProtection="1">
      <alignment horizontal="center"/>
      <protection locked="0"/>
    </xf>
    <xf numFmtId="1" fontId="0" fillId="25" borderId="56" xfId="0" applyNumberFormat="1" applyFill="1" applyBorder="1" applyAlignment="1" applyProtection="1">
      <alignment horizontal="center"/>
      <protection locked="0"/>
    </xf>
    <xf numFmtId="1" fontId="0" fillId="25" borderId="67" xfId="0" applyNumberFormat="1" applyFill="1" applyBorder="1" applyAlignment="1" applyProtection="1">
      <alignment horizontal="center"/>
      <protection locked="0"/>
    </xf>
    <xf numFmtId="1" fontId="0" fillId="25" borderId="68" xfId="0" applyNumberFormat="1" applyFill="1" applyBorder="1" applyAlignment="1" applyProtection="1">
      <alignment horizontal="center"/>
      <protection locked="0"/>
    </xf>
    <xf numFmtId="165" fontId="32" fillId="19" borderId="69" xfId="0" applyNumberFormat="1" applyFont="1" applyFill="1" applyBorder="1" applyAlignment="1" applyProtection="1">
      <alignment horizontal="center"/>
      <protection locked="0"/>
    </xf>
    <xf numFmtId="165" fontId="32" fillId="19" borderId="70" xfId="0" applyNumberFormat="1" applyFont="1" applyFill="1" applyBorder="1" applyAlignment="1" applyProtection="1">
      <alignment horizontal="center"/>
      <protection locked="0"/>
    </xf>
    <xf numFmtId="165" fontId="32" fillId="19" borderId="71" xfId="0" applyNumberFormat="1" applyFont="1" applyFill="1" applyBorder="1" applyAlignment="1" applyProtection="1">
      <alignment horizontal="center"/>
      <protection locked="0"/>
    </xf>
    <xf numFmtId="165" fontId="32" fillId="19" borderId="72" xfId="0" applyNumberFormat="1" applyFont="1" applyFill="1" applyBorder="1" applyAlignment="1" applyProtection="1">
      <alignment horizontal="center"/>
      <protection locked="0"/>
    </xf>
    <xf numFmtId="165" fontId="32" fillId="19" borderId="73" xfId="0" applyNumberFormat="1" applyFont="1" applyFill="1" applyBorder="1" applyAlignment="1" applyProtection="1">
      <alignment horizontal="center"/>
      <protection locked="0"/>
    </xf>
    <xf numFmtId="0" fontId="0" fillId="0" borderId="74" xfId="0" applyFill="1" applyBorder="1" applyAlignment="1" applyProtection="1">
      <alignment horizontal="center"/>
    </xf>
    <xf numFmtId="0" fontId="0" fillId="0" borderId="0" xfId="0" applyBorder="1" applyAlignment="1">
      <alignment horizontal="left" wrapText="1"/>
    </xf>
    <xf numFmtId="43" fontId="35" fillId="0" borderId="0" xfId="0" applyNumberFormat="1" applyFont="1"/>
    <xf numFmtId="0" fontId="0" fillId="0" borderId="0" xfId="0" applyBorder="1" applyAlignment="1">
      <alignment horizontal="left"/>
    </xf>
    <xf numFmtId="43" fontId="1" fillId="0" borderId="41" xfId="58" applyFont="1" applyBorder="1" applyAlignment="1" applyProtection="1">
      <alignment horizontal="right"/>
    </xf>
    <xf numFmtId="43" fontId="124" fillId="0" borderId="0" xfId="51" applyFont="1" applyFill="1" applyBorder="1" applyProtection="1"/>
    <xf numFmtId="3" fontId="28" fillId="25" borderId="69" xfId="0" applyNumberFormat="1" applyFont="1" applyFill="1" applyBorder="1" applyAlignment="1" applyProtection="1">
      <protection locked="0"/>
    </xf>
    <xf numFmtId="3" fontId="28" fillId="25" borderId="75" xfId="0" applyNumberFormat="1" applyFont="1" applyFill="1" applyBorder="1" applyAlignment="1" applyProtection="1">
      <protection locked="0"/>
    </xf>
    <xf numFmtId="3" fontId="28" fillId="0" borderId="10" xfId="0" applyNumberFormat="1" applyFont="1" applyFill="1" applyBorder="1" applyAlignment="1" applyProtection="1"/>
    <xf numFmtId="3" fontId="28" fillId="0" borderId="67" xfId="0" applyNumberFormat="1" applyFont="1" applyFill="1" applyBorder="1" applyAlignment="1" applyProtection="1"/>
    <xf numFmtId="3" fontId="21" fillId="25" borderId="10" xfId="28" applyNumberFormat="1" applyFont="1" applyFill="1" applyBorder="1" applyAlignment="1" applyProtection="1">
      <protection locked="0"/>
    </xf>
    <xf numFmtId="3" fontId="21" fillId="25" borderId="10" xfId="28" applyNumberFormat="1" applyFont="1" applyFill="1" applyBorder="1" applyProtection="1">
      <protection locked="0"/>
    </xf>
    <xf numFmtId="3" fontId="6" fillId="0" borderId="76" xfId="28" applyNumberFormat="1" applyFont="1" applyFill="1" applyBorder="1" applyAlignment="1" applyProtection="1"/>
    <xf numFmtId="3" fontId="6" fillId="0" borderId="77" xfId="28" applyNumberFormat="1" applyFont="1" applyFill="1" applyBorder="1" applyAlignment="1" applyProtection="1"/>
    <xf numFmtId="165" fontId="14" fillId="19" borderId="78" xfId="0" applyNumberFormat="1" applyFont="1" applyFill="1" applyBorder="1" applyAlignment="1" applyProtection="1">
      <alignment horizontal="center"/>
      <protection locked="0"/>
    </xf>
    <xf numFmtId="165" fontId="14" fillId="19" borderId="79" xfId="0" applyNumberFormat="1" applyFont="1" applyFill="1" applyBorder="1" applyAlignment="1" applyProtection="1">
      <alignment horizontal="center"/>
      <protection locked="0"/>
    </xf>
    <xf numFmtId="0" fontId="0" fillId="25" borderId="10" xfId="0" applyFill="1" applyBorder="1" applyProtection="1"/>
    <xf numFmtId="0" fontId="0" fillId="24" borderId="10" xfId="0" applyFill="1" applyBorder="1" applyProtection="1"/>
    <xf numFmtId="49" fontId="25" fillId="0" borderId="80" xfId="0" applyNumberFormat="1" applyFont="1" applyFill="1" applyBorder="1" applyAlignment="1" applyProtection="1">
      <alignment vertical="center" wrapText="1"/>
    </xf>
    <xf numFmtId="0" fontId="91" fillId="0" borderId="81" xfId="0" applyNumberFormat="1" applyFont="1" applyFill="1" applyBorder="1" applyAlignment="1" applyProtection="1">
      <alignment horizontal="center" vertical="center" wrapText="1"/>
    </xf>
    <xf numFmtId="0" fontId="91" fillId="0" borderId="82" xfId="0" applyNumberFormat="1" applyFont="1" applyFill="1" applyBorder="1" applyAlignment="1" applyProtection="1">
      <alignment horizontal="center" vertical="center" wrapText="1"/>
    </xf>
    <xf numFmtId="49" fontId="26" fillId="0" borderId="83" xfId="0" applyNumberFormat="1" applyFont="1" applyFill="1" applyBorder="1" applyAlignment="1" applyProtection="1">
      <alignment wrapText="1"/>
      <protection locked="0"/>
    </xf>
    <xf numFmtId="49" fontId="26" fillId="0" borderId="83" xfId="0" applyNumberFormat="1" applyFont="1" applyFill="1" applyBorder="1" applyAlignment="1" applyProtection="1">
      <protection locked="0"/>
    </xf>
    <xf numFmtId="0" fontId="26" fillId="0" borderId="83" xfId="0" applyFont="1" applyFill="1" applyBorder="1" applyAlignment="1" applyProtection="1">
      <alignment wrapText="1"/>
      <protection locked="0"/>
    </xf>
    <xf numFmtId="0" fontId="0" fillId="0" borderId="84" xfId="0" applyBorder="1" applyAlignment="1" applyProtection="1"/>
    <xf numFmtId="49" fontId="0" fillId="0" borderId="10" xfId="0" applyNumberFormat="1" applyBorder="1" applyAlignment="1" applyProtection="1">
      <alignment horizontal="center"/>
      <protection locked="0"/>
    </xf>
    <xf numFmtId="43" fontId="131" fillId="25" borderId="85" xfId="61" applyFill="1" applyBorder="1" applyAlignment="1" applyProtection="1">
      <alignment vertical="center"/>
    </xf>
    <xf numFmtId="0" fontId="0" fillId="22" borderId="86" xfId="0" applyFill="1" applyBorder="1"/>
    <xf numFmtId="0" fontId="0" fillId="0" borderId="20" xfId="0" applyBorder="1" applyProtection="1"/>
    <xf numFmtId="43" fontId="39" fillId="24" borderId="87" xfId="61" applyFont="1" applyFill="1" applyBorder="1" applyAlignment="1" applyProtection="1">
      <alignment horizontal="center" vertical="center"/>
    </xf>
    <xf numFmtId="43" fontId="39" fillId="0" borderId="88" xfId="61" applyFont="1" applyFill="1" applyBorder="1" applyAlignment="1" applyProtection="1">
      <alignment vertical="center"/>
    </xf>
    <xf numFmtId="0" fontId="0" fillId="0" borderId="89" xfId="0" applyNumberFormat="1" applyFill="1" applyBorder="1"/>
    <xf numFmtId="15" fontId="27" fillId="0" borderId="90" xfId="0" applyNumberFormat="1" applyFont="1" applyFill="1" applyBorder="1" applyAlignment="1" applyProtection="1">
      <alignment horizontal="center" vertical="center" wrapText="1"/>
    </xf>
    <xf numFmtId="0" fontId="0" fillId="0" borderId="10" xfId="0" quotePrefix="1" applyNumberFormat="1" applyBorder="1" applyAlignment="1">
      <alignment horizontal="center"/>
    </xf>
    <xf numFmtId="3" fontId="67" fillId="0" borderId="10" xfId="0" applyNumberFormat="1" applyFont="1" applyFill="1" applyBorder="1" applyAlignment="1" applyProtection="1">
      <alignment vertical="center"/>
    </xf>
    <xf numFmtId="3" fontId="67" fillId="0" borderId="91" xfId="0" applyNumberFormat="1" applyFont="1" applyFill="1" applyBorder="1" applyAlignment="1" applyProtection="1">
      <alignment vertical="center"/>
    </xf>
    <xf numFmtId="49" fontId="84" fillId="0" borderId="10" xfId="0" applyNumberFormat="1" applyFont="1" applyBorder="1" applyAlignment="1" applyProtection="1">
      <alignment horizontal="center"/>
      <protection locked="0"/>
    </xf>
    <xf numFmtId="43" fontId="69" fillId="0" borderId="10" xfId="51" applyFont="1" applyBorder="1" applyAlignment="1" applyProtection="1">
      <alignment horizontal="center"/>
    </xf>
    <xf numFmtId="0" fontId="69" fillId="0" borderId="10" xfId="0" applyFont="1" applyBorder="1" applyAlignment="1" applyProtection="1">
      <alignment horizontal="center"/>
    </xf>
    <xf numFmtId="0" fontId="77" fillId="0" borderId="92" xfId="0" applyFont="1" applyFill="1" applyBorder="1" applyAlignment="1" applyProtection="1">
      <alignment horizontal="center" vertical="center" wrapText="1"/>
    </xf>
    <xf numFmtId="0" fontId="77" fillId="0" borderId="93" xfId="0" applyFont="1" applyFill="1" applyBorder="1" applyAlignment="1" applyProtection="1">
      <alignment horizontal="center"/>
    </xf>
    <xf numFmtId="0" fontId="77" fillId="0" borderId="94" xfId="0" applyFont="1" applyFill="1" applyBorder="1" applyAlignment="1" applyProtection="1">
      <alignment horizontal="center"/>
    </xf>
    <xf numFmtId="0" fontId="77" fillId="0" borderId="95" xfId="0" applyNumberFormat="1" applyFont="1" applyFill="1" applyBorder="1" applyAlignment="1" applyProtection="1">
      <alignment horizontal="center"/>
    </xf>
    <xf numFmtId="0" fontId="77" fillId="0" borderId="96" xfId="0" applyNumberFormat="1" applyFont="1" applyFill="1" applyBorder="1" applyAlignment="1" applyProtection="1">
      <alignment horizontal="center"/>
    </xf>
    <xf numFmtId="0" fontId="77" fillId="0" borderId="96" xfId="0" applyNumberFormat="1" applyFont="1" applyFill="1" applyBorder="1" applyAlignment="1" applyProtection="1">
      <alignment horizontal="center" vertical="center"/>
    </xf>
    <xf numFmtId="0" fontId="77" fillId="0" borderId="97" xfId="0" applyNumberFormat="1" applyFont="1" applyFill="1" applyBorder="1" applyAlignment="1" applyProtection="1">
      <alignment horizontal="center" vertical="center"/>
    </xf>
    <xf numFmtId="0" fontId="81" fillId="0" borderId="98" xfId="0" applyNumberFormat="1" applyFont="1" applyFill="1" applyBorder="1" applyAlignment="1" applyProtection="1">
      <alignment horizontal="center" vertical="center"/>
    </xf>
    <xf numFmtId="0" fontId="81" fillId="0" borderId="99" xfId="0" applyNumberFormat="1" applyFont="1" applyFill="1" applyBorder="1" applyAlignment="1" applyProtection="1">
      <alignment horizontal="center" vertical="center"/>
    </xf>
    <xf numFmtId="0" fontId="81" fillId="0" borderId="100" xfId="0" applyNumberFormat="1" applyFont="1" applyFill="1" applyBorder="1" applyAlignment="1" applyProtection="1">
      <alignment horizontal="center" vertical="center"/>
    </xf>
    <xf numFmtId="0" fontId="67" fillId="27" borderId="10" xfId="0" applyFont="1" applyFill="1" applyBorder="1" applyAlignment="1" applyProtection="1">
      <alignment horizontal="center"/>
    </xf>
    <xf numFmtId="0" fontId="67" fillId="28" borderId="10" xfId="0" applyFont="1" applyFill="1" applyBorder="1" applyAlignment="1" applyProtection="1">
      <alignment horizontal="center"/>
    </xf>
    <xf numFmtId="3" fontId="67" fillId="29" borderId="10" xfId="0" applyNumberFormat="1" applyFont="1" applyFill="1" applyBorder="1" applyAlignment="1" applyProtection="1">
      <alignment vertical="center"/>
      <protection locked="0"/>
    </xf>
    <xf numFmtId="3" fontId="2" fillId="29" borderId="10" xfId="0" applyNumberFormat="1" applyFont="1" applyFill="1" applyBorder="1" applyAlignment="1" applyProtection="1">
      <alignment vertical="center"/>
      <protection locked="0"/>
    </xf>
    <xf numFmtId="3" fontId="67" fillId="29" borderId="29" xfId="0" applyNumberFormat="1" applyFont="1" applyFill="1" applyBorder="1" applyAlignment="1" applyProtection="1">
      <alignment vertical="center"/>
      <protection locked="0"/>
    </xf>
    <xf numFmtId="3" fontId="67" fillId="23" borderId="29" xfId="0" applyNumberFormat="1" applyFont="1" applyFill="1" applyBorder="1" applyAlignment="1" applyProtection="1">
      <alignment horizontal="right" vertical="center"/>
      <protection locked="0"/>
    </xf>
    <xf numFmtId="0" fontId="67" fillId="27" borderId="91" xfId="0" applyFont="1" applyFill="1" applyBorder="1" applyAlignment="1" applyProtection="1">
      <alignment horizontal="center"/>
    </xf>
    <xf numFmtId="3" fontId="67" fillId="23" borderId="91" xfId="0" applyNumberFormat="1" applyFont="1" applyFill="1" applyBorder="1" applyAlignment="1" applyProtection="1">
      <alignment horizontal="right" vertical="center"/>
      <protection locked="0"/>
    </xf>
    <xf numFmtId="3" fontId="67" fillId="23" borderId="101" xfId="0" applyNumberFormat="1" applyFont="1" applyFill="1" applyBorder="1" applyAlignment="1" applyProtection="1">
      <alignment horizontal="right" vertical="center"/>
      <protection locked="0"/>
    </xf>
    <xf numFmtId="0" fontId="67" fillId="27" borderId="10" xfId="0" applyFont="1" applyFill="1" applyBorder="1" applyProtection="1"/>
    <xf numFmtId="3" fontId="67" fillId="27" borderId="10" xfId="0" applyNumberFormat="1" applyFont="1" applyFill="1" applyBorder="1" applyAlignment="1" applyProtection="1">
      <alignment vertical="center"/>
    </xf>
    <xf numFmtId="0" fontId="0" fillId="0" borderId="242" xfId="0" applyBorder="1"/>
    <xf numFmtId="0" fontId="0" fillId="0" borderId="59" xfId="0" applyBorder="1" applyAlignment="1" applyProtection="1">
      <alignment horizontal="center" wrapText="1"/>
    </xf>
    <xf numFmtId="3" fontId="1" fillId="0" borderId="102" xfId="28" applyNumberFormat="1" applyFont="1" applyFill="1" applyBorder="1" applyAlignment="1" applyProtection="1">
      <alignment horizontal="right"/>
    </xf>
    <xf numFmtId="3" fontId="0" fillId="0" borderId="102" xfId="0" applyNumberFormat="1" applyBorder="1" applyAlignment="1" applyProtection="1">
      <alignment horizontal="right" wrapText="1"/>
    </xf>
    <xf numFmtId="3" fontId="0" fillId="24" borderId="57" xfId="0" applyNumberFormat="1" applyFill="1" applyBorder="1" applyAlignment="1" applyProtection="1">
      <alignment horizontal="right" wrapText="1"/>
      <protection locked="0"/>
    </xf>
    <xf numFmtId="3" fontId="67" fillId="0" borderId="29" xfId="0" applyNumberFormat="1" applyFont="1" applyFill="1" applyBorder="1" applyAlignment="1" applyProtection="1">
      <alignment vertical="center"/>
    </xf>
    <xf numFmtId="3" fontId="67" fillId="27" borderId="29" xfId="0" applyNumberFormat="1" applyFont="1" applyFill="1" applyBorder="1" applyAlignment="1" applyProtection="1">
      <alignment vertical="center"/>
    </xf>
    <xf numFmtId="3" fontId="67" fillId="0" borderId="243" xfId="0" applyNumberFormat="1" applyFont="1" applyFill="1" applyBorder="1" applyAlignment="1" applyProtection="1">
      <alignment vertical="center"/>
    </xf>
    <xf numFmtId="0" fontId="34" fillId="22" borderId="0" xfId="0" applyFont="1" applyFill="1" applyBorder="1" applyAlignment="1" applyProtection="1">
      <alignment horizontal="left" vertical="top" wrapText="1"/>
      <protection locked="0"/>
    </xf>
    <xf numFmtId="43" fontId="131" fillId="0" borderId="0" xfId="28" applyFont="1" applyBorder="1" applyProtection="1"/>
    <xf numFmtId="0" fontId="0" fillId="0" borderId="103" xfId="0" applyNumberFormat="1" applyFill="1" applyBorder="1" applyProtection="1"/>
    <xf numFmtId="0" fontId="0" fillId="0" borderId="103" xfId="0" applyBorder="1" applyProtection="1"/>
    <xf numFmtId="166" fontId="131" fillId="0" borderId="102" xfId="28" applyNumberFormat="1" applyFont="1" applyFill="1" applyBorder="1" applyProtection="1"/>
    <xf numFmtId="166" fontId="131" fillId="0" borderId="102" xfId="28" applyNumberFormat="1" applyFont="1" applyFill="1" applyBorder="1" applyAlignment="1" applyProtection="1">
      <alignment horizontal="center"/>
    </xf>
    <xf numFmtId="166" fontId="131" fillId="0" borderId="60" xfId="28" applyNumberFormat="1" applyFont="1" applyFill="1" applyBorder="1" applyProtection="1"/>
    <xf numFmtId="166" fontId="131" fillId="0" borderId="10" xfId="28" applyNumberFormat="1" applyFont="1" applyFill="1" applyBorder="1" applyProtection="1"/>
    <xf numFmtId="166" fontId="131" fillId="0" borderId="10" xfId="28" applyNumberFormat="1" applyFont="1" applyFill="1" applyBorder="1" applyAlignment="1" applyProtection="1">
      <alignment horizontal="center"/>
    </xf>
    <xf numFmtId="166" fontId="131" fillId="0" borderId="57" xfId="28" applyNumberFormat="1" applyFont="1" applyFill="1" applyBorder="1" applyProtection="1"/>
    <xf numFmtId="49" fontId="0" fillId="39" borderId="10" xfId="0" applyNumberFormat="1" applyFill="1" applyBorder="1" applyAlignment="1" applyProtection="1">
      <alignment horizontal="center"/>
      <protection locked="0"/>
    </xf>
    <xf numFmtId="15" fontId="1" fillId="39" borderId="10" xfId="58" applyNumberFormat="1" applyFont="1" applyFill="1" applyBorder="1" applyAlignment="1" applyProtection="1">
      <alignment horizontal="center"/>
      <protection locked="0"/>
    </xf>
    <xf numFmtId="166" fontId="67" fillId="23" borderId="10" xfId="28" applyNumberFormat="1" applyFont="1" applyFill="1" applyBorder="1" applyAlignment="1" applyProtection="1">
      <alignment horizontal="right" vertical="center"/>
      <protection locked="0"/>
    </xf>
    <xf numFmtId="166" fontId="67" fillId="23" borderId="10" xfId="28" applyNumberFormat="1" applyFont="1" applyFill="1" applyBorder="1" applyAlignment="1" applyProtection="1">
      <alignment horizontal="right" vertical="center"/>
    </xf>
    <xf numFmtId="166" fontId="67" fillId="22" borderId="10" xfId="28" applyNumberFormat="1" applyFont="1" applyFill="1" applyBorder="1" applyAlignment="1" applyProtection="1">
      <alignment vertical="center"/>
    </xf>
    <xf numFmtId="166" fontId="67" fillId="22" borderId="10" xfId="28" applyNumberFormat="1" applyFont="1" applyFill="1" applyBorder="1" applyAlignment="1" applyProtection="1">
      <alignment vertical="center"/>
      <protection locked="0"/>
    </xf>
    <xf numFmtId="166" fontId="67" fillId="23" borderId="10" xfId="28" applyNumberFormat="1" applyFont="1" applyFill="1" applyBorder="1" applyAlignment="1" applyProtection="1">
      <alignment vertical="center"/>
    </xf>
    <xf numFmtId="166" fontId="67" fillId="23" borderId="10" xfId="28" applyNumberFormat="1" applyFont="1" applyFill="1" applyBorder="1" applyAlignment="1" applyProtection="1">
      <alignment vertical="center"/>
      <protection locked="0"/>
    </xf>
    <xf numFmtId="166" fontId="67" fillId="29" borderId="10" xfId="28" applyNumberFormat="1" applyFont="1" applyFill="1" applyBorder="1" applyAlignment="1" applyProtection="1">
      <alignment vertical="center"/>
    </xf>
    <xf numFmtId="166" fontId="67" fillId="29" borderId="10" xfId="28" applyNumberFormat="1" applyFont="1" applyFill="1" applyBorder="1" applyAlignment="1" applyProtection="1">
      <alignment vertical="center"/>
      <protection locked="0"/>
    </xf>
    <xf numFmtId="166" fontId="77" fillId="29" borderId="10" xfId="28" applyNumberFormat="1" applyFont="1" applyFill="1" applyBorder="1" applyAlignment="1" applyProtection="1">
      <alignment vertical="center"/>
      <protection locked="0"/>
    </xf>
    <xf numFmtId="166" fontId="77" fillId="23" borderId="91" xfId="28" applyNumberFormat="1" applyFont="1" applyFill="1" applyBorder="1" applyAlignment="1" applyProtection="1">
      <alignment horizontal="right" vertical="center"/>
    </xf>
    <xf numFmtId="166" fontId="77" fillId="23" borderId="91" xfId="28" applyNumberFormat="1" applyFont="1" applyFill="1" applyBorder="1" applyAlignment="1" applyProtection="1">
      <alignment horizontal="right" vertical="center"/>
      <protection locked="0"/>
    </xf>
    <xf numFmtId="166" fontId="2" fillId="22" borderId="10" xfId="28" applyNumberFormat="1" applyFont="1" applyFill="1" applyBorder="1" applyAlignment="1" applyProtection="1">
      <alignment vertical="center"/>
    </xf>
    <xf numFmtId="166" fontId="2" fillId="23" borderId="10" xfId="28" applyNumberFormat="1" applyFont="1" applyFill="1" applyBorder="1" applyAlignment="1" applyProtection="1">
      <alignment vertical="center"/>
    </xf>
    <xf numFmtId="166" fontId="28" fillId="0" borderId="10" xfId="28" applyNumberFormat="1" applyFont="1" applyBorder="1" applyAlignment="1" applyProtection="1">
      <alignment vertical="center" wrapText="1"/>
    </xf>
    <xf numFmtId="166" fontId="2" fillId="23" borderId="10" xfId="28" applyNumberFormat="1" applyFont="1" applyFill="1" applyBorder="1" applyAlignment="1" applyProtection="1">
      <alignment horizontal="right" vertical="center"/>
    </xf>
    <xf numFmtId="166" fontId="2" fillId="29" borderId="10" xfId="28" applyNumberFormat="1" applyFont="1" applyFill="1" applyBorder="1" applyAlignment="1" applyProtection="1">
      <alignment vertical="center"/>
    </xf>
    <xf numFmtId="0" fontId="77" fillId="38" borderId="105" xfId="0" applyFont="1" applyFill="1" applyBorder="1" applyAlignment="1" applyProtection="1">
      <alignment horizontal="center" vertical="center"/>
    </xf>
    <xf numFmtId="0" fontId="77" fillId="38" borderId="106" xfId="0" applyFont="1" applyFill="1" applyBorder="1" applyAlignment="1" applyProtection="1">
      <alignment horizontal="center" vertical="center"/>
    </xf>
    <xf numFmtId="0" fontId="77" fillId="38" borderId="107" xfId="0" applyFont="1" applyFill="1" applyBorder="1" applyAlignment="1" applyProtection="1">
      <alignment horizontal="center" vertical="center"/>
    </xf>
    <xf numFmtId="0" fontId="77" fillId="38" borderId="108" xfId="0" applyFont="1" applyFill="1" applyBorder="1" applyAlignment="1" applyProtection="1">
      <alignment horizontal="center" vertical="center"/>
    </xf>
    <xf numFmtId="0" fontId="2" fillId="38" borderId="109" xfId="0" applyFont="1" applyFill="1" applyBorder="1" applyAlignment="1" applyProtection="1">
      <alignment horizontal="center"/>
    </xf>
    <xf numFmtId="165" fontId="14" fillId="38" borderId="106" xfId="0" applyNumberFormat="1" applyFont="1" applyFill="1" applyBorder="1" applyAlignment="1" applyProtection="1">
      <alignment horizontal="center"/>
      <protection locked="0"/>
    </xf>
    <xf numFmtId="165" fontId="14" fillId="38" borderId="110" xfId="0" applyNumberFormat="1" applyFont="1" applyFill="1" applyBorder="1" applyAlignment="1" applyProtection="1">
      <alignment horizontal="center"/>
      <protection locked="0"/>
    </xf>
    <xf numFmtId="3" fontId="1" fillId="25" borderId="239" xfId="28" applyNumberFormat="1" applyFont="1" applyFill="1" applyBorder="1" applyAlignment="1" applyProtection="1">
      <alignment horizontal="right" vertical="center"/>
      <protection locked="0"/>
    </xf>
    <xf numFmtId="3" fontId="1" fillId="25" borderId="240" xfId="28" applyNumberFormat="1" applyFont="1" applyFill="1" applyBorder="1" applyAlignment="1" applyProtection="1">
      <alignment horizontal="right" vertical="center"/>
      <protection locked="0"/>
    </xf>
    <xf numFmtId="3" fontId="0" fillId="0" borderId="241" xfId="0" applyNumberFormat="1" applyBorder="1" applyAlignment="1" applyProtection="1">
      <alignment horizontal="right" vertical="center"/>
    </xf>
    <xf numFmtId="0" fontId="0" fillId="0" borderId="104" xfId="0" applyFill="1" applyBorder="1" applyAlignment="1" applyProtection="1">
      <alignment horizontal="center"/>
    </xf>
    <xf numFmtId="0" fontId="14" fillId="0" borderId="143" xfId="0" applyFont="1" applyFill="1" applyBorder="1" applyAlignment="1" applyProtection="1">
      <alignment horizontal="center"/>
    </xf>
    <xf numFmtId="0" fontId="14" fillId="0" borderId="104" xfId="0" applyFont="1" applyFill="1" applyBorder="1" applyAlignment="1" applyProtection="1">
      <alignment horizontal="center"/>
    </xf>
    <xf numFmtId="9" fontId="67" fillId="29" borderId="10" xfId="56" applyFont="1" applyFill="1" applyBorder="1" applyAlignment="1" applyProtection="1">
      <alignment vertical="center"/>
    </xf>
    <xf numFmtId="0" fontId="133" fillId="0" borderId="0" xfId="0" applyFont="1"/>
    <xf numFmtId="9" fontId="134" fillId="29" borderId="10" xfId="56" applyFont="1" applyFill="1" applyBorder="1" applyAlignment="1" applyProtection="1">
      <alignment vertical="center"/>
    </xf>
    <xf numFmtId="174" fontId="134" fillId="29" borderId="10" xfId="56" applyNumberFormat="1" applyFont="1" applyFill="1" applyBorder="1" applyAlignment="1" applyProtection="1">
      <alignment horizontal="right" vertical="center"/>
    </xf>
    <xf numFmtId="3" fontId="67" fillId="22" borderId="10" xfId="0" applyNumberFormat="1" applyFont="1" applyFill="1" applyBorder="1" applyAlignment="1" applyProtection="1">
      <alignment vertical="center"/>
    </xf>
    <xf numFmtId="3" fontId="67" fillId="23" borderId="10" xfId="0" applyNumberFormat="1" applyFont="1" applyFill="1" applyBorder="1" applyAlignment="1" applyProtection="1">
      <alignment vertical="center"/>
    </xf>
    <xf numFmtId="3" fontId="67" fillId="29" borderId="10" xfId="0" applyNumberFormat="1" applyFont="1" applyFill="1" applyBorder="1" applyAlignment="1" applyProtection="1">
      <alignment vertical="center"/>
    </xf>
    <xf numFmtId="3" fontId="67" fillId="23" borderId="10" xfId="0" applyNumberFormat="1" applyFont="1" applyFill="1" applyBorder="1" applyAlignment="1" applyProtection="1">
      <alignment horizontal="right" vertical="center"/>
    </xf>
    <xf numFmtId="1" fontId="21" fillId="24" borderId="47" xfId="0" applyNumberFormat="1" applyFont="1" applyFill="1" applyBorder="1" applyAlignment="1" applyProtection="1">
      <alignment horizontal="center"/>
    </xf>
    <xf numFmtId="1" fontId="0" fillId="24" borderId="47" xfId="0" applyNumberFormat="1" applyFill="1" applyBorder="1" applyAlignment="1" applyProtection="1">
      <alignment horizontal="center"/>
    </xf>
    <xf numFmtId="0" fontId="0" fillId="37" borderId="24" xfId="0" applyNumberFormat="1" applyFill="1" applyBorder="1" applyAlignment="1" applyProtection="1">
      <alignment horizontal="center"/>
    </xf>
    <xf numFmtId="9" fontId="28" fillId="0" borderId="10" xfId="56" applyFont="1" applyFill="1" applyBorder="1" applyAlignment="1" applyProtection="1">
      <alignment vertical="center" wrapText="1"/>
    </xf>
    <xf numFmtId="0" fontId="138" fillId="0" borderId="0" xfId="0" applyFont="1" applyAlignment="1">
      <alignment horizontal="left" vertical="top" wrapText="1"/>
    </xf>
    <xf numFmtId="1" fontId="135" fillId="36" borderId="153" xfId="0" applyNumberFormat="1" applyFont="1" applyFill="1" applyBorder="1" applyAlignment="1" applyProtection="1">
      <alignment horizontal="center" vertical="center"/>
    </xf>
    <xf numFmtId="1" fontId="15" fillId="36" borderId="153" xfId="0" applyNumberFormat="1" applyFont="1" applyFill="1" applyBorder="1" applyAlignment="1" applyProtection="1">
      <alignment horizontal="center" vertical="center"/>
    </xf>
    <xf numFmtId="1" fontId="0" fillId="20" borderId="10" xfId="0" applyNumberFormat="1" applyFill="1" applyBorder="1" applyAlignment="1" applyProtection="1">
      <alignment horizontal="center" vertical="center"/>
    </xf>
    <xf numFmtId="1" fontId="0" fillId="0" borderId="10" xfId="0" applyNumberFormat="1" applyBorder="1" applyAlignment="1" applyProtection="1">
      <alignment horizontal="center" vertical="center"/>
    </xf>
    <xf numFmtId="1" fontId="0" fillId="20" borderId="102" xfId="0" applyNumberFormat="1" applyFill="1" applyBorder="1" applyAlignment="1" applyProtection="1">
      <alignment horizontal="center" vertical="center"/>
    </xf>
    <xf numFmtId="1" fontId="0" fillId="0" borderId="102" xfId="0" applyNumberFormat="1" applyBorder="1" applyAlignment="1" applyProtection="1">
      <alignment horizontal="center" vertical="center"/>
    </xf>
    <xf numFmtId="3" fontId="77" fillId="22" borderId="10" xfId="0" applyNumberFormat="1" applyFont="1" applyFill="1" applyBorder="1" applyAlignment="1" applyProtection="1">
      <alignment vertical="center"/>
    </xf>
    <xf numFmtId="3" fontId="77" fillId="23" borderId="10" xfId="0" applyNumberFormat="1" applyFont="1" applyFill="1" applyBorder="1" applyAlignment="1" applyProtection="1">
      <alignment vertical="center"/>
    </xf>
    <xf numFmtId="3" fontId="77" fillId="22" borderId="10" xfId="0" applyNumberFormat="1" applyFont="1" applyFill="1" applyBorder="1" applyAlignment="1" applyProtection="1">
      <alignment vertical="center"/>
      <protection locked="0"/>
    </xf>
    <xf numFmtId="3" fontId="77" fillId="29" borderId="10" xfId="0" applyNumberFormat="1" applyFont="1" applyFill="1" applyBorder="1" applyAlignment="1" applyProtection="1">
      <alignment vertical="center"/>
    </xf>
    <xf numFmtId="3" fontId="77" fillId="23" borderId="10" xfId="0" applyNumberFormat="1" applyFont="1" applyFill="1" applyBorder="1" applyAlignment="1" applyProtection="1">
      <alignment horizontal="right" vertical="center"/>
    </xf>
    <xf numFmtId="9" fontId="67" fillId="29" borderId="10" xfId="56" applyFont="1" applyFill="1" applyBorder="1" applyAlignment="1" applyProtection="1">
      <alignment vertical="center"/>
      <protection locked="0"/>
    </xf>
    <xf numFmtId="0" fontId="0" fillId="0" borderId="10" xfId="0" applyBorder="1" applyProtection="1"/>
    <xf numFmtId="0" fontId="140" fillId="0" borderId="0" xfId="0" applyFont="1" applyBorder="1" applyProtection="1"/>
    <xf numFmtId="0" fontId="141" fillId="0" borderId="0" xfId="0" applyFont="1" applyFill="1" applyBorder="1" applyAlignment="1" applyProtection="1">
      <alignment horizontal="center" vertical="center" wrapText="1"/>
    </xf>
    <xf numFmtId="0" fontId="142" fillId="0" borderId="0" xfId="0" applyFont="1" applyFill="1" applyBorder="1" applyAlignment="1" applyProtection="1">
      <alignment horizontal="center" vertical="center"/>
    </xf>
    <xf numFmtId="0" fontId="140" fillId="0" borderId="0" xfId="0" applyFont="1" applyFill="1" applyBorder="1" applyAlignment="1" applyProtection="1">
      <alignment horizontal="center" vertical="center"/>
    </xf>
    <xf numFmtId="0" fontId="140" fillId="0" borderId="0" xfId="0" applyFont="1" applyBorder="1" applyAlignment="1" applyProtection="1">
      <alignment horizontal="center" vertical="center"/>
    </xf>
    <xf numFmtId="0" fontId="140" fillId="0" borderId="0" xfId="0" applyFont="1" applyBorder="1" applyAlignment="1">
      <alignment horizontal="center" vertical="center"/>
    </xf>
    <xf numFmtId="15" fontId="140" fillId="0" borderId="0" xfId="0" applyNumberFormat="1" applyFont="1" applyFill="1" applyBorder="1" applyAlignment="1" applyProtection="1">
      <alignment horizontal="center" vertical="center"/>
      <protection locked="0"/>
    </xf>
    <xf numFmtId="0" fontId="140" fillId="0" borderId="0" xfId="0" applyFont="1" applyFill="1" applyBorder="1" applyAlignment="1" applyProtection="1">
      <alignment horizontal="center" vertical="center"/>
      <protection locked="0"/>
    </xf>
    <xf numFmtId="49" fontId="139" fillId="40" borderId="10" xfId="0" applyNumberFormat="1" applyFont="1" applyFill="1" applyBorder="1" applyProtection="1">
      <protection locked="0"/>
    </xf>
    <xf numFmtId="49" fontId="139" fillId="40" borderId="102" xfId="0" applyNumberFormat="1" applyFont="1" applyFill="1" applyBorder="1" applyAlignment="1" applyProtection="1">
      <alignment horizontal="left"/>
      <protection locked="0"/>
    </xf>
    <xf numFmtId="43" fontId="137" fillId="40" borderId="10" xfId="28" applyFont="1" applyFill="1" applyBorder="1" applyProtection="1">
      <protection locked="0"/>
    </xf>
    <xf numFmtId="43" fontId="137" fillId="40" borderId="10" xfId="28" applyNumberFormat="1" applyFont="1" applyFill="1" applyBorder="1" applyProtection="1">
      <protection locked="0"/>
    </xf>
    <xf numFmtId="43" fontId="137" fillId="40" borderId="102" xfId="28" applyNumberFormat="1" applyFont="1" applyFill="1" applyBorder="1" applyProtection="1">
      <protection locked="0"/>
    </xf>
    <xf numFmtId="166" fontId="137" fillId="40" borderId="10" xfId="28" applyNumberFormat="1" applyFont="1" applyFill="1" applyBorder="1" applyProtection="1">
      <protection locked="0"/>
    </xf>
    <xf numFmtId="166" fontId="137" fillId="40" borderId="102" xfId="28" applyNumberFormat="1" applyFont="1" applyFill="1" applyBorder="1" applyProtection="1">
      <protection locked="0"/>
    </xf>
    <xf numFmtId="166" fontId="137" fillId="40" borderId="10" xfId="28" applyNumberFormat="1" applyFont="1" applyFill="1" applyBorder="1" applyProtection="1"/>
    <xf numFmtId="166" fontId="137" fillId="40" borderId="10" xfId="28" applyNumberFormat="1" applyFont="1" applyFill="1" applyBorder="1" applyAlignment="1" applyProtection="1">
      <alignment horizontal="center"/>
      <protection locked="0"/>
    </xf>
    <xf numFmtId="166" fontId="137" fillId="40" borderId="102" xfId="28" applyNumberFormat="1" applyFont="1" applyFill="1" applyBorder="1" applyAlignment="1" applyProtection="1">
      <alignment horizontal="center"/>
      <protection locked="0"/>
    </xf>
    <xf numFmtId="43" fontId="17" fillId="31" borderId="0" xfId="39" applyFont="1" applyFill="1" applyBorder="1" applyAlignment="1">
      <alignment horizontal="center" vertical="center"/>
    </xf>
    <xf numFmtId="43" fontId="33" fillId="0" borderId="0" xfId="0" applyNumberFormat="1" applyFont="1" applyAlignment="1">
      <alignment horizontal="center"/>
    </xf>
    <xf numFmtId="0" fontId="0" fillId="0" borderId="0" xfId="0" applyAlignment="1"/>
    <xf numFmtId="0" fontId="129" fillId="0" borderId="0" xfId="0" applyFont="1" applyAlignment="1">
      <alignment horizontal="center"/>
    </xf>
    <xf numFmtId="0" fontId="130" fillId="0" borderId="0" xfId="0" applyFont="1" applyAlignment="1">
      <alignment horizontal="center"/>
    </xf>
    <xf numFmtId="0" fontId="89" fillId="0" borderId="27" xfId="0" applyFont="1" applyFill="1" applyBorder="1" applyAlignment="1" applyProtection="1">
      <alignment vertical="center" wrapText="1"/>
      <protection locked="0"/>
    </xf>
    <xf numFmtId="0" fontId="89" fillId="0" borderId="44" xfId="0" applyFont="1" applyFill="1" applyBorder="1" applyAlignment="1" applyProtection="1">
      <alignment vertical="center" wrapText="1"/>
      <protection locked="0"/>
    </xf>
    <xf numFmtId="0" fontId="89" fillId="0" borderId="45" xfId="0" applyFont="1" applyFill="1" applyBorder="1" applyAlignment="1" applyProtection="1">
      <alignment vertical="center" wrapText="1"/>
      <protection locked="0"/>
    </xf>
    <xf numFmtId="0" fontId="98" fillId="0" borderId="27" xfId="0" applyFont="1" applyFill="1" applyBorder="1" applyAlignment="1" applyProtection="1">
      <alignment vertical="center" wrapText="1"/>
      <protection locked="0"/>
    </xf>
    <xf numFmtId="0" fontId="98" fillId="0" borderId="44" xfId="0" applyFont="1" applyFill="1" applyBorder="1" applyAlignment="1" applyProtection="1">
      <alignment vertical="center" wrapText="1"/>
      <protection locked="0"/>
    </xf>
    <xf numFmtId="0" fontId="98" fillId="0" borderId="45" xfId="0" applyFont="1" applyFill="1" applyBorder="1" applyAlignment="1" applyProtection="1">
      <alignment vertical="center" wrapText="1"/>
      <protection locked="0"/>
    </xf>
    <xf numFmtId="0" fontId="63" fillId="0" borderId="27" xfId="0" applyFont="1" applyBorder="1" applyAlignment="1" applyProtection="1">
      <alignment horizontal="justify" vertical="center" wrapText="1"/>
      <protection locked="0"/>
    </xf>
    <xf numFmtId="0" fontId="89" fillId="0" borderId="44" xfId="0" applyFont="1" applyBorder="1" applyAlignment="1" applyProtection="1">
      <alignment horizontal="justify" vertical="center" wrapText="1"/>
      <protection locked="0"/>
    </xf>
    <xf numFmtId="0" fontId="89" fillId="0" borderId="45" xfId="0" applyFont="1" applyBorder="1" applyAlignment="1" applyProtection="1">
      <alignment horizontal="justify" vertical="center" wrapText="1"/>
      <protection locked="0"/>
    </xf>
    <xf numFmtId="0" fontId="88" fillId="0" borderId="27" xfId="0" applyFont="1" applyBorder="1" applyAlignment="1" applyProtection="1">
      <alignment vertical="center" wrapText="1"/>
      <protection locked="0"/>
    </xf>
    <xf numFmtId="0" fontId="88" fillId="0" borderId="44" xfId="0" applyFont="1" applyBorder="1" applyAlignment="1" applyProtection="1">
      <alignment vertical="center" wrapText="1"/>
      <protection locked="0"/>
    </xf>
    <xf numFmtId="0" fontId="88" fillId="0" borderId="45" xfId="0" applyFont="1" applyBorder="1" applyAlignment="1" applyProtection="1">
      <alignment vertical="center" wrapText="1"/>
      <protection locked="0"/>
    </xf>
    <xf numFmtId="0" fontId="63" fillId="0" borderId="27" xfId="0" applyFont="1" applyBorder="1" applyAlignment="1" applyProtection="1">
      <alignment horizontal="left" vertical="center" wrapText="1"/>
      <protection locked="0"/>
    </xf>
    <xf numFmtId="0" fontId="63" fillId="0" borderId="44" xfId="0" applyFont="1" applyBorder="1" applyAlignment="1" applyProtection="1">
      <alignment horizontal="left" vertical="center" wrapText="1"/>
      <protection locked="0"/>
    </xf>
    <xf numFmtId="0" fontId="63" fillId="0" borderId="45" xfId="0" applyFont="1" applyBorder="1" applyAlignment="1" applyProtection="1">
      <alignment horizontal="left" vertical="center" wrapText="1"/>
      <protection locked="0"/>
    </xf>
    <xf numFmtId="43" fontId="88" fillId="0" borderId="27" xfId="0" applyNumberFormat="1" applyFont="1" applyBorder="1" applyAlignment="1">
      <alignment horizontal="justify" vertical="center" wrapText="1"/>
    </xf>
    <xf numFmtId="0" fontId="88" fillId="0" borderId="44" xfId="0" applyFont="1" applyBorder="1" applyAlignment="1">
      <alignment horizontal="justify" vertical="center" wrapText="1"/>
    </xf>
    <xf numFmtId="0" fontId="88" fillId="0" borderId="45" xfId="0" applyFont="1" applyBorder="1" applyAlignment="1">
      <alignment horizontal="justify" vertical="center" wrapText="1"/>
    </xf>
    <xf numFmtId="0" fontId="89" fillId="0" borderId="27" xfId="0" applyFont="1" applyBorder="1" applyAlignment="1" applyProtection="1">
      <alignment vertical="center" wrapText="1"/>
      <protection locked="0"/>
    </xf>
    <xf numFmtId="0" fontId="89" fillId="0" borderId="44" xfId="0" applyFont="1" applyBorder="1" applyAlignment="1" applyProtection="1">
      <alignment vertical="center" wrapText="1"/>
      <protection locked="0"/>
    </xf>
    <xf numFmtId="0" fontId="89" fillId="0" borderId="45" xfId="0" applyFont="1" applyBorder="1" applyAlignment="1" applyProtection="1">
      <alignment vertical="center" wrapText="1"/>
      <protection locked="0"/>
    </xf>
    <xf numFmtId="0" fontId="89" fillId="0" borderId="44" xfId="0" applyFont="1" applyBorder="1" applyAlignment="1" applyProtection="1">
      <alignment horizontal="left" vertical="center" wrapText="1"/>
      <protection locked="0"/>
    </xf>
    <xf numFmtId="0" fontId="89" fillId="0" borderId="45" xfId="0" applyFont="1" applyBorder="1" applyAlignment="1" applyProtection="1">
      <alignment horizontal="left" vertical="center" wrapText="1"/>
      <protection locked="0"/>
    </xf>
    <xf numFmtId="0" fontId="89" fillId="22" borderId="27" xfId="0" applyFont="1" applyFill="1" applyBorder="1" applyAlignment="1">
      <alignment vertical="center" wrapText="1"/>
    </xf>
    <xf numFmtId="0" fontId="89" fillId="22" borderId="44" xfId="0" applyFont="1" applyFill="1" applyBorder="1" applyAlignment="1">
      <alignment vertical="center" wrapText="1"/>
    </xf>
    <xf numFmtId="0" fontId="89" fillId="22" borderId="45" xfId="0" applyFont="1" applyFill="1" applyBorder="1" applyAlignment="1">
      <alignment vertical="center" wrapText="1"/>
    </xf>
    <xf numFmtId="0" fontId="122" fillId="0" borderId="66" xfId="0" applyFont="1" applyBorder="1" applyAlignment="1">
      <alignment horizontal="justify" vertical="center" wrapText="1"/>
    </xf>
    <xf numFmtId="0" fontId="122" fillId="0" borderId="106" xfId="0" applyFont="1" applyBorder="1" applyAlignment="1">
      <alignment horizontal="justify" vertical="center" wrapText="1"/>
    </xf>
    <xf numFmtId="0" fontId="122" fillId="0" borderId="108" xfId="0" applyFont="1" applyBorder="1" applyAlignment="1">
      <alignment horizontal="justify" vertical="center" wrapText="1"/>
    </xf>
    <xf numFmtId="0" fontId="63" fillId="0" borderId="27" xfId="0" applyNumberFormat="1" applyFont="1" applyBorder="1" applyAlignment="1" applyProtection="1">
      <alignment horizontal="left" vertical="center" wrapText="1"/>
      <protection locked="0"/>
    </xf>
    <xf numFmtId="0" fontId="63" fillId="0" borderId="44" xfId="0" applyNumberFormat="1" applyFont="1" applyBorder="1" applyAlignment="1" applyProtection="1">
      <alignment horizontal="left" vertical="center" wrapText="1"/>
      <protection locked="0"/>
    </xf>
    <xf numFmtId="0" fontId="63" fillId="0" borderId="45" xfId="0" applyNumberFormat="1" applyFont="1" applyBorder="1" applyAlignment="1" applyProtection="1">
      <alignment horizontal="left" vertical="center" wrapText="1"/>
      <protection locked="0"/>
    </xf>
    <xf numFmtId="0" fontId="63" fillId="0" borderId="27" xfId="0" applyFont="1" applyBorder="1" applyAlignment="1">
      <alignment horizontal="left" vertical="center" wrapText="1"/>
    </xf>
    <xf numFmtId="0" fontId="63" fillId="0" borderId="44" xfId="0" applyFont="1" applyBorder="1" applyAlignment="1">
      <alignment horizontal="left" vertical="center" wrapText="1"/>
    </xf>
    <xf numFmtId="0" fontId="63" fillId="0" borderId="45" xfId="0" applyFont="1" applyBorder="1" applyAlignment="1">
      <alignment horizontal="left" vertical="center" wrapText="1"/>
    </xf>
    <xf numFmtId="0" fontId="122" fillId="0" borderId="27" xfId="0" applyFont="1" applyBorder="1" applyAlignment="1">
      <alignment horizontal="justify" vertical="center" wrapText="1"/>
    </xf>
    <xf numFmtId="0" fontId="122" fillId="0" borderId="44" xfId="0" applyFont="1" applyBorder="1" applyAlignment="1">
      <alignment horizontal="justify" vertical="center" wrapText="1"/>
    </xf>
    <xf numFmtId="0" fontId="122" fillId="0" borderId="45" xfId="0" applyFont="1" applyBorder="1" applyAlignment="1">
      <alignment horizontal="justify" vertical="center" wrapText="1"/>
    </xf>
    <xf numFmtId="0" fontId="122" fillId="0" borderId="27" xfId="0" applyFont="1" applyBorder="1" applyAlignment="1">
      <alignment horizontal="left" vertical="center" wrapText="1"/>
    </xf>
    <xf numFmtId="0" fontId="119" fillId="0" borderId="44" xfId="0" applyFont="1" applyBorder="1" applyAlignment="1">
      <alignment horizontal="left" vertical="center" wrapText="1"/>
    </xf>
    <xf numFmtId="0" fontId="119" fillId="0" borderId="45" xfId="0" applyFont="1" applyBorder="1" applyAlignment="1">
      <alignment horizontal="left" vertical="center" wrapText="1"/>
    </xf>
    <xf numFmtId="0" fontId="63" fillId="0" borderId="112" xfId="0" applyFont="1" applyBorder="1" applyAlignment="1">
      <alignment horizontal="left" vertical="center" wrapText="1"/>
    </xf>
    <xf numFmtId="0" fontId="63" fillId="0" borderId="111" xfId="0" applyFont="1" applyBorder="1" applyAlignment="1">
      <alignment horizontal="left" vertical="center" wrapText="1"/>
    </xf>
    <xf numFmtId="0" fontId="63" fillId="0" borderId="113" xfId="0" applyFont="1" applyBorder="1" applyAlignment="1">
      <alignment horizontal="left" vertical="center" wrapText="1"/>
    </xf>
    <xf numFmtId="0" fontId="63" fillId="0" borderId="66" xfId="0" applyFont="1" applyBorder="1" applyAlignment="1">
      <alignment horizontal="left" vertical="center" wrapText="1"/>
    </xf>
    <xf numFmtId="0" fontId="63" fillId="0" borderId="106" xfId="0" applyFont="1" applyBorder="1" applyAlignment="1">
      <alignment horizontal="left" vertical="center" wrapText="1"/>
    </xf>
    <xf numFmtId="0" fontId="63" fillId="0" borderId="108" xfId="0" applyFont="1" applyBorder="1" applyAlignment="1">
      <alignment horizontal="left" vertical="center" wrapText="1"/>
    </xf>
    <xf numFmtId="0" fontId="89" fillId="0" borderId="27" xfId="0" applyFont="1" applyBorder="1" applyAlignment="1">
      <alignment horizontal="justify" vertical="center" wrapText="1"/>
    </xf>
    <xf numFmtId="0" fontId="89" fillId="0" borderId="44" xfId="0" applyFont="1" applyBorder="1" applyAlignment="1">
      <alignment horizontal="justify" vertical="center" wrapText="1"/>
    </xf>
    <xf numFmtId="0" fontId="89" fillId="0" borderId="45" xfId="0" applyFont="1" applyBorder="1" applyAlignment="1">
      <alignment horizontal="justify" vertical="center" wrapText="1"/>
    </xf>
    <xf numFmtId="0" fontId="63" fillId="0" borderId="27" xfId="0" applyFont="1" applyBorder="1" applyAlignment="1">
      <alignment horizontal="justify" vertical="center" wrapText="1"/>
    </xf>
    <xf numFmtId="43" fontId="88" fillId="0" borderId="112" xfId="0" applyNumberFormat="1" applyFont="1" applyBorder="1" applyAlignment="1">
      <alignment horizontal="left" vertical="center" wrapText="1"/>
    </xf>
    <xf numFmtId="0" fontId="88" fillId="0" borderId="111" xfId="0" applyFont="1" applyBorder="1" applyAlignment="1">
      <alignment horizontal="left" vertical="center" wrapText="1"/>
    </xf>
    <xf numFmtId="0" fontId="88" fillId="0" borderId="113" xfId="0" applyFont="1" applyBorder="1" applyAlignment="1">
      <alignment horizontal="left" vertical="center" wrapText="1"/>
    </xf>
    <xf numFmtId="0" fontId="88" fillId="0" borderId="66" xfId="0" applyFont="1" applyBorder="1" applyAlignment="1">
      <alignment horizontal="left" vertical="center" wrapText="1"/>
    </xf>
    <xf numFmtId="0" fontId="88" fillId="0" borderId="106" xfId="0" applyFont="1" applyBorder="1" applyAlignment="1">
      <alignment horizontal="left" vertical="center" wrapText="1"/>
    </xf>
    <xf numFmtId="0" fontId="88" fillId="0" borderId="108" xfId="0" applyFont="1" applyBorder="1" applyAlignment="1">
      <alignment horizontal="left" vertical="center" wrapText="1"/>
    </xf>
    <xf numFmtId="0" fontId="0" fillId="0" borderId="0" xfId="0" applyBorder="1" applyAlignment="1">
      <alignment horizontal="center"/>
    </xf>
    <xf numFmtId="0" fontId="0" fillId="0" borderId="0" xfId="0" applyBorder="1" applyAlignment="1">
      <alignment horizontal="center" wrapText="1"/>
    </xf>
    <xf numFmtId="0" fontId="63" fillId="0" borderId="44" xfId="0" applyFont="1" applyBorder="1" applyAlignment="1">
      <alignment horizontal="justify" vertical="center" wrapText="1"/>
    </xf>
    <xf numFmtId="0" fontId="63" fillId="0" borderId="45" xfId="0" applyFont="1" applyBorder="1" applyAlignment="1">
      <alignment horizontal="justify" vertical="center" wrapText="1"/>
    </xf>
    <xf numFmtId="0" fontId="63" fillId="0" borderId="112" xfId="0" applyFont="1" applyBorder="1" applyAlignment="1">
      <alignment horizontal="justify" wrapText="1"/>
    </xf>
    <xf numFmtId="0" fontId="63" fillId="0" borderId="111" xfId="0" applyFont="1" applyBorder="1" applyAlignment="1">
      <alignment horizontal="justify" wrapText="1"/>
    </xf>
    <xf numFmtId="0" fontId="63" fillId="0" borderId="113" xfId="0" applyFont="1" applyBorder="1" applyAlignment="1">
      <alignment horizontal="justify" wrapText="1"/>
    </xf>
    <xf numFmtId="0" fontId="89" fillId="0" borderId="66" xfId="0" applyFont="1" applyBorder="1" applyAlignment="1">
      <alignment horizontal="justify" vertical="center" wrapText="1"/>
    </xf>
    <xf numFmtId="0" fontId="89" fillId="0" borderId="106" xfId="0" applyFont="1" applyBorder="1" applyAlignment="1">
      <alignment horizontal="justify" vertical="center" wrapText="1"/>
    </xf>
    <xf numFmtId="0" fontId="89" fillId="0" borderId="108" xfId="0" applyFont="1" applyBorder="1" applyAlignment="1">
      <alignment horizontal="justify" vertical="center" wrapText="1"/>
    </xf>
    <xf numFmtId="0" fontId="0" fillId="0" borderId="27" xfId="0"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86" fillId="0" borderId="0" xfId="0" applyFont="1" applyAlignment="1">
      <alignment horizontal="center"/>
    </xf>
    <xf numFmtId="0" fontId="94" fillId="22" borderId="27" xfId="0" applyFont="1" applyFill="1" applyBorder="1" applyAlignment="1">
      <alignment horizontal="center" vertical="center" wrapText="1"/>
    </xf>
    <xf numFmtId="0" fontId="94" fillId="22" borderId="44" xfId="0" applyFont="1" applyFill="1" applyBorder="1" applyAlignment="1">
      <alignment horizontal="center" vertical="center"/>
    </xf>
    <xf numFmtId="0" fontId="94" fillId="22" borderId="45" xfId="0" applyFont="1" applyFill="1" applyBorder="1" applyAlignment="1">
      <alignment horizontal="center" vertical="center"/>
    </xf>
    <xf numFmtId="0" fontId="93" fillId="22" borderId="27" xfId="0" applyFont="1" applyFill="1" applyBorder="1" applyAlignment="1">
      <alignment horizontal="center" vertical="center"/>
    </xf>
    <xf numFmtId="0" fontId="93" fillId="22" borderId="44" xfId="0" applyFont="1" applyFill="1" applyBorder="1" applyAlignment="1">
      <alignment horizontal="center" vertical="center"/>
    </xf>
    <xf numFmtId="0" fontId="93" fillId="22" borderId="45" xfId="0" applyFont="1" applyFill="1" applyBorder="1" applyAlignment="1">
      <alignment horizontal="center" vertical="center"/>
    </xf>
    <xf numFmtId="0" fontId="24" fillId="0" borderId="27"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45" xfId="0" applyFont="1" applyBorder="1" applyAlignment="1">
      <alignment horizontal="center" vertical="center" wrapText="1"/>
    </xf>
    <xf numFmtId="0" fontId="93" fillId="22" borderId="27" xfId="0" applyFont="1" applyFill="1" applyBorder="1" applyAlignment="1">
      <alignment horizontal="center" wrapText="1"/>
    </xf>
    <xf numFmtId="0" fontId="93" fillId="22" borderId="44" xfId="0" applyFont="1" applyFill="1" applyBorder="1" applyAlignment="1">
      <alignment horizontal="center" wrapText="1"/>
    </xf>
    <xf numFmtId="0" fontId="93" fillId="22" borderId="45" xfId="0" applyFont="1" applyFill="1" applyBorder="1" applyAlignment="1">
      <alignment horizontal="center" wrapText="1"/>
    </xf>
    <xf numFmtId="0" fontId="93" fillId="22" borderId="27" xfId="0" applyFont="1" applyFill="1" applyBorder="1" applyAlignment="1">
      <alignment horizontal="center"/>
    </xf>
    <xf numFmtId="0" fontId="93" fillId="22" borderId="44" xfId="0" applyFont="1" applyFill="1" applyBorder="1" applyAlignment="1">
      <alignment horizontal="center"/>
    </xf>
    <xf numFmtId="0" fontId="93" fillId="22" borderId="45" xfId="0" applyFont="1" applyFill="1" applyBorder="1" applyAlignment="1">
      <alignment horizontal="center"/>
    </xf>
    <xf numFmtId="43" fontId="17" fillId="32" borderId="0" xfId="47" applyFont="1" applyFill="1" applyAlignment="1" applyProtection="1">
      <alignment horizontal="center" vertical="center"/>
    </xf>
    <xf numFmtId="0" fontId="87" fillId="25" borderId="27" xfId="0" applyFont="1" applyFill="1" applyBorder="1" applyAlignment="1">
      <alignment horizontal="center"/>
    </xf>
    <xf numFmtId="0" fontId="87" fillId="25" borderId="44" xfId="0" applyFont="1" applyFill="1" applyBorder="1" applyAlignment="1">
      <alignment horizontal="center"/>
    </xf>
    <xf numFmtId="0" fontId="87" fillId="25" borderId="45" xfId="0" applyFont="1" applyFill="1" applyBorder="1" applyAlignment="1">
      <alignment horizontal="center"/>
    </xf>
    <xf numFmtId="9" fontId="89" fillId="0" borderId="27" xfId="56" applyFont="1" applyBorder="1" applyAlignment="1">
      <alignment horizontal="justify" vertical="center" wrapText="1"/>
    </xf>
    <xf numFmtId="9" fontId="89" fillId="0" borderId="44" xfId="56" applyFont="1" applyBorder="1" applyAlignment="1">
      <alignment horizontal="justify" vertical="center" wrapText="1"/>
    </xf>
    <xf numFmtId="9" fontId="89" fillId="0" borderId="45" xfId="56" applyFont="1" applyBorder="1" applyAlignment="1">
      <alignment horizontal="justify" vertical="center" wrapText="1"/>
    </xf>
    <xf numFmtId="43" fontId="88" fillId="0" borderId="27" xfId="0" applyNumberFormat="1" applyFont="1" applyBorder="1" applyAlignment="1">
      <alignment horizontal="left" vertical="center" wrapText="1"/>
    </xf>
    <xf numFmtId="0" fontId="88" fillId="0" borderId="44" xfId="0" applyFont="1" applyBorder="1" applyAlignment="1">
      <alignment horizontal="left" vertical="center" wrapText="1"/>
    </xf>
    <xf numFmtId="0" fontId="88" fillId="0" borderId="45" xfId="0" applyFont="1" applyBorder="1" applyAlignment="1">
      <alignment horizontal="left" vertical="center" wrapText="1"/>
    </xf>
    <xf numFmtId="0" fontId="88" fillId="0" borderId="44" xfId="0" applyFont="1" applyBorder="1" applyAlignment="1">
      <alignment horizontal="left" vertical="center"/>
    </xf>
    <xf numFmtId="0" fontId="88" fillId="0" borderId="45" xfId="0" applyFont="1" applyBorder="1" applyAlignment="1">
      <alignment horizontal="left" vertical="center"/>
    </xf>
    <xf numFmtId="0" fontId="88" fillId="0" borderId="44" xfId="0" applyFont="1" applyBorder="1" applyAlignment="1">
      <alignment horizontal="justify" vertical="center"/>
    </xf>
    <xf numFmtId="0" fontId="88" fillId="0" borderId="45" xfId="0" applyFont="1" applyBorder="1" applyAlignment="1">
      <alignment horizontal="justify" vertical="center"/>
    </xf>
    <xf numFmtId="0" fontId="0" fillId="0" borderId="111" xfId="0" applyBorder="1" applyAlignment="1">
      <alignment horizontal="center"/>
    </xf>
    <xf numFmtId="0" fontId="0" fillId="0" borderId="111" xfId="0" applyBorder="1" applyAlignment="1">
      <alignment horizontal="center" wrapText="1"/>
    </xf>
    <xf numFmtId="0" fontId="87" fillId="24" borderId="27" xfId="0" applyFont="1" applyFill="1" applyBorder="1" applyAlignment="1">
      <alignment horizontal="center"/>
    </xf>
    <xf numFmtId="0" fontId="87" fillId="24" borderId="44" xfId="0" applyFont="1" applyFill="1" applyBorder="1" applyAlignment="1">
      <alignment horizontal="center"/>
    </xf>
    <xf numFmtId="0" fontId="87" fillId="24" borderId="45" xfId="0" applyFont="1" applyFill="1" applyBorder="1" applyAlignment="1">
      <alignment horizontal="center"/>
    </xf>
    <xf numFmtId="0" fontId="0" fillId="19" borderId="144" xfId="0" applyFill="1" applyBorder="1" applyAlignment="1" applyProtection="1">
      <alignment horizontal="center" vertical="center" textRotation="90"/>
    </xf>
    <xf numFmtId="43" fontId="14" fillId="0" borderId="145" xfId="0" applyNumberFormat="1" applyFont="1" applyBorder="1" applyAlignment="1" applyProtection="1">
      <alignment horizontal="center"/>
    </xf>
    <xf numFmtId="0" fontId="14" fillId="0" borderId="146" xfId="0" applyFont="1" applyBorder="1" applyAlignment="1" applyProtection="1">
      <alignment horizontal="center"/>
    </xf>
    <xf numFmtId="0" fontId="14" fillId="0" borderId="147" xfId="0" applyFont="1" applyBorder="1" applyAlignment="1" applyProtection="1">
      <alignment horizontal="center"/>
    </xf>
    <xf numFmtId="49" fontId="2" fillId="22" borderId="121" xfId="0" applyNumberFormat="1" applyFont="1" applyFill="1" applyBorder="1" applyAlignment="1" applyProtection="1">
      <alignment horizontal="left" vertical="center" wrapText="1"/>
      <protection locked="0"/>
    </xf>
    <xf numFmtId="49" fontId="67" fillId="22" borderId="109" xfId="0" applyNumberFormat="1" applyFont="1" applyFill="1" applyBorder="1" applyAlignment="1" applyProtection="1">
      <alignment horizontal="left" vertical="center" wrapText="1"/>
      <protection locked="0"/>
    </xf>
    <xf numFmtId="49" fontId="67" fillId="22" borderId="66" xfId="0" applyNumberFormat="1" applyFont="1" applyFill="1" applyBorder="1" applyAlignment="1" applyProtection="1">
      <alignment horizontal="left" vertical="center" wrapText="1"/>
      <protection locked="0"/>
    </xf>
    <xf numFmtId="49" fontId="67" fillId="22" borderId="148" xfId="0" applyNumberFormat="1" applyFont="1" applyFill="1" applyBorder="1" applyAlignment="1" applyProtection="1">
      <alignment horizontal="left" vertical="center" wrapText="1"/>
      <protection locked="0"/>
    </xf>
    <xf numFmtId="49" fontId="67" fillId="22" borderId="10" xfId="0" applyNumberFormat="1" applyFont="1" applyFill="1" applyBorder="1" applyAlignment="1" applyProtection="1">
      <alignment horizontal="left" vertical="center" wrapText="1"/>
      <protection locked="0"/>
    </xf>
    <xf numFmtId="49" fontId="67" fillId="22" borderId="27" xfId="0" applyNumberFormat="1" applyFont="1" applyFill="1" applyBorder="1" applyAlignment="1" applyProtection="1">
      <alignment horizontal="left" vertical="center" wrapText="1"/>
      <protection locked="0"/>
    </xf>
    <xf numFmtId="0" fontId="26" fillId="0" borderId="149" xfId="0" applyFont="1" applyBorder="1" applyAlignment="1" applyProtection="1">
      <alignment horizontal="center" wrapText="1"/>
    </xf>
    <xf numFmtId="0" fontId="26" fillId="0" borderId="150" xfId="0" applyFont="1" applyBorder="1" applyAlignment="1" applyProtection="1">
      <alignment horizontal="center" wrapText="1"/>
    </xf>
    <xf numFmtId="0" fontId="26" fillId="0" borderId="151" xfId="0" applyFont="1" applyBorder="1" applyAlignment="1" applyProtection="1">
      <alignment horizontal="center" wrapText="1"/>
    </xf>
    <xf numFmtId="49" fontId="67" fillId="22" borderId="120" xfId="0" applyNumberFormat="1" applyFont="1" applyFill="1" applyBorder="1" applyAlignment="1" applyProtection="1">
      <alignment horizontal="center" vertical="center" wrapText="1"/>
      <protection locked="0"/>
    </xf>
    <xf numFmtId="49" fontId="67" fillId="22" borderId="121" xfId="0" applyNumberFormat="1" applyFont="1" applyFill="1" applyBorder="1" applyAlignment="1" applyProtection="1">
      <alignment horizontal="center" vertical="center" wrapText="1"/>
      <protection locked="0"/>
    </xf>
    <xf numFmtId="49" fontId="2" fillId="23" borderId="148" xfId="0" applyNumberFormat="1" applyFont="1" applyFill="1" applyBorder="1" applyAlignment="1" applyProtection="1">
      <alignment horizontal="left" vertical="center" wrapText="1"/>
      <protection locked="0"/>
    </xf>
    <xf numFmtId="49" fontId="67" fillId="23" borderId="10" xfId="0" applyNumberFormat="1" applyFont="1" applyFill="1" applyBorder="1" applyAlignment="1" applyProtection="1">
      <alignment horizontal="left" vertical="center" wrapText="1"/>
      <protection locked="0"/>
    </xf>
    <xf numFmtId="49" fontId="67" fillId="23" borderId="27" xfId="0" applyNumberFormat="1" applyFont="1" applyFill="1" applyBorder="1" applyAlignment="1" applyProtection="1">
      <alignment horizontal="left" vertical="center" wrapText="1"/>
      <protection locked="0"/>
    </xf>
    <xf numFmtId="49" fontId="67" fillId="23" borderId="148" xfId="0" applyNumberFormat="1" applyFont="1" applyFill="1" applyBorder="1" applyAlignment="1" applyProtection="1">
      <alignment horizontal="left" vertical="center" wrapText="1"/>
      <protection locked="0"/>
    </xf>
    <xf numFmtId="49" fontId="2" fillId="22" borderId="148" xfId="0" applyNumberFormat="1" applyFont="1" applyFill="1" applyBorder="1" applyAlignment="1" applyProtection="1">
      <alignment horizontal="left" vertical="center" wrapText="1"/>
      <protection locked="0"/>
    </xf>
    <xf numFmtId="43" fontId="15" fillId="39" borderId="10" xfId="58" applyFont="1" applyFill="1" applyBorder="1" applyAlignment="1" applyProtection="1">
      <alignment horizontal="center"/>
      <protection locked="0"/>
    </xf>
    <xf numFmtId="0" fontId="114" fillId="0" borderId="0" xfId="0" applyFont="1" applyAlignment="1" applyProtection="1">
      <alignment horizontal="right"/>
    </xf>
    <xf numFmtId="49" fontId="0" fillId="0" borderId="27" xfId="0" applyNumberFormat="1" applyBorder="1" applyAlignment="1" applyProtection="1">
      <alignment horizontal="center"/>
      <protection locked="0"/>
    </xf>
    <xf numFmtId="49" fontId="0" fillId="0" borderId="45" xfId="0" applyNumberFormat="1" applyBorder="1" applyAlignment="1" applyProtection="1">
      <alignment horizontal="center"/>
      <protection locked="0"/>
    </xf>
    <xf numFmtId="49" fontId="14" fillId="0" borderId="143" xfId="0" applyNumberFormat="1" applyFont="1" applyBorder="1" applyAlignment="1" applyProtection="1">
      <alignment horizontal="center"/>
    </xf>
    <xf numFmtId="49" fontId="14" fillId="0" borderId="10" xfId="0" applyNumberFormat="1" applyFont="1" applyBorder="1" applyAlignment="1" applyProtection="1">
      <alignment horizontal="center"/>
    </xf>
    <xf numFmtId="0" fontId="114" fillId="0" borderId="0" xfId="0" applyFont="1" applyBorder="1" applyAlignment="1" applyProtection="1">
      <alignment horizontal="right"/>
    </xf>
    <xf numFmtId="0" fontId="114" fillId="0" borderId="142" xfId="0" applyFont="1" applyBorder="1" applyAlignment="1" applyProtection="1">
      <alignment horizontal="right"/>
    </xf>
    <xf numFmtId="49" fontId="0" fillId="0" borderId="10" xfId="0" applyNumberFormat="1" applyBorder="1" applyAlignment="1" applyProtection="1">
      <alignment horizontal="center"/>
      <protection locked="0"/>
    </xf>
    <xf numFmtId="0" fontId="67" fillId="0" borderId="45" xfId="0" applyFont="1" applyFill="1" applyBorder="1" applyAlignment="1" applyProtection="1">
      <alignment horizontal="center" vertical="center" wrapText="1"/>
    </xf>
    <xf numFmtId="0" fontId="67" fillId="27" borderId="45" xfId="0" applyFont="1" applyFill="1" applyBorder="1" applyAlignment="1" applyProtection="1">
      <alignment horizontal="center" vertical="center" wrapText="1"/>
    </xf>
    <xf numFmtId="43" fontId="61" fillId="32" borderId="0" xfId="39" applyFont="1" applyFill="1" applyAlignment="1" applyProtection="1">
      <alignment horizontal="center" vertical="center"/>
    </xf>
    <xf numFmtId="49" fontId="0" fillId="38" borderId="27" xfId="0" applyNumberFormat="1" applyFill="1" applyBorder="1" applyAlignment="1" applyProtection="1">
      <alignment horizontal="center"/>
      <protection locked="0"/>
    </xf>
    <xf numFmtId="49" fontId="0" fillId="38" borderId="44" xfId="0" applyNumberFormat="1" applyFill="1" applyBorder="1" applyAlignment="1" applyProtection="1">
      <alignment horizontal="center"/>
      <protection locked="0"/>
    </xf>
    <xf numFmtId="49" fontId="0" fillId="38" borderId="45" xfId="0" applyNumberFormat="1" applyFill="1" applyBorder="1" applyAlignment="1" applyProtection="1">
      <alignment horizontal="center"/>
      <protection locked="0"/>
    </xf>
    <xf numFmtId="0" fontId="114" fillId="0" borderId="50" xfId="0" applyFont="1" applyBorder="1" applyAlignment="1" applyProtection="1">
      <alignment horizontal="right"/>
    </xf>
    <xf numFmtId="3" fontId="0" fillId="0" borderId="27" xfId="0" applyNumberFormat="1" applyFill="1" applyBorder="1" applyAlignment="1" applyProtection="1">
      <alignment horizontal="center"/>
      <protection locked="0"/>
    </xf>
    <xf numFmtId="3" fontId="0" fillId="0" borderId="45" xfId="0" applyNumberFormat="1" applyFill="1" applyBorder="1" applyAlignment="1" applyProtection="1">
      <alignment horizontal="center"/>
      <protection locked="0"/>
    </xf>
    <xf numFmtId="49" fontId="1" fillId="0" borderId="10" xfId="0" applyNumberFormat="1" applyFont="1" applyBorder="1" applyAlignment="1" applyProtection="1">
      <alignment horizontal="center"/>
      <protection locked="0"/>
    </xf>
    <xf numFmtId="49" fontId="0" fillId="0" borderId="44" xfId="0" applyNumberFormat="1" applyBorder="1" applyAlignment="1" applyProtection="1">
      <alignment horizontal="center"/>
      <protection locked="0"/>
    </xf>
    <xf numFmtId="49" fontId="0" fillId="39" borderId="27" xfId="0" applyNumberFormat="1" applyFill="1" applyBorder="1" applyAlignment="1" applyProtection="1">
      <alignment horizontal="center"/>
      <protection locked="0"/>
    </xf>
    <xf numFmtId="49" fontId="0" fillId="39" borderId="45" xfId="0" applyNumberFormat="1" applyFill="1" applyBorder="1" applyAlignment="1" applyProtection="1">
      <alignment horizontal="center"/>
      <protection locked="0"/>
    </xf>
    <xf numFmtId="15" fontId="127" fillId="0" borderId="10" xfId="58" applyNumberFormat="1" applyFont="1" applyFill="1" applyBorder="1" applyAlignment="1" applyProtection="1">
      <alignment horizontal="center"/>
      <protection locked="0"/>
    </xf>
    <xf numFmtId="15" fontId="131" fillId="0" borderId="10" xfId="58" applyNumberFormat="1" applyFill="1" applyBorder="1" applyAlignment="1" applyProtection="1">
      <alignment horizontal="center"/>
      <protection locked="0"/>
    </xf>
    <xf numFmtId="0" fontId="67" fillId="0" borderId="137" xfId="0" applyFont="1" applyFill="1" applyBorder="1" applyAlignment="1" applyProtection="1">
      <alignment horizontal="left" vertical="center" wrapText="1"/>
    </xf>
    <xf numFmtId="0" fontId="67" fillId="0" borderId="138" xfId="0" applyFont="1" applyFill="1" applyBorder="1" applyAlignment="1" applyProtection="1">
      <alignment horizontal="left" vertical="center" wrapText="1"/>
    </xf>
    <xf numFmtId="0" fontId="67" fillId="0" borderId="139" xfId="0" applyFont="1" applyFill="1" applyBorder="1" applyAlignment="1" applyProtection="1">
      <alignment horizontal="left" vertical="center" wrapText="1"/>
    </xf>
    <xf numFmtId="0" fontId="67" fillId="0" borderId="140" xfId="0" applyFont="1" applyFill="1" applyBorder="1" applyAlignment="1" applyProtection="1">
      <alignment horizontal="left" vertical="center" wrapText="1"/>
    </xf>
    <xf numFmtId="0" fontId="67" fillId="0" borderId="44" xfId="0" applyFont="1" applyFill="1" applyBorder="1" applyAlignment="1" applyProtection="1">
      <alignment horizontal="left" vertical="center" wrapText="1"/>
    </xf>
    <xf numFmtId="0" fontId="67" fillId="0" borderId="141" xfId="0" applyFont="1" applyFill="1" applyBorder="1" applyAlignment="1" applyProtection="1">
      <alignment horizontal="left" vertical="center" wrapText="1"/>
    </xf>
    <xf numFmtId="0" fontId="67" fillId="27" borderId="140" xfId="0" applyFont="1" applyFill="1" applyBorder="1" applyAlignment="1" applyProtection="1">
      <alignment horizontal="left" vertical="center" wrapText="1"/>
    </xf>
    <xf numFmtId="0" fontId="67" fillId="27" borderId="44" xfId="0" applyFont="1" applyFill="1" applyBorder="1" applyAlignment="1" applyProtection="1">
      <alignment horizontal="left" vertical="center" wrapText="1"/>
    </xf>
    <xf numFmtId="0" fontId="67" fillId="27" borderId="141" xfId="0" applyFont="1" applyFill="1" applyBorder="1" applyAlignment="1" applyProtection="1">
      <alignment horizontal="left" vertical="center" wrapText="1"/>
    </xf>
    <xf numFmtId="49" fontId="2" fillId="23" borderId="128" xfId="0" applyNumberFormat="1" applyFont="1" applyFill="1" applyBorder="1" applyAlignment="1" applyProtection="1">
      <alignment horizontal="left" vertical="center" wrapText="1"/>
      <protection locked="0"/>
    </xf>
    <xf numFmtId="49" fontId="67" fillId="23" borderId="111" xfId="0" applyNumberFormat="1" applyFont="1" applyFill="1" applyBorder="1" applyAlignment="1" applyProtection="1">
      <alignment horizontal="left" vertical="center" wrapText="1"/>
      <protection locked="0"/>
    </xf>
    <xf numFmtId="49" fontId="67" fillId="23" borderId="129" xfId="0" applyNumberFormat="1" applyFont="1" applyFill="1" applyBorder="1" applyAlignment="1" applyProtection="1">
      <alignment horizontal="left" vertical="center" wrapText="1"/>
      <protection locked="0"/>
    </xf>
    <xf numFmtId="49" fontId="67" fillId="23" borderId="105" xfId="0" applyNumberFormat="1" applyFont="1" applyFill="1" applyBorder="1" applyAlignment="1" applyProtection="1">
      <alignment horizontal="left" vertical="center" wrapText="1"/>
      <protection locked="0"/>
    </xf>
    <xf numFmtId="49" fontId="67" fillId="23" borderId="106" xfId="0" applyNumberFormat="1" applyFont="1" applyFill="1" applyBorder="1" applyAlignment="1" applyProtection="1">
      <alignment horizontal="left" vertical="center" wrapText="1"/>
      <protection locked="0"/>
    </xf>
    <xf numFmtId="49" fontId="67" fillId="23" borderId="110" xfId="0" applyNumberFormat="1" applyFont="1" applyFill="1" applyBorder="1" applyAlignment="1" applyProtection="1">
      <alignment horizontal="left" vertical="center" wrapText="1"/>
      <protection locked="0"/>
    </xf>
    <xf numFmtId="49" fontId="2" fillId="34" borderId="128" xfId="0" applyNumberFormat="1" applyFont="1" applyFill="1" applyBorder="1" applyAlignment="1" applyProtection="1">
      <alignment horizontal="left" vertical="center" wrapText="1"/>
      <protection locked="0"/>
    </xf>
    <xf numFmtId="49" fontId="67" fillId="34" borderId="111" xfId="0" applyNumberFormat="1" applyFont="1" applyFill="1" applyBorder="1" applyAlignment="1" applyProtection="1">
      <alignment horizontal="left" vertical="center" wrapText="1"/>
      <protection locked="0"/>
    </xf>
    <xf numFmtId="49" fontId="67" fillId="34" borderId="129" xfId="0" applyNumberFormat="1" applyFont="1" applyFill="1" applyBorder="1" applyAlignment="1" applyProtection="1">
      <alignment horizontal="left" vertical="center" wrapText="1"/>
      <protection locked="0"/>
    </xf>
    <xf numFmtId="49" fontId="67" fillId="34" borderId="105" xfId="0" applyNumberFormat="1" applyFont="1" applyFill="1" applyBorder="1" applyAlignment="1" applyProtection="1">
      <alignment horizontal="left" vertical="center" wrapText="1"/>
      <protection locked="0"/>
    </xf>
    <xf numFmtId="49" fontId="67" fillId="34" borderId="106" xfId="0" applyNumberFormat="1" applyFont="1" applyFill="1" applyBorder="1" applyAlignment="1" applyProtection="1">
      <alignment horizontal="left" vertical="center" wrapText="1"/>
      <protection locked="0"/>
    </xf>
    <xf numFmtId="49" fontId="67" fillId="34" borderId="110" xfId="0" applyNumberFormat="1" applyFont="1" applyFill="1" applyBorder="1" applyAlignment="1" applyProtection="1">
      <alignment horizontal="left" vertical="center" wrapText="1"/>
      <protection locked="0"/>
    </xf>
    <xf numFmtId="49" fontId="134" fillId="34" borderId="128" xfId="0" applyNumberFormat="1" applyFont="1" applyFill="1" applyBorder="1" applyAlignment="1" applyProtection="1">
      <alignment horizontal="left" vertical="center" wrapText="1"/>
      <protection locked="0"/>
    </xf>
    <xf numFmtId="49" fontId="134" fillId="34" borderId="111" xfId="0" applyNumberFormat="1" applyFont="1" applyFill="1" applyBorder="1" applyAlignment="1" applyProtection="1">
      <alignment horizontal="left" vertical="center" wrapText="1"/>
      <protection locked="0"/>
    </xf>
    <xf numFmtId="49" fontId="134" fillId="34" borderId="129" xfId="0" applyNumberFormat="1" applyFont="1" applyFill="1" applyBorder="1" applyAlignment="1" applyProtection="1">
      <alignment horizontal="left" vertical="center" wrapText="1"/>
      <protection locked="0"/>
    </xf>
    <xf numFmtId="49" fontId="134" fillId="34" borderId="105" xfId="0" applyNumberFormat="1" applyFont="1" applyFill="1" applyBorder="1" applyAlignment="1" applyProtection="1">
      <alignment horizontal="left" vertical="center" wrapText="1"/>
      <protection locked="0"/>
    </xf>
    <xf numFmtId="49" fontId="134" fillId="34" borderId="106" xfId="0" applyNumberFormat="1" applyFont="1" applyFill="1" applyBorder="1" applyAlignment="1" applyProtection="1">
      <alignment horizontal="left" vertical="center" wrapText="1"/>
      <protection locked="0"/>
    </xf>
    <xf numFmtId="49" fontId="134" fillId="34" borderId="110" xfId="0" applyNumberFormat="1" applyFont="1" applyFill="1" applyBorder="1" applyAlignment="1" applyProtection="1">
      <alignment horizontal="left" vertical="center" wrapText="1"/>
      <protection locked="0"/>
    </xf>
    <xf numFmtId="49" fontId="67" fillId="23" borderId="45" xfId="0" applyNumberFormat="1" applyFont="1" applyFill="1" applyBorder="1" applyAlignment="1" applyProtection="1">
      <alignment horizontal="center" vertical="center" wrapText="1"/>
      <protection locked="0"/>
    </xf>
    <xf numFmtId="0" fontId="0" fillId="0" borderId="132" xfId="0" applyBorder="1" applyAlignment="1" applyProtection="1">
      <alignment horizontal="center"/>
    </xf>
    <xf numFmtId="0" fontId="0" fillId="0" borderId="21" xfId="0" applyBorder="1" applyAlignment="1" applyProtection="1">
      <alignment horizontal="center"/>
    </xf>
    <xf numFmtId="0" fontId="84" fillId="0" borderId="133" xfId="0" applyFont="1" applyBorder="1" applyAlignment="1" applyProtection="1">
      <alignment horizontal="right"/>
    </xf>
    <xf numFmtId="0" fontId="123" fillId="0" borderId="133" xfId="0" applyFont="1" applyBorder="1" applyAlignment="1"/>
    <xf numFmtId="0" fontId="0" fillId="0" borderId="134" xfId="0" applyFill="1" applyBorder="1" applyAlignment="1" applyProtection="1">
      <alignment horizontal="center" vertical="center"/>
      <protection locked="0"/>
    </xf>
    <xf numFmtId="0" fontId="0" fillId="0" borderId="135" xfId="0" applyFill="1" applyBorder="1" applyAlignment="1" applyProtection="1">
      <alignment horizontal="center" vertical="center"/>
      <protection locked="0"/>
    </xf>
    <xf numFmtId="0" fontId="0" fillId="0" borderId="136" xfId="0" applyFill="1" applyBorder="1" applyAlignment="1" applyProtection="1">
      <alignment horizontal="center" vertical="center"/>
      <protection locked="0"/>
    </xf>
    <xf numFmtId="49" fontId="67" fillId="23" borderId="120" xfId="0" applyNumberFormat="1" applyFont="1" applyFill="1" applyBorder="1" applyAlignment="1" applyProtection="1">
      <alignment horizontal="center" vertical="center" wrapText="1"/>
      <protection locked="0"/>
    </xf>
    <xf numFmtId="49" fontId="67" fillId="23" borderId="121" xfId="0" applyNumberFormat="1" applyFont="1" applyFill="1" applyBorder="1" applyAlignment="1" applyProtection="1">
      <alignment horizontal="center" vertical="center" wrapText="1"/>
      <protection locked="0"/>
    </xf>
    <xf numFmtId="0" fontId="2" fillId="22" borderId="115" xfId="0" applyNumberFormat="1" applyFont="1" applyFill="1" applyBorder="1" applyAlignment="1" applyProtection="1">
      <alignment horizontal="center" vertical="center" wrapText="1"/>
      <protection locked="0"/>
    </xf>
    <xf numFmtId="0" fontId="67" fillId="22" borderId="115" xfId="0" applyNumberFormat="1" applyFont="1" applyFill="1" applyBorder="1" applyAlignment="1" applyProtection="1">
      <alignment horizontal="center" vertical="center" wrapText="1"/>
      <protection locked="0"/>
    </xf>
    <xf numFmtId="49" fontId="67" fillId="22" borderId="45" xfId="0" applyNumberFormat="1" applyFont="1" applyFill="1" applyBorder="1" applyAlignment="1" applyProtection="1">
      <alignment horizontal="center" vertical="center" wrapText="1"/>
      <protection locked="0"/>
    </xf>
    <xf numFmtId="0" fontId="0" fillId="22" borderId="27" xfId="0" applyFill="1" applyBorder="1" applyAlignment="1" applyProtection="1">
      <alignment horizontal="center"/>
    </xf>
    <xf numFmtId="0" fontId="0" fillId="22" borderId="45" xfId="0" applyFill="1" applyBorder="1" applyAlignment="1" applyProtection="1">
      <alignment horizontal="center"/>
    </xf>
    <xf numFmtId="49" fontId="14" fillId="0" borderId="104" xfId="0" applyNumberFormat="1" applyFont="1" applyBorder="1" applyAlignment="1" applyProtection="1">
      <alignment horizontal="center"/>
    </xf>
    <xf numFmtId="49" fontId="14" fillId="0" borderId="47" xfId="0" applyNumberFormat="1" applyFont="1" applyBorder="1" applyAlignment="1" applyProtection="1">
      <alignment horizontal="center"/>
    </xf>
    <xf numFmtId="0" fontId="77" fillId="0" borderId="137" xfId="0" applyFont="1" applyFill="1" applyBorder="1" applyAlignment="1" applyProtection="1">
      <alignment horizontal="center" vertical="center"/>
    </xf>
    <xf numFmtId="0" fontId="77" fillId="0" borderId="138" xfId="0" applyFont="1" applyFill="1" applyBorder="1" applyAlignment="1" applyProtection="1">
      <alignment horizontal="center" vertical="center"/>
    </xf>
    <xf numFmtId="0" fontId="77" fillId="0" borderId="139" xfId="0" applyFont="1" applyFill="1" applyBorder="1" applyAlignment="1" applyProtection="1">
      <alignment horizontal="center" vertical="center"/>
    </xf>
    <xf numFmtId="9" fontId="33" fillId="0" borderId="117" xfId="56" applyFont="1" applyFill="1" applyBorder="1" applyAlignment="1" applyProtection="1">
      <alignment horizontal="center" vertical="center"/>
    </xf>
    <xf numFmtId="9" fontId="33" fillId="0" borderId="118" xfId="56" applyFont="1" applyFill="1" applyBorder="1" applyAlignment="1" applyProtection="1">
      <alignment horizontal="center" vertical="center"/>
    </xf>
    <xf numFmtId="9" fontId="33" fillId="0" borderId="119" xfId="56" applyFont="1" applyFill="1" applyBorder="1" applyAlignment="1" applyProtection="1">
      <alignment horizontal="center" vertical="center"/>
    </xf>
    <xf numFmtId="49" fontId="2" fillId="23" borderId="120" xfId="0" applyNumberFormat="1" applyFont="1" applyFill="1" applyBorder="1" applyAlignment="1" applyProtection="1">
      <alignment horizontal="center" vertical="center" wrapText="1"/>
      <protection locked="0"/>
    </xf>
    <xf numFmtId="0" fontId="2" fillId="23" borderId="115" xfId="0" applyNumberFormat="1" applyFont="1" applyFill="1" applyBorder="1" applyAlignment="1" applyProtection="1">
      <alignment horizontal="center" vertical="center" wrapText="1"/>
      <protection locked="0"/>
    </xf>
    <xf numFmtId="0" fontId="67" fillId="23" borderId="115" xfId="0" applyNumberFormat="1" applyFont="1" applyFill="1" applyBorder="1" applyAlignment="1" applyProtection="1">
      <alignment horizontal="center" vertical="center" wrapText="1"/>
      <protection locked="0"/>
    </xf>
    <xf numFmtId="0" fontId="0" fillId="33" borderId="122" xfId="0" applyFill="1" applyBorder="1" applyAlignment="1" applyProtection="1">
      <alignment horizontal="center"/>
    </xf>
    <xf numFmtId="0" fontId="0" fillId="33" borderId="123" xfId="0" applyFill="1" applyBorder="1" applyAlignment="1" applyProtection="1">
      <alignment horizontal="center"/>
    </xf>
    <xf numFmtId="0" fontId="0" fillId="33" borderId="124" xfId="0" applyFill="1" applyBorder="1" applyAlignment="1" applyProtection="1">
      <alignment horizontal="center"/>
    </xf>
    <xf numFmtId="0" fontId="67" fillId="0" borderId="115" xfId="0" applyFont="1" applyFill="1" applyBorder="1" applyAlignment="1" applyProtection="1">
      <alignment horizontal="center" vertical="center" wrapText="1"/>
    </xf>
    <xf numFmtId="0" fontId="67" fillId="0" borderId="116" xfId="0" applyFont="1" applyFill="1" applyBorder="1" applyAlignment="1" applyProtection="1">
      <alignment horizontal="center" vertical="center" wrapText="1"/>
    </xf>
    <xf numFmtId="0" fontId="67" fillId="0" borderId="114" xfId="0" applyFont="1" applyFill="1" applyBorder="1" applyAlignment="1" applyProtection="1">
      <alignment horizontal="center" vertical="center" wrapText="1"/>
    </xf>
    <xf numFmtId="0" fontId="134" fillId="22" borderId="115" xfId="0" applyNumberFormat="1" applyFont="1" applyFill="1" applyBorder="1" applyAlignment="1" applyProtection="1">
      <alignment horizontal="center" vertical="center" wrapText="1"/>
      <protection locked="0"/>
    </xf>
    <xf numFmtId="0" fontId="134" fillId="22" borderId="45" xfId="0" applyNumberFormat="1" applyFont="1" applyFill="1" applyBorder="1" applyAlignment="1" applyProtection="1">
      <alignment horizontal="center" vertical="center" wrapText="1"/>
      <protection locked="0"/>
    </xf>
    <xf numFmtId="0" fontId="67" fillId="23" borderId="116" xfId="0" applyNumberFormat="1" applyFont="1" applyFill="1" applyBorder="1" applyAlignment="1" applyProtection="1">
      <alignment horizontal="center" vertical="center" wrapText="1"/>
      <protection locked="0"/>
    </xf>
    <xf numFmtId="49" fontId="67" fillId="23" borderId="114" xfId="0" applyNumberFormat="1" applyFont="1" applyFill="1" applyBorder="1" applyAlignment="1" applyProtection="1">
      <alignment horizontal="center" vertical="center" wrapText="1"/>
      <protection locked="0"/>
    </xf>
    <xf numFmtId="0" fontId="67" fillId="0" borderId="105" xfId="0" applyFont="1" applyFill="1" applyBorder="1" applyAlignment="1" applyProtection="1">
      <alignment horizontal="left" vertical="center" wrapText="1"/>
    </xf>
    <xf numFmtId="0" fontId="67" fillId="0" borderId="106" xfId="0" applyFont="1" applyFill="1" applyBorder="1" applyAlignment="1" applyProtection="1">
      <alignment horizontal="left" vertical="center" wrapText="1"/>
    </xf>
    <xf numFmtId="0" fontId="67" fillId="0" borderId="110" xfId="0" applyFont="1" applyFill="1" applyBorder="1" applyAlignment="1" applyProtection="1">
      <alignment horizontal="left" vertical="center" wrapText="1"/>
    </xf>
    <xf numFmtId="0" fontId="67" fillId="0" borderId="125" xfId="0" applyFont="1" applyFill="1" applyBorder="1" applyAlignment="1" applyProtection="1">
      <alignment horizontal="left" vertical="center" wrapText="1"/>
    </xf>
    <xf numFmtId="0" fontId="67" fillId="0" borderId="126" xfId="0" applyFont="1" applyFill="1" applyBorder="1" applyAlignment="1" applyProtection="1">
      <alignment horizontal="left" vertical="center" wrapText="1"/>
    </xf>
    <xf numFmtId="0" fontId="67" fillId="0" borderId="127" xfId="0" applyFont="1" applyFill="1" applyBorder="1" applyAlignment="1" applyProtection="1">
      <alignment horizontal="left" vertical="center" wrapText="1"/>
    </xf>
    <xf numFmtId="49" fontId="67" fillId="23" borderId="128" xfId="0" applyNumberFormat="1" applyFont="1" applyFill="1" applyBorder="1" applyAlignment="1" applyProtection="1">
      <alignment horizontal="left" vertical="center" wrapText="1"/>
      <protection locked="0"/>
    </xf>
    <xf numFmtId="49" fontId="67" fillId="23" borderId="130" xfId="0" applyNumberFormat="1" applyFont="1" applyFill="1" applyBorder="1" applyAlignment="1" applyProtection="1">
      <alignment horizontal="left" vertical="center" wrapText="1"/>
      <protection locked="0"/>
    </xf>
    <xf numFmtId="49" fontId="67" fillId="23" borderId="26" xfId="0" applyNumberFormat="1" applyFont="1" applyFill="1" applyBorder="1" applyAlignment="1" applyProtection="1">
      <alignment horizontal="left" vertical="center" wrapText="1"/>
      <protection locked="0"/>
    </xf>
    <xf numFmtId="49" fontId="67" fillId="23" borderId="131" xfId="0" applyNumberFormat="1" applyFont="1" applyFill="1" applyBorder="1" applyAlignment="1" applyProtection="1">
      <alignment horizontal="left" vertical="center" wrapText="1"/>
      <protection locked="0"/>
    </xf>
    <xf numFmtId="0" fontId="67" fillId="27" borderId="115" xfId="0" applyFont="1" applyFill="1" applyBorder="1" applyAlignment="1" applyProtection="1">
      <alignment horizontal="center" vertical="center" wrapText="1"/>
    </xf>
    <xf numFmtId="43" fontId="106" fillId="32" borderId="0" xfId="39" applyFont="1" applyFill="1" applyAlignment="1" applyProtection="1">
      <alignment horizontal="center" vertical="center"/>
    </xf>
    <xf numFmtId="43" fontId="24" fillId="24" borderId="41" xfId="58" applyFont="1" applyFill="1" applyBorder="1" applyAlignment="1" applyProtection="1">
      <alignment horizontal="center"/>
    </xf>
    <xf numFmtId="43" fontId="33" fillId="24" borderId="0" xfId="50" applyFont="1" applyFill="1" applyAlignment="1" applyProtection="1">
      <alignment horizontal="center" vertical="center" wrapText="1"/>
    </xf>
    <xf numFmtId="173" fontId="24" fillId="24" borderId="41" xfId="58" applyNumberFormat="1" applyFont="1" applyFill="1" applyBorder="1" applyAlignment="1" applyProtection="1">
      <alignment horizontal="center" vertical="center"/>
    </xf>
    <xf numFmtId="43" fontId="1" fillId="0" borderId="41" xfId="58" applyFont="1" applyBorder="1" applyAlignment="1" applyProtection="1">
      <alignment horizontal="right"/>
    </xf>
    <xf numFmtId="43" fontId="1" fillId="0" borderId="41" xfId="58" applyFont="1" applyFill="1" applyBorder="1" applyAlignment="1" applyProtection="1">
      <alignment horizontal="right"/>
    </xf>
    <xf numFmtId="43" fontId="20" fillId="0" borderId="0" xfId="50" applyFont="1" applyFill="1" applyAlignment="1" applyProtection="1">
      <alignment horizontal="right" vertical="center"/>
    </xf>
    <xf numFmtId="43" fontId="24" fillId="24" borderId="0" xfId="50" applyFont="1" applyFill="1" applyAlignment="1" applyProtection="1">
      <alignment horizontal="center" vertical="center" wrapText="1"/>
    </xf>
    <xf numFmtId="43" fontId="117" fillId="31" borderId="41" xfId="58" applyFont="1" applyFill="1" applyBorder="1" applyAlignment="1" applyProtection="1">
      <alignment horizontal="center"/>
    </xf>
    <xf numFmtId="15" fontId="24" fillId="24" borderId="41" xfId="58" applyNumberFormat="1" applyFont="1" applyFill="1" applyBorder="1" applyAlignment="1" applyProtection="1">
      <alignment horizontal="center"/>
    </xf>
    <xf numFmtId="0" fontId="0" fillId="0" borderId="41" xfId="0" applyBorder="1" applyAlignment="1"/>
    <xf numFmtId="0" fontId="34" fillId="22" borderId="27" xfId="0" applyFont="1" applyFill="1" applyBorder="1" applyAlignment="1" applyProtection="1">
      <alignment horizontal="left" wrapText="1"/>
      <protection locked="0"/>
    </xf>
    <xf numFmtId="0" fontId="0" fillId="0" borderId="44" xfId="0" applyBorder="1" applyAlignment="1" applyProtection="1">
      <alignment horizontal="left" wrapText="1"/>
      <protection locked="0"/>
    </xf>
    <xf numFmtId="0" fontId="0" fillId="0" borderId="45" xfId="0" applyBorder="1" applyAlignment="1" applyProtection="1">
      <alignment horizontal="left" wrapText="1"/>
      <protection locked="0"/>
    </xf>
    <xf numFmtId="0" fontId="118" fillId="0" borderId="152" xfId="0" applyFont="1" applyFill="1" applyBorder="1" applyAlignment="1" applyProtection="1">
      <alignment horizontal="left" wrapText="1"/>
    </xf>
    <xf numFmtId="0" fontId="118" fillId="0" borderId="153" xfId="0" applyFont="1" applyFill="1" applyBorder="1" applyAlignment="1" applyProtection="1">
      <alignment horizontal="left" wrapText="1"/>
    </xf>
    <xf numFmtId="0" fontId="118" fillId="0" borderId="154" xfId="0" applyFont="1" applyFill="1" applyBorder="1" applyAlignment="1" applyProtection="1">
      <alignment horizontal="left" wrapText="1"/>
    </xf>
    <xf numFmtId="0" fontId="118" fillId="0" borderId="155" xfId="0" applyFont="1" applyFill="1" applyBorder="1" applyAlignment="1" applyProtection="1">
      <alignment horizontal="left" wrapText="1"/>
    </xf>
    <xf numFmtId="43" fontId="14" fillId="0" borderId="0" xfId="0" applyNumberFormat="1" applyFont="1" applyAlignment="1" applyProtection="1">
      <alignment horizontal="center" wrapText="1"/>
    </xf>
    <xf numFmtId="43" fontId="28" fillId="0" borderId="0" xfId="0" applyNumberFormat="1" applyFont="1" applyAlignment="1" applyProtection="1">
      <alignment horizontal="right"/>
    </xf>
    <xf numFmtId="15" fontId="28" fillId="0" borderId="0" xfId="0" applyNumberFormat="1" applyFont="1" applyAlignment="1" applyProtection="1">
      <alignment horizontal="right"/>
    </xf>
    <xf numFmtId="43" fontId="14" fillId="0" borderId="0" xfId="0" applyNumberFormat="1" applyFont="1" applyAlignment="1" applyProtection="1">
      <alignment horizontal="center"/>
    </xf>
    <xf numFmtId="43" fontId="28" fillId="0" borderId="0" xfId="0" applyNumberFormat="1" applyFont="1" applyAlignment="1" applyProtection="1">
      <alignment horizontal="left"/>
    </xf>
    <xf numFmtId="43" fontId="15" fillId="31" borderId="0" xfId="58" applyFont="1" applyFill="1" applyBorder="1" applyAlignment="1" applyProtection="1">
      <alignment horizontal="center"/>
    </xf>
    <xf numFmtId="0" fontId="111" fillId="0" borderId="0" xfId="0" applyFont="1" applyAlignment="1" applyProtection="1">
      <alignment horizontal="center"/>
    </xf>
    <xf numFmtId="43" fontId="110" fillId="0" borderId="122" xfId="0" applyNumberFormat="1" applyFont="1" applyBorder="1" applyAlignment="1" applyProtection="1">
      <alignment horizontal="center" vertical="center" wrapText="1"/>
    </xf>
    <xf numFmtId="43" fontId="110" fillId="0" borderId="123" xfId="0" applyNumberFormat="1" applyFont="1" applyBorder="1" applyAlignment="1" applyProtection="1">
      <alignment horizontal="center" vertical="center" wrapText="1"/>
    </xf>
    <xf numFmtId="43" fontId="110" fillId="0" borderId="124" xfId="0" applyNumberFormat="1" applyFont="1" applyBorder="1" applyAlignment="1" applyProtection="1">
      <alignment horizontal="center" vertical="center" wrapText="1"/>
    </xf>
    <xf numFmtId="0" fontId="0" fillId="0" borderId="156" xfId="0" applyBorder="1" applyAlignment="1" applyProtection="1">
      <alignment horizontal="center"/>
    </xf>
    <xf numFmtId="0" fontId="0" fillId="0" borderId="64" xfId="0" applyBorder="1" applyAlignment="1" applyProtection="1">
      <alignment horizontal="center"/>
    </xf>
    <xf numFmtId="0" fontId="30" fillId="22" borderId="27" xfId="0" applyFont="1" applyFill="1" applyBorder="1" applyAlignment="1" applyProtection="1">
      <alignment horizontal="left" wrapText="1"/>
      <protection locked="0"/>
    </xf>
    <xf numFmtId="0" fontId="34" fillId="22" borderId="44" xfId="0" applyFont="1" applyFill="1" applyBorder="1" applyAlignment="1" applyProtection="1">
      <alignment horizontal="left" wrapText="1"/>
      <protection locked="0"/>
    </xf>
    <xf numFmtId="0" fontId="34" fillId="22" borderId="45" xfId="0" applyFont="1" applyFill="1" applyBorder="1" applyAlignment="1" applyProtection="1">
      <alignment horizontal="left" wrapText="1"/>
      <protection locked="0"/>
    </xf>
    <xf numFmtId="0" fontId="0" fillId="0" borderId="44" xfId="0" applyBorder="1" applyAlignment="1">
      <alignment horizontal="left" wrapText="1"/>
    </xf>
    <xf numFmtId="0" fontId="0" fillId="0" borderId="45" xfId="0" applyBorder="1" applyAlignment="1">
      <alignment horizontal="left" wrapText="1"/>
    </xf>
    <xf numFmtId="0" fontId="85" fillId="0" borderId="0" xfId="0" applyFont="1" applyAlignment="1">
      <alignment horizontal="left" wrapText="1"/>
    </xf>
    <xf numFmtId="43" fontId="28" fillId="0" borderId="0" xfId="0" applyNumberFormat="1" applyFont="1" applyAlignment="1">
      <alignment horizontal="left"/>
    </xf>
    <xf numFmtId="43" fontId="14" fillId="0" borderId="0" xfId="0" applyNumberFormat="1" applyFont="1" applyAlignment="1">
      <alignment horizontal="center"/>
    </xf>
    <xf numFmtId="43" fontId="61" fillId="32" borderId="0" xfId="48" applyFont="1" applyFill="1" applyAlignment="1">
      <alignment horizontal="center" vertical="center"/>
    </xf>
    <xf numFmtId="0" fontId="111" fillId="0" borderId="0" xfId="0" applyFont="1" applyAlignment="1">
      <alignment horizontal="center"/>
    </xf>
    <xf numFmtId="43" fontId="28" fillId="0" borderId="0" xfId="0" applyNumberFormat="1" applyFont="1" applyAlignment="1">
      <alignment horizontal="right"/>
    </xf>
    <xf numFmtId="0" fontId="0" fillId="0" borderId="134" xfId="0" applyFill="1" applyBorder="1" applyAlignment="1" applyProtection="1">
      <alignment horizontal="center" vertical="center"/>
    </xf>
    <xf numFmtId="0" fontId="0" fillId="0" borderId="135" xfId="0" applyFill="1" applyBorder="1" applyAlignment="1" applyProtection="1">
      <alignment horizontal="center" vertical="center"/>
    </xf>
    <xf numFmtId="0" fontId="0" fillId="0" borderId="136" xfId="0" applyFill="1" applyBorder="1" applyAlignment="1" applyProtection="1">
      <alignment horizontal="center" vertical="center"/>
    </xf>
    <xf numFmtId="15" fontId="28" fillId="0" borderId="0" xfId="0" applyNumberFormat="1" applyFont="1" applyAlignment="1">
      <alignment horizontal="right"/>
    </xf>
    <xf numFmtId="0" fontId="14" fillId="0" borderId="0" xfId="0" applyFont="1" applyBorder="1" applyAlignment="1">
      <alignment horizontal="center"/>
    </xf>
    <xf numFmtId="9" fontId="28" fillId="0" borderId="10" xfId="56" applyNumberFormat="1" applyFont="1" applyBorder="1" applyAlignment="1" applyProtection="1">
      <alignment horizontal="center" vertical="center" wrapText="1"/>
    </xf>
    <xf numFmtId="174" fontId="35" fillId="22" borderId="27" xfId="0" applyNumberFormat="1" applyFont="1" applyFill="1" applyBorder="1" applyAlignment="1" applyProtection="1">
      <alignment horizontal="center" vertical="center" wrapText="1"/>
      <protection locked="0"/>
    </xf>
    <xf numFmtId="0" fontId="35" fillId="22" borderId="44" xfId="0" applyFont="1" applyFill="1" applyBorder="1" applyAlignment="1" applyProtection="1">
      <alignment horizontal="center" vertical="center" wrapText="1"/>
      <protection locked="0"/>
    </xf>
    <xf numFmtId="0" fontId="35" fillId="22" borderId="45" xfId="0" applyFont="1" applyFill="1" applyBorder="1" applyAlignment="1" applyProtection="1">
      <alignment horizontal="center" vertical="center" wrapText="1"/>
      <protection locked="0"/>
    </xf>
    <xf numFmtId="0" fontId="34" fillId="0" borderId="111" xfId="0" applyFont="1" applyBorder="1" applyAlignment="1" applyProtection="1">
      <alignment horizontal="left" vertical="center"/>
    </xf>
    <xf numFmtId="174" fontId="132" fillId="0" borderId="44" xfId="0" applyNumberFormat="1" applyFont="1" applyBorder="1" applyAlignment="1">
      <alignment horizontal="center" vertical="center" wrapText="1"/>
    </xf>
    <xf numFmtId="174" fontId="132" fillId="0" borderId="45" xfId="0" applyNumberFormat="1" applyFont="1" applyBorder="1" applyAlignment="1">
      <alignment horizontal="center" vertical="center" wrapText="1"/>
    </xf>
    <xf numFmtId="0" fontId="132" fillId="0" borderId="44" xfId="0" applyFont="1" applyBorder="1" applyAlignment="1">
      <alignment horizontal="center" vertical="center" wrapText="1"/>
    </xf>
    <xf numFmtId="0" fontId="132" fillId="0" borderId="45" xfId="0" applyFont="1" applyBorder="1" applyAlignment="1">
      <alignment horizontal="center" vertical="center" wrapText="1"/>
    </xf>
    <xf numFmtId="0" fontId="28" fillId="0" borderId="10" xfId="0" applyFont="1" applyBorder="1" applyAlignment="1" applyProtection="1">
      <alignment vertical="center" wrapText="1"/>
    </xf>
    <xf numFmtId="9" fontId="37" fillId="33" borderId="27" xfId="56" applyFont="1" applyFill="1" applyBorder="1" applyAlignment="1" applyProtection="1">
      <alignment horizontal="center" vertical="center" wrapText="1"/>
    </xf>
    <xf numFmtId="9" fontId="37" fillId="33" borderId="45" xfId="56" applyFont="1" applyFill="1" applyBorder="1" applyAlignment="1" applyProtection="1">
      <alignment horizontal="center" vertical="center" wrapText="1"/>
    </xf>
    <xf numFmtId="9" fontId="37" fillId="30" borderId="27" xfId="56" applyFont="1" applyFill="1" applyBorder="1" applyAlignment="1" applyProtection="1">
      <alignment horizontal="center" vertical="center" wrapText="1"/>
    </xf>
    <xf numFmtId="9" fontId="37" fillId="30" borderId="45" xfId="56" applyFont="1" applyFill="1" applyBorder="1" applyAlignment="1" applyProtection="1">
      <alignment horizontal="center" vertical="center" wrapText="1"/>
    </xf>
    <xf numFmtId="0" fontId="33" fillId="0" borderId="106" xfId="0" applyFont="1" applyBorder="1" applyAlignment="1" applyProtection="1">
      <alignment horizontal="center"/>
    </xf>
    <xf numFmtId="0" fontId="34" fillId="0" borderId="10" xfId="0" applyFont="1" applyBorder="1" applyAlignment="1" applyProtection="1">
      <alignment horizontal="center" vertical="center" wrapText="1"/>
    </xf>
    <xf numFmtId="0" fontId="34" fillId="0" borderId="27" xfId="0" applyFont="1" applyBorder="1" applyAlignment="1" applyProtection="1">
      <alignment horizontal="center" vertical="center"/>
    </xf>
    <xf numFmtId="0" fontId="34" fillId="0" borderId="44" xfId="0" applyFont="1" applyBorder="1" applyAlignment="1" applyProtection="1">
      <alignment horizontal="center" vertical="center"/>
    </xf>
    <xf numFmtId="0" fontId="34" fillId="0" borderId="45" xfId="0" applyFont="1" applyBorder="1" applyAlignment="1" applyProtection="1">
      <alignment horizontal="center" vertical="center"/>
    </xf>
    <xf numFmtId="0" fontId="34" fillId="20" borderId="157" xfId="0" applyFont="1" applyFill="1" applyBorder="1" applyAlignment="1" applyProtection="1">
      <alignment horizontal="left"/>
      <protection locked="0"/>
    </xf>
    <xf numFmtId="0" fontId="34" fillId="20" borderId="0" xfId="0" applyFont="1" applyFill="1" applyBorder="1" applyAlignment="1" applyProtection="1">
      <alignment horizontal="left"/>
      <protection locked="0"/>
    </xf>
    <xf numFmtId="9" fontId="28" fillId="22" borderId="27" xfId="56" applyFont="1" applyFill="1" applyBorder="1" applyAlignment="1" applyProtection="1">
      <alignment horizontal="left" vertical="top" wrapText="1"/>
      <protection locked="0"/>
    </xf>
    <xf numFmtId="9" fontId="28" fillId="22" borderId="44" xfId="56" applyFont="1" applyFill="1" applyBorder="1" applyAlignment="1" applyProtection="1">
      <alignment horizontal="left" vertical="top" wrapText="1"/>
      <protection locked="0"/>
    </xf>
    <xf numFmtId="9" fontId="28" fillId="22" borderId="45" xfId="56" applyFont="1" applyFill="1" applyBorder="1" applyAlignment="1" applyProtection="1">
      <alignment horizontal="left" vertical="top" wrapText="1"/>
      <protection locked="0"/>
    </xf>
    <xf numFmtId="9" fontId="28" fillId="22" borderId="10" xfId="56" applyFont="1" applyFill="1" applyBorder="1" applyAlignment="1" applyProtection="1">
      <alignment horizontal="left" vertical="top" wrapText="1"/>
      <protection locked="0"/>
    </xf>
    <xf numFmtId="9" fontId="28" fillId="22" borderId="27" xfId="56" applyFont="1" applyFill="1" applyBorder="1" applyAlignment="1" applyProtection="1">
      <alignment horizontal="left" vertical="top" wrapText="1"/>
    </xf>
    <xf numFmtId="9" fontId="28" fillId="22" borderId="44" xfId="56" applyFont="1" applyFill="1" applyBorder="1" applyAlignment="1" applyProtection="1">
      <alignment horizontal="left" vertical="top" wrapText="1"/>
    </xf>
    <xf numFmtId="9" fontId="28" fillId="22" borderId="45" xfId="56" applyFont="1" applyFill="1" applyBorder="1" applyAlignment="1" applyProtection="1">
      <alignment horizontal="left" vertical="top" wrapText="1"/>
    </xf>
    <xf numFmtId="0" fontId="34" fillId="20" borderId="0" xfId="0" applyFont="1" applyFill="1" applyAlignment="1" applyProtection="1">
      <alignment horizontal="center" vertical="center" wrapText="1"/>
    </xf>
    <xf numFmtId="0" fontId="28" fillId="0" borderId="27" xfId="0" applyFont="1" applyBorder="1" applyAlignment="1" applyProtection="1">
      <alignment vertical="center" wrapText="1"/>
    </xf>
    <xf numFmtId="0" fontId="28" fillId="0" borderId="44" xfId="0" applyFont="1" applyBorder="1" applyAlignment="1" applyProtection="1">
      <alignment vertical="center" wrapText="1"/>
    </xf>
    <xf numFmtId="0" fontId="28" fillId="0" borderId="45" xfId="0" applyFont="1" applyBorder="1" applyAlignment="1" applyProtection="1">
      <alignment vertical="center" wrapText="1"/>
    </xf>
    <xf numFmtId="9" fontId="28" fillId="0" borderId="27" xfId="56" applyNumberFormat="1" applyFont="1" applyBorder="1" applyAlignment="1" applyProtection="1">
      <alignment horizontal="center" vertical="center" wrapText="1"/>
    </xf>
    <xf numFmtId="9" fontId="28" fillId="0" borderId="44" xfId="56" applyNumberFormat="1" applyFont="1" applyBorder="1" applyAlignment="1" applyProtection="1">
      <alignment horizontal="center" vertical="center" wrapText="1"/>
    </xf>
    <xf numFmtId="9" fontId="28" fillId="0" borderId="45" xfId="56" applyNumberFormat="1" applyFont="1" applyBorder="1" applyAlignment="1" applyProtection="1">
      <alignment horizontal="center" vertical="center" wrapText="1"/>
    </xf>
    <xf numFmtId="9" fontId="28" fillId="35" borderId="27" xfId="56" applyNumberFormat="1" applyFont="1" applyFill="1" applyBorder="1" applyAlignment="1" applyProtection="1">
      <alignment horizontal="center" vertical="center" wrapText="1"/>
    </xf>
    <xf numFmtId="9" fontId="28" fillId="35" borderId="44" xfId="56" applyNumberFormat="1" applyFont="1" applyFill="1" applyBorder="1" applyAlignment="1" applyProtection="1">
      <alignment horizontal="center" vertical="center" wrapText="1"/>
    </xf>
    <xf numFmtId="9" fontId="28" fillId="35" borderId="45" xfId="56" applyNumberFormat="1" applyFont="1" applyFill="1" applyBorder="1" applyAlignment="1" applyProtection="1">
      <alignment horizontal="center" vertical="center" wrapText="1"/>
    </xf>
    <xf numFmtId="0" fontId="34" fillId="20" borderId="0" xfId="0" applyFont="1" applyFill="1" applyAlignment="1" applyProtection="1">
      <alignment horizontal="left"/>
      <protection locked="0"/>
    </xf>
    <xf numFmtId="0" fontId="34" fillId="20" borderId="42" xfId="0" applyFont="1" applyFill="1" applyBorder="1" applyAlignment="1" applyProtection="1">
      <alignment horizontal="left"/>
      <protection locked="0"/>
    </xf>
    <xf numFmtId="0" fontId="28" fillId="0" borderId="10" xfId="0" applyFont="1" applyFill="1" applyBorder="1" applyAlignment="1" applyProtection="1">
      <alignment vertical="center" wrapText="1"/>
    </xf>
    <xf numFmtId="43" fontId="61" fillId="32" borderId="0" xfId="48" applyFont="1" applyFill="1" applyAlignment="1" applyProtection="1">
      <alignment horizontal="center" vertical="center"/>
    </xf>
    <xf numFmtId="43" fontId="111" fillId="0" borderId="0" xfId="0" applyNumberFormat="1" applyFont="1" applyAlignment="1" applyProtection="1">
      <alignment horizontal="center"/>
    </xf>
    <xf numFmtId="43" fontId="33" fillId="0" borderId="0" xfId="0" applyNumberFormat="1" applyFont="1" applyAlignment="1" applyProtection="1">
      <alignment horizontal="center"/>
    </xf>
    <xf numFmtId="43" fontId="15" fillId="31" borderId="0" xfId="59" applyFont="1" applyFill="1" applyBorder="1" applyAlignment="1" applyProtection="1">
      <alignment horizontal="center"/>
    </xf>
    <xf numFmtId="0" fontId="2" fillId="22" borderId="158" xfId="0" applyFont="1" applyFill="1" applyBorder="1" applyAlignment="1" applyProtection="1">
      <alignment horizontal="center" vertical="top" wrapText="1"/>
      <protection locked="0"/>
    </xf>
    <xf numFmtId="0" fontId="2" fillId="22" borderId="159" xfId="0" applyFont="1" applyFill="1" applyBorder="1" applyAlignment="1" applyProtection="1">
      <alignment horizontal="center" vertical="top" wrapText="1"/>
      <protection locked="0"/>
    </xf>
    <xf numFmtId="0" fontId="2" fillId="22" borderId="160" xfId="0" applyFont="1" applyFill="1" applyBorder="1" applyAlignment="1" applyProtection="1">
      <alignment horizontal="center" vertical="top" wrapText="1"/>
      <protection locked="0"/>
    </xf>
    <xf numFmtId="0" fontId="78" fillId="0" borderId="0" xfId="0" applyFont="1" applyFill="1" applyBorder="1" applyAlignment="1" applyProtection="1">
      <alignment horizontal="center"/>
    </xf>
    <xf numFmtId="0" fontId="78" fillId="0" borderId="177" xfId="0" applyFont="1" applyFill="1" applyBorder="1" applyAlignment="1" applyProtection="1">
      <alignment horizontal="center"/>
    </xf>
    <xf numFmtId="0" fontId="2" fillId="24" borderId="173" xfId="0" applyFont="1" applyFill="1" applyBorder="1" applyAlignment="1" applyProtection="1">
      <alignment horizontal="center" vertical="top" wrapText="1"/>
      <protection locked="0"/>
    </xf>
    <xf numFmtId="0" fontId="2" fillId="24" borderId="174" xfId="0" applyFont="1" applyFill="1" applyBorder="1" applyAlignment="1" applyProtection="1">
      <alignment horizontal="center" vertical="top" wrapText="1"/>
      <protection locked="0"/>
    </xf>
    <xf numFmtId="0" fontId="2" fillId="24" borderId="175" xfId="0" applyFont="1" applyFill="1" applyBorder="1" applyAlignment="1" applyProtection="1">
      <alignment horizontal="center" vertical="top" wrapText="1"/>
      <protection locked="0"/>
    </xf>
    <xf numFmtId="9" fontId="2" fillId="0" borderId="190" xfId="56" applyNumberFormat="1" applyFont="1" applyFill="1" applyBorder="1" applyAlignment="1" applyProtection="1">
      <alignment horizontal="left" vertical="center" wrapText="1"/>
    </xf>
    <xf numFmtId="0" fontId="2" fillId="0" borderId="179" xfId="56" applyNumberFormat="1" applyFont="1" applyFill="1" applyBorder="1" applyAlignment="1" applyProtection="1">
      <alignment horizontal="left" vertical="center" wrapText="1"/>
    </xf>
    <xf numFmtId="0" fontId="2" fillId="0" borderId="191" xfId="56" applyNumberFormat="1" applyFont="1" applyFill="1" applyBorder="1" applyAlignment="1" applyProtection="1">
      <alignment horizontal="left" vertical="center" wrapText="1"/>
    </xf>
    <xf numFmtId="0" fontId="60" fillId="22" borderId="205" xfId="0" applyFont="1" applyFill="1" applyBorder="1" applyAlignment="1" applyProtection="1">
      <alignment horizontal="center" vertical="center"/>
    </xf>
    <xf numFmtId="0" fontId="60" fillId="22" borderId="206" xfId="0" applyFont="1" applyFill="1" applyBorder="1" applyAlignment="1" applyProtection="1">
      <alignment horizontal="center" vertical="center"/>
    </xf>
    <xf numFmtId="0" fontId="60" fillId="22" borderId="207" xfId="0" applyFont="1" applyFill="1" applyBorder="1" applyAlignment="1" applyProtection="1">
      <alignment horizontal="center" vertical="center"/>
    </xf>
    <xf numFmtId="0" fontId="80" fillId="0" borderId="208" xfId="0" applyNumberFormat="1" applyFont="1" applyFill="1" applyBorder="1" applyAlignment="1" applyProtection="1">
      <alignment horizontal="left" vertical="center" wrapText="1"/>
    </xf>
    <xf numFmtId="0" fontId="80" fillId="0" borderId="209" xfId="0" applyNumberFormat="1" applyFont="1" applyFill="1" applyBorder="1" applyAlignment="1" applyProtection="1">
      <alignment horizontal="left" vertical="center" wrapText="1"/>
    </xf>
    <xf numFmtId="0" fontId="80" fillId="0" borderId="210" xfId="0" applyNumberFormat="1" applyFont="1" applyFill="1" applyBorder="1" applyAlignment="1" applyProtection="1">
      <alignment horizontal="left" vertical="center" wrapText="1"/>
    </xf>
    <xf numFmtId="0" fontId="2" fillId="22" borderId="161" xfId="0" applyFont="1" applyFill="1" applyBorder="1" applyAlignment="1" applyProtection="1">
      <alignment horizontal="center" vertical="top" wrapText="1"/>
      <protection locked="0"/>
    </xf>
    <xf numFmtId="0" fontId="2" fillId="22" borderId="162" xfId="0" applyFont="1" applyFill="1" applyBorder="1" applyAlignment="1" applyProtection="1">
      <alignment horizontal="center" vertical="top" wrapText="1"/>
      <protection locked="0"/>
    </xf>
    <xf numFmtId="0" fontId="2" fillId="22" borderId="163" xfId="0" applyFont="1" applyFill="1" applyBorder="1" applyAlignment="1" applyProtection="1">
      <alignment horizontal="center" vertical="top" wrapText="1"/>
      <protection locked="0"/>
    </xf>
    <xf numFmtId="0" fontId="80" fillId="0" borderId="185" xfId="0" applyNumberFormat="1" applyFont="1" applyFill="1" applyBorder="1" applyAlignment="1" applyProtection="1">
      <alignment horizontal="left" vertical="top" wrapText="1"/>
    </xf>
    <xf numFmtId="0" fontId="80" fillId="0" borderId="186" xfId="0" applyNumberFormat="1" applyFont="1" applyFill="1" applyBorder="1" applyAlignment="1" applyProtection="1">
      <alignment horizontal="left" vertical="top" wrapText="1"/>
    </xf>
    <xf numFmtId="0" fontId="80" fillId="0" borderId="201" xfId="0" applyNumberFormat="1" applyFont="1" applyFill="1" applyBorder="1" applyAlignment="1" applyProtection="1">
      <alignment horizontal="left" vertical="top" wrapText="1"/>
    </xf>
    <xf numFmtId="0" fontId="80" fillId="0" borderId="202" xfId="0" applyNumberFormat="1" applyFont="1" applyFill="1" applyBorder="1" applyAlignment="1" applyProtection="1">
      <alignment horizontal="left" vertical="top" wrapText="1"/>
    </xf>
    <xf numFmtId="0" fontId="80" fillId="0" borderId="195" xfId="0" applyNumberFormat="1" applyFont="1" applyFill="1" applyBorder="1" applyAlignment="1" applyProtection="1">
      <alignment horizontal="left" vertical="top" wrapText="1"/>
    </xf>
    <xf numFmtId="0" fontId="2" fillId="0" borderId="190" xfId="56" applyNumberFormat="1" applyFont="1" applyFill="1" applyBorder="1" applyAlignment="1" applyProtection="1">
      <alignment horizontal="left" vertical="center" wrapText="1"/>
    </xf>
    <xf numFmtId="0" fontId="80" fillId="0" borderId="203" xfId="0" applyNumberFormat="1" applyFont="1" applyFill="1" applyBorder="1" applyAlignment="1" applyProtection="1">
      <alignment horizontal="left" vertical="top" wrapText="1"/>
    </xf>
    <xf numFmtId="0" fontId="80" fillId="0" borderId="204" xfId="0" applyNumberFormat="1" applyFont="1" applyFill="1" applyBorder="1" applyAlignment="1" applyProtection="1">
      <alignment horizontal="left" vertical="top" wrapText="1"/>
    </xf>
    <xf numFmtId="0" fontId="2" fillId="22" borderId="192" xfId="0" applyFont="1" applyFill="1" applyBorder="1" applyAlignment="1" applyProtection="1">
      <alignment horizontal="center" vertical="top" wrapText="1"/>
      <protection locked="0"/>
    </xf>
    <xf numFmtId="0" fontId="2" fillId="22" borderId="193" xfId="0" applyFont="1" applyFill="1" applyBorder="1" applyAlignment="1" applyProtection="1">
      <alignment horizontal="center" vertical="top" wrapText="1"/>
      <protection locked="0"/>
    </xf>
    <xf numFmtId="0" fontId="2" fillId="22" borderId="194" xfId="0" applyFont="1" applyFill="1" applyBorder="1" applyAlignment="1" applyProtection="1">
      <alignment horizontal="center" vertical="top" wrapText="1"/>
      <protection locked="0"/>
    </xf>
    <xf numFmtId="0" fontId="79" fillId="19" borderId="12" xfId="0" applyFont="1" applyFill="1" applyBorder="1" applyAlignment="1" applyProtection="1">
      <alignment horizontal="center" vertical="center"/>
    </xf>
    <xf numFmtId="49" fontId="2" fillId="25" borderId="178" xfId="0" applyNumberFormat="1" applyFont="1" applyFill="1" applyBorder="1" applyAlignment="1" applyProtection="1">
      <alignment horizontal="center" vertical="center"/>
      <protection locked="0"/>
    </xf>
    <xf numFmtId="49" fontId="2" fillId="25" borderId="179" xfId="0" applyNumberFormat="1" applyFont="1" applyFill="1" applyBorder="1" applyAlignment="1" applyProtection="1">
      <alignment horizontal="center" vertical="center"/>
      <protection locked="0"/>
    </xf>
    <xf numFmtId="49" fontId="2" fillId="25" borderId="180" xfId="0" applyNumberFormat="1" applyFont="1" applyFill="1" applyBorder="1" applyAlignment="1" applyProtection="1">
      <alignment horizontal="center" vertical="center"/>
      <protection locked="0"/>
    </xf>
    <xf numFmtId="0" fontId="111" fillId="0" borderId="0" xfId="0" applyFont="1" applyBorder="1" applyAlignment="1" applyProtection="1">
      <alignment horizontal="center"/>
    </xf>
    <xf numFmtId="49" fontId="2" fillId="25" borderId="187" xfId="0" applyNumberFormat="1" applyFont="1" applyFill="1" applyBorder="1" applyAlignment="1" applyProtection="1">
      <alignment horizontal="center" vertical="center"/>
      <protection locked="0"/>
    </xf>
    <xf numFmtId="49" fontId="2" fillId="25" borderId="188" xfId="0" applyNumberFormat="1" applyFont="1" applyFill="1" applyBorder="1" applyAlignment="1" applyProtection="1">
      <alignment horizontal="center" vertical="center"/>
      <protection locked="0"/>
    </xf>
    <xf numFmtId="49" fontId="2" fillId="25" borderId="189" xfId="0" applyNumberFormat="1" applyFont="1" applyFill="1" applyBorder="1" applyAlignment="1" applyProtection="1">
      <alignment horizontal="center" vertical="center"/>
      <protection locked="0"/>
    </xf>
    <xf numFmtId="0" fontId="125" fillId="24" borderId="196" xfId="0" applyFont="1" applyFill="1" applyBorder="1" applyAlignment="1" applyProtection="1">
      <alignment horizontal="center" vertical="center"/>
    </xf>
    <xf numFmtId="0" fontId="125" fillId="24" borderId="197" xfId="0" applyFont="1" applyFill="1" applyBorder="1" applyAlignment="1" applyProtection="1">
      <alignment horizontal="center" vertical="center"/>
    </xf>
    <xf numFmtId="0" fontId="0" fillId="0" borderId="197" xfId="0" applyBorder="1" applyAlignment="1">
      <alignment horizontal="center" vertical="center"/>
    </xf>
    <xf numFmtId="0" fontId="125" fillId="24" borderId="198" xfId="0" applyFont="1" applyFill="1" applyBorder="1" applyAlignment="1" applyProtection="1">
      <alignment horizontal="center" vertical="center"/>
    </xf>
    <xf numFmtId="0" fontId="125" fillId="24" borderId="199" xfId="0" applyFont="1" applyFill="1" applyBorder="1" applyAlignment="1" applyProtection="1">
      <alignment horizontal="center" vertical="center"/>
    </xf>
    <xf numFmtId="0" fontId="125" fillId="24" borderId="200" xfId="0" applyFont="1" applyFill="1" applyBorder="1" applyAlignment="1" applyProtection="1">
      <alignment horizontal="center" vertical="center"/>
    </xf>
    <xf numFmtId="0" fontId="60" fillId="25" borderId="164" xfId="0" applyFont="1" applyFill="1" applyBorder="1" applyAlignment="1" applyProtection="1">
      <alignment horizontal="center" vertical="center"/>
    </xf>
    <xf numFmtId="0" fontId="60" fillId="25" borderId="165" xfId="0" applyFont="1" applyFill="1" applyBorder="1" applyAlignment="1" applyProtection="1">
      <alignment horizontal="center" vertical="center"/>
    </xf>
    <xf numFmtId="0" fontId="60" fillId="25" borderId="166" xfId="0" applyFont="1" applyFill="1" applyBorder="1" applyAlignment="1" applyProtection="1">
      <alignment horizontal="center" vertical="center"/>
    </xf>
    <xf numFmtId="0" fontId="2" fillId="24" borderId="167" xfId="0" applyFont="1" applyFill="1" applyBorder="1" applyAlignment="1" applyProtection="1">
      <alignment horizontal="center" vertical="top" wrapText="1"/>
      <protection locked="0"/>
    </xf>
    <xf numFmtId="0" fontId="2" fillId="24" borderId="168" xfId="0" applyFont="1" applyFill="1" applyBorder="1" applyAlignment="1" applyProtection="1">
      <alignment horizontal="center" vertical="top" wrapText="1"/>
      <protection locked="0"/>
    </xf>
    <xf numFmtId="0" fontId="2" fillId="24" borderId="169" xfId="0" applyFont="1" applyFill="1" applyBorder="1" applyAlignment="1" applyProtection="1">
      <alignment horizontal="center" vertical="top" wrapText="1"/>
      <protection locked="0"/>
    </xf>
    <xf numFmtId="0" fontId="2" fillId="24" borderId="170" xfId="0" applyFont="1" applyFill="1" applyBorder="1" applyAlignment="1" applyProtection="1">
      <alignment horizontal="center" vertical="top" wrapText="1"/>
      <protection locked="0"/>
    </xf>
    <xf numFmtId="0" fontId="2" fillId="24" borderId="171" xfId="0" applyFont="1" applyFill="1" applyBorder="1" applyAlignment="1" applyProtection="1">
      <alignment horizontal="center" vertical="top" wrapText="1"/>
      <protection locked="0"/>
    </xf>
    <xf numFmtId="0" fontId="2" fillId="24" borderId="172" xfId="0" applyFont="1" applyFill="1" applyBorder="1" applyAlignment="1" applyProtection="1">
      <alignment horizontal="center" vertical="top" wrapText="1"/>
      <protection locked="0"/>
    </xf>
    <xf numFmtId="0" fontId="78" fillId="0" borderId="176" xfId="0" applyFont="1" applyFill="1" applyBorder="1" applyAlignment="1" applyProtection="1">
      <alignment horizontal="center"/>
    </xf>
    <xf numFmtId="49" fontId="2" fillId="25" borderId="181" xfId="0" applyNumberFormat="1" applyFont="1" applyFill="1" applyBorder="1" applyAlignment="1" applyProtection="1">
      <alignment horizontal="center" vertical="center"/>
      <protection locked="0"/>
    </xf>
    <xf numFmtId="49" fontId="2" fillId="25" borderId="14" xfId="0" applyNumberFormat="1" applyFont="1" applyFill="1" applyBorder="1" applyAlignment="1" applyProtection="1">
      <alignment horizontal="center" vertical="center"/>
      <protection locked="0"/>
    </xf>
    <xf numFmtId="49" fontId="2" fillId="25" borderId="182" xfId="0" applyNumberFormat="1" applyFont="1" applyFill="1" applyBorder="1" applyAlignment="1" applyProtection="1">
      <alignment horizontal="center" vertical="center"/>
      <protection locked="0"/>
    </xf>
    <xf numFmtId="0" fontId="80" fillId="0" borderId="183" xfId="0" applyNumberFormat="1" applyFont="1" applyFill="1" applyBorder="1" applyAlignment="1" applyProtection="1">
      <alignment horizontal="left" vertical="top" wrapText="1"/>
    </xf>
    <xf numFmtId="0" fontId="80" fillId="0" borderId="184" xfId="0" applyNumberFormat="1" applyFont="1" applyFill="1" applyBorder="1" applyAlignment="1" applyProtection="1">
      <alignment horizontal="left" vertical="top" wrapText="1"/>
    </xf>
    <xf numFmtId="0" fontId="21" fillId="0" borderId="217" xfId="0" applyFont="1" applyBorder="1" applyAlignment="1" applyProtection="1">
      <alignment horizontal="left"/>
      <protection locked="0"/>
    </xf>
    <xf numFmtId="0" fontId="21" fillId="0" borderId="218" xfId="0" applyFont="1" applyBorder="1" applyAlignment="1" applyProtection="1">
      <alignment horizontal="left"/>
      <protection locked="0"/>
    </xf>
    <xf numFmtId="0" fontId="21" fillId="0" borderId="230" xfId="0" applyFont="1" applyBorder="1" applyAlignment="1" applyProtection="1">
      <alignment horizontal="left"/>
      <protection locked="0"/>
    </xf>
    <xf numFmtId="0" fontId="21" fillId="0" borderId="238" xfId="0" applyFont="1" applyBorder="1" applyAlignment="1" applyProtection="1">
      <alignment horizontal="left"/>
      <protection locked="0"/>
    </xf>
    <xf numFmtId="0" fontId="21" fillId="0" borderId="37" xfId="0" applyFont="1" applyBorder="1" applyAlignment="1" applyProtection="1">
      <alignment horizontal="left"/>
      <protection locked="0"/>
    </xf>
    <xf numFmtId="0" fontId="21" fillId="0" borderId="237" xfId="0" applyFont="1" applyBorder="1" applyAlignment="1" applyProtection="1">
      <alignment horizontal="left"/>
      <protection locked="0"/>
    </xf>
    <xf numFmtId="0" fontId="77" fillId="21" borderId="13" xfId="53" applyNumberFormat="1" applyFont="1" applyFill="1" applyBorder="1" applyAlignment="1">
      <alignment horizontal="center" vertical="center" wrapText="1"/>
    </xf>
    <xf numFmtId="0" fontId="77" fillId="21" borderId="211" xfId="53" applyNumberFormat="1" applyFont="1" applyFill="1" applyBorder="1" applyAlignment="1">
      <alignment horizontal="center" vertical="center" wrapText="1"/>
    </xf>
    <xf numFmtId="0" fontId="21" fillId="0" borderId="217" xfId="0" applyFont="1" applyFill="1" applyBorder="1" applyAlignment="1" applyProtection="1">
      <alignment horizontal="left"/>
      <protection locked="0"/>
    </xf>
    <xf numFmtId="0" fontId="21" fillId="0" borderId="218" xfId="0" applyFont="1" applyFill="1" applyBorder="1" applyAlignment="1" applyProtection="1">
      <alignment horizontal="left"/>
      <protection locked="0"/>
    </xf>
    <xf numFmtId="0" fontId="21" fillId="0" borderId="230" xfId="0" applyFont="1" applyFill="1" applyBorder="1" applyAlignment="1" applyProtection="1">
      <alignment horizontal="left"/>
      <protection locked="0"/>
    </xf>
    <xf numFmtId="0" fontId="21" fillId="0" borderId="238" xfId="0" applyFont="1" applyFill="1" applyBorder="1" applyAlignment="1" applyProtection="1">
      <alignment horizontal="left"/>
      <protection locked="0"/>
    </xf>
    <xf numFmtId="43" fontId="15" fillId="31" borderId="0" xfId="60" applyFont="1" applyFill="1" applyBorder="1" applyAlignment="1" applyProtection="1">
      <alignment horizontal="center"/>
      <protection locked="0"/>
    </xf>
    <xf numFmtId="0" fontId="21" fillId="0" borderId="37" xfId="0" applyFont="1" applyFill="1" applyBorder="1" applyAlignment="1" applyProtection="1">
      <alignment horizontal="left"/>
      <protection locked="0"/>
    </xf>
    <xf numFmtId="0" fontId="21" fillId="0" borderId="237" xfId="0" applyFont="1" applyFill="1" applyBorder="1" applyAlignment="1" applyProtection="1">
      <alignment horizontal="left"/>
      <protection locked="0"/>
    </xf>
    <xf numFmtId="0" fontId="21" fillId="0" borderId="216" xfId="0" applyFont="1" applyBorder="1" applyAlignment="1" applyProtection="1">
      <alignment horizontal="left"/>
      <protection locked="0"/>
    </xf>
    <xf numFmtId="0" fontId="21" fillId="0" borderId="235" xfId="0" applyFont="1" applyFill="1" applyBorder="1" applyAlignment="1" applyProtection="1">
      <alignment horizontal="left"/>
      <protection locked="0"/>
    </xf>
    <xf numFmtId="0" fontId="21" fillId="0" borderId="179"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99" fillId="21" borderId="225" xfId="0" applyFont="1" applyFill="1" applyBorder="1" applyAlignment="1">
      <alignment horizontal="center" vertical="center" textRotation="90"/>
    </xf>
    <xf numFmtId="0" fontId="0" fillId="21" borderId="89" xfId="0" applyFill="1" applyBorder="1" applyAlignment="1">
      <alignment horizontal="center" vertical="center" textRotation="90"/>
    </xf>
    <xf numFmtId="0" fontId="0" fillId="21" borderId="109" xfId="0" applyFill="1" applyBorder="1" applyAlignment="1">
      <alignment horizontal="center" vertical="center" textRotation="90"/>
    </xf>
    <xf numFmtId="17" fontId="21" fillId="0" borderId="37" xfId="0" applyNumberFormat="1" applyFont="1" applyFill="1" applyBorder="1" applyAlignment="1" applyProtection="1">
      <alignment horizontal="left"/>
      <protection locked="0"/>
    </xf>
    <xf numFmtId="0" fontId="21" fillId="0" borderId="179" xfId="0" applyFont="1" applyFill="1" applyBorder="1" applyAlignment="1" applyProtection="1">
      <alignment horizontal="left" vertical="center" wrapText="1"/>
      <protection locked="0"/>
    </xf>
    <xf numFmtId="0" fontId="21" fillId="0" borderId="212" xfId="0" applyFont="1" applyFill="1" applyBorder="1" applyAlignment="1" applyProtection="1">
      <alignment horizontal="left" vertical="center" wrapText="1"/>
      <protection locked="0"/>
    </xf>
    <xf numFmtId="0" fontId="21" fillId="0" borderId="215" xfId="0" applyFont="1" applyFill="1" applyBorder="1" applyAlignment="1" applyProtection="1">
      <alignment horizontal="left"/>
      <protection locked="0"/>
    </xf>
    <xf numFmtId="0" fontId="21" fillId="0" borderId="216" xfId="0" applyFont="1" applyFill="1" applyBorder="1" applyAlignment="1" applyProtection="1">
      <alignment horizontal="left"/>
      <protection locked="0"/>
    </xf>
    <xf numFmtId="0" fontId="77" fillId="21" borderId="226" xfId="53" applyNumberFormat="1" applyFont="1" applyFill="1" applyBorder="1" applyAlignment="1">
      <alignment horizontal="center" vertical="center" wrapText="1"/>
    </xf>
    <xf numFmtId="0" fontId="77" fillId="21" borderId="227" xfId="53" applyNumberFormat="1" applyFont="1" applyFill="1" applyBorder="1" applyAlignment="1">
      <alignment horizontal="center" vertical="center" wrapText="1"/>
    </xf>
    <xf numFmtId="0" fontId="77" fillId="21" borderId="228" xfId="53" applyNumberFormat="1" applyFont="1" applyFill="1" applyBorder="1" applyAlignment="1">
      <alignment horizontal="center" vertical="center" wrapText="1"/>
    </xf>
    <xf numFmtId="0" fontId="21" fillId="0" borderId="216" xfId="0" applyFont="1" applyFill="1" applyBorder="1" applyAlignment="1" applyProtection="1">
      <alignment horizontal="left" wrapText="1"/>
      <protection locked="0"/>
    </xf>
    <xf numFmtId="0" fontId="0" fillId="22" borderId="112" xfId="0" applyFill="1" applyBorder="1" applyAlignment="1" applyProtection="1">
      <alignment horizontal="center"/>
      <protection locked="0"/>
    </xf>
    <xf numFmtId="0" fontId="0" fillId="22" borderId="111" xfId="0" applyFill="1" applyBorder="1" applyAlignment="1" applyProtection="1">
      <alignment horizontal="center"/>
      <protection locked="0"/>
    </xf>
    <xf numFmtId="0" fontId="0" fillId="22" borderId="113" xfId="0" applyFill="1" applyBorder="1" applyAlignment="1" applyProtection="1">
      <alignment horizontal="center"/>
      <protection locked="0"/>
    </xf>
    <xf numFmtId="0" fontId="0" fillId="22" borderId="66" xfId="0" applyFill="1" applyBorder="1" applyAlignment="1" applyProtection="1">
      <alignment horizontal="center"/>
      <protection locked="0"/>
    </xf>
    <xf numFmtId="0" fontId="0" fillId="22" borderId="106" xfId="0" applyFill="1" applyBorder="1" applyAlignment="1" applyProtection="1">
      <alignment horizontal="center"/>
      <protection locked="0"/>
    </xf>
    <xf numFmtId="0" fontId="0" fillId="22" borderId="108" xfId="0" applyFill="1" applyBorder="1" applyAlignment="1" applyProtection="1">
      <alignment horizontal="center"/>
      <protection locked="0"/>
    </xf>
    <xf numFmtId="0" fontId="21" fillId="0" borderId="219" xfId="0" applyFont="1" applyFill="1" applyBorder="1" applyAlignment="1" applyProtection="1">
      <alignment horizontal="left" vertical="top" wrapText="1"/>
      <protection locked="0"/>
    </xf>
    <xf numFmtId="0" fontId="21" fillId="0" borderId="220" xfId="0" applyFont="1" applyFill="1" applyBorder="1" applyAlignment="1" applyProtection="1">
      <alignment horizontal="left" vertical="top" wrapText="1"/>
      <protection locked="0"/>
    </xf>
    <xf numFmtId="0" fontId="21" fillId="0" borderId="221" xfId="0" applyFont="1" applyFill="1" applyBorder="1" applyAlignment="1" applyProtection="1">
      <alignment horizontal="left" vertical="top" wrapText="1"/>
      <protection locked="0"/>
    </xf>
    <xf numFmtId="0" fontId="21" fillId="0" borderId="222" xfId="0" applyFont="1" applyFill="1" applyBorder="1" applyAlignment="1" applyProtection="1">
      <alignment horizontal="left" vertical="top" wrapText="1"/>
      <protection locked="0"/>
    </xf>
    <xf numFmtId="0" fontId="21" fillId="0" borderId="188" xfId="0" applyFont="1" applyFill="1" applyBorder="1" applyAlignment="1" applyProtection="1">
      <alignment horizontal="left" vertical="top" wrapText="1"/>
      <protection locked="0"/>
    </xf>
    <xf numFmtId="0" fontId="21" fillId="0" borderId="223" xfId="0" applyFont="1" applyFill="1" applyBorder="1" applyAlignment="1" applyProtection="1">
      <alignment horizontal="left" vertical="top" wrapText="1"/>
      <protection locked="0"/>
    </xf>
    <xf numFmtId="0" fontId="77" fillId="21" borderId="224" xfId="53" applyNumberFormat="1" applyFont="1" applyFill="1" applyBorder="1" applyAlignment="1">
      <alignment horizontal="center" vertical="center" wrapText="1"/>
    </xf>
    <xf numFmtId="0" fontId="33" fillId="0" borderId="0" xfId="0" applyFont="1" applyAlignment="1">
      <alignment horizontal="center"/>
    </xf>
    <xf numFmtId="0" fontId="21" fillId="0" borderId="229" xfId="0" applyFont="1" applyFill="1" applyBorder="1" applyAlignment="1" applyProtection="1">
      <alignment horizontal="left"/>
      <protection locked="0"/>
    </xf>
    <xf numFmtId="0" fontId="21" fillId="0" borderId="231" xfId="0" applyFont="1" applyFill="1" applyBorder="1" applyAlignment="1" applyProtection="1">
      <alignment horizontal="left" vertical="top" wrapText="1"/>
      <protection locked="0"/>
    </xf>
    <xf numFmtId="0" fontId="21" fillId="0" borderId="232" xfId="0" applyFont="1" applyFill="1" applyBorder="1" applyAlignment="1" applyProtection="1">
      <alignment horizontal="left" vertical="top" wrapText="1"/>
      <protection locked="0"/>
    </xf>
    <xf numFmtId="0" fontId="21" fillId="0" borderId="233" xfId="0" applyFont="1" applyFill="1" applyBorder="1" applyAlignment="1" applyProtection="1">
      <alignment horizontal="left" vertical="top" wrapText="1"/>
      <protection locked="0"/>
    </xf>
    <xf numFmtId="0" fontId="21" fillId="0" borderId="234" xfId="0" applyFont="1" applyFill="1" applyBorder="1" applyAlignment="1" applyProtection="1">
      <alignment horizontal="left" vertical="top" wrapText="1"/>
      <protection locked="0"/>
    </xf>
    <xf numFmtId="0" fontId="21" fillId="0" borderId="236" xfId="0" applyFont="1" applyFill="1" applyBorder="1" applyAlignment="1" applyProtection="1">
      <alignment horizontal="left"/>
      <protection locked="0"/>
    </xf>
    <xf numFmtId="0" fontId="21" fillId="0" borderId="213" xfId="0" applyFont="1" applyFill="1" applyBorder="1" applyAlignment="1" applyProtection="1">
      <alignment horizontal="left"/>
      <protection locked="0"/>
    </xf>
    <xf numFmtId="0" fontId="21" fillId="0" borderId="214" xfId="0" applyFont="1" applyFill="1" applyBorder="1" applyAlignment="1" applyProtection="1">
      <alignment horizontal="left"/>
      <protection locked="0"/>
    </xf>
    <xf numFmtId="0" fontId="21" fillId="0" borderId="229" xfId="0" applyFont="1" applyBorder="1" applyAlignment="1" applyProtection="1">
      <alignment horizontal="left"/>
      <protection locked="0"/>
    </xf>
    <xf numFmtId="0" fontId="21" fillId="0" borderId="213" xfId="0" applyFont="1" applyFill="1" applyBorder="1" applyAlignment="1" applyProtection="1">
      <alignment horizontal="left" vertical="center" wrapText="1"/>
      <protection locked="0"/>
    </xf>
    <xf numFmtId="0" fontId="21" fillId="0" borderId="214" xfId="0" applyFont="1" applyFill="1" applyBorder="1" applyAlignment="1" applyProtection="1">
      <alignment horizontal="left" vertical="center" wrapText="1"/>
      <protection locked="0"/>
    </xf>
    <xf numFmtId="0" fontId="21" fillId="0" borderId="215" xfId="0" applyFont="1" applyBorder="1" applyAlignment="1" applyProtection="1">
      <alignment horizontal="left"/>
      <protection locked="0"/>
    </xf>
    <xf numFmtId="43" fontId="17" fillId="32" borderId="0" xfId="39" applyFont="1" applyFill="1" applyAlignment="1">
      <alignment horizontal="center" vertical="center"/>
    </xf>
  </cellXfs>
  <cellStyles count="64">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ma" xfId="28" builtinId="3"/>
    <cellStyle name="Comma 2" xfId="63"/>
    <cellStyle name="Euro" xfId="29"/>
    <cellStyle name="Explanatory Text" xfId="30"/>
    <cellStyle name="Good" xfId="31"/>
    <cellStyle name="Heading 1" xfId="32"/>
    <cellStyle name="Heading 2" xfId="33"/>
    <cellStyle name="Heading 3" xfId="34"/>
    <cellStyle name="Heading 4" xfId="35"/>
    <cellStyle name="Input" xfId="36"/>
    <cellStyle name="Linked Cell" xfId="37"/>
    <cellStyle name="Millares 2" xfId="38"/>
    <cellStyle name="Normal" xfId="0" builtinId="0"/>
    <cellStyle name="Normal 2" xfId="39"/>
    <cellStyle name="Normal 2 2" xfId="40"/>
    <cellStyle name="Normal 2 3" xfId="41"/>
    <cellStyle name="Normal 2 4" xfId="42"/>
    <cellStyle name="Normal 2 5" xfId="43"/>
    <cellStyle name="Normal 2 6" xfId="44"/>
    <cellStyle name="Normal 2 7" xfId="45"/>
    <cellStyle name="Normal 2 8" xfId="46"/>
    <cellStyle name="Normal 2_Dashboard ver 2.2 ES" xfId="47"/>
    <cellStyle name="Normal 2_Prototipo" xfId="48"/>
    <cellStyle name="Normal 3" xfId="49"/>
    <cellStyle name="Normal 4" xfId="50"/>
    <cellStyle name="Normal 5" xfId="51"/>
    <cellStyle name="Normal 6" xfId="52"/>
    <cellStyle name="Normal_TZ_R3HIV_Phase_2_21_August_08" xfId="53"/>
    <cellStyle name="Note" xfId="54"/>
    <cellStyle name="Output" xfId="55"/>
    <cellStyle name="Percent" xfId="56" builtinId="5"/>
    <cellStyle name="Title" xfId="57"/>
    <cellStyle name="Título 3 3" xfId="58"/>
    <cellStyle name="Título 3 3_Prototipo" xfId="59"/>
    <cellStyle name="Título 3 3_PrototipoRep1" xfId="60"/>
    <cellStyle name="Título 3 7" xfId="61"/>
    <cellStyle name="Warning Text" xfId="62"/>
  </cellStyles>
  <dxfs count="38">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9"/>
          <c:y val="5.2401746724890799E-2"/>
          <c:w val="0.80996068152031397"/>
          <c:h val="0.64192139737991305"/>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dist="35921" dir="2700000" algn="br">
                <a:srgbClr val="000000"/>
              </a:outerShdw>
            </a:effectLst>
          </c:spPr>
          <c:invertIfNegative val="0"/>
          <c:val>
            <c:numRef>
              <c:f>'Data Entry'!$C$33:$N$33</c:f>
              <c:numCache>
                <c:formatCode>#,##0</c:formatCode>
                <c:ptCount val="12"/>
                <c:pt idx="0">
                  <c:v>2566060.5206649359</c:v>
                </c:pt>
                <c:pt idx="1">
                  <c:v>4646843.1347466186</c:v>
                </c:pt>
                <c:pt idx="2">
                  <c:v>5841166.7527098218</c:v>
                </c:pt>
                <c:pt idx="3">
                  <c:v>8533857.4914229065</c:v>
                </c:pt>
                <c:pt idx="4">
                  <c:v>10616920.462281961</c:v>
                </c:pt>
                <c:pt idx="5">
                  <c:v>11729306.295075934</c:v>
                </c:pt>
                <c:pt idx="6">
                  <c:v>12586931.141044986</c:v>
                </c:pt>
                <c:pt idx="7">
                  <c:v>14654522.548132703</c:v>
                </c:pt>
                <c:pt idx="8">
                  <c:v>15755950.183497394</c:v>
                </c:pt>
                <c:pt idx="9">
                  <c:v>16616417.075495232</c:v>
                </c:pt>
                <c:pt idx="10">
                  <c:v>17643193.421591055</c:v>
                </c:pt>
                <c:pt idx="11">
                  <c:v>18462163.180236608</c:v>
                </c:pt>
              </c:numCache>
            </c:numRef>
          </c:val>
          <c:extLst xmlns:c16r2="http://schemas.microsoft.com/office/drawing/2015/06/chart">
            <c:ext xmlns:c16="http://schemas.microsoft.com/office/drawing/2014/chart" uri="{C3380CC4-5D6E-409C-BE32-E72D297353CC}">
              <c16:uniqueId val="{00000000-0DC2-43CE-95C1-C49145B7D56D}"/>
            </c:ext>
          </c:extLst>
        </c:ser>
        <c:ser>
          <c:idx val="1"/>
          <c:order val="1"/>
          <c:tx>
            <c:strRef>
              <c:f>'Data Entry'!$B$34</c:f>
              <c:strCache>
                <c:ptCount val="1"/>
                <c:pt idx="0">
                  <c:v>Cumulative disbursements</c:v>
                </c:pt>
              </c:strCache>
            </c:strRef>
          </c:tx>
          <c:spPr>
            <a:solidFill>
              <a:srgbClr val="0070C0"/>
            </a:solidFill>
            <a:ln w="3175">
              <a:solidFill>
                <a:srgbClr val="000000"/>
              </a:solidFill>
              <a:prstDash val="solid"/>
            </a:ln>
            <a:effectLst>
              <a:outerShdw dist="35921" dir="2700000" algn="br">
                <a:srgbClr val="000000"/>
              </a:outerShdw>
            </a:effectLst>
          </c:spPr>
          <c:invertIfNegative val="0"/>
          <c:val>
            <c:numRef>
              <c:f>'Data Entry'!$C$34:$N$34</c:f>
              <c:numCache>
                <c:formatCode>#,##0</c:formatCode>
                <c:ptCount val="12"/>
                <c:pt idx="0">
                  <c:v>1912231.72</c:v>
                </c:pt>
                <c:pt idx="1">
                  <c:v>3975781.24</c:v>
                </c:pt>
                <c:pt idx="2">
                  <c:v>5225295.17</c:v>
                </c:pt>
                <c:pt idx="3">
                  <c:v>7544332.8900000006</c:v>
                </c:pt>
                <c:pt idx="4">
                  <c:v>8193411.8400000008</c:v>
                </c:pt>
                <c:pt idx="5">
                  <c:v>8193411.8400000008</c:v>
                </c:pt>
                <c:pt idx="6">
                  <c:v>8193411.8400000008</c:v>
                </c:pt>
                <c:pt idx="7">
                  <c:v>8193411.8400000008</c:v>
                </c:pt>
                <c:pt idx="8">
                  <c:v>8193411.8400000008</c:v>
                </c:pt>
                <c:pt idx="9">
                  <c:v>8193411.8400000008</c:v>
                </c:pt>
                <c:pt idx="10">
                  <c:v>8193411.8400000008</c:v>
                </c:pt>
                <c:pt idx="11">
                  <c:v>8193411.8400000008</c:v>
                </c:pt>
              </c:numCache>
            </c:numRef>
          </c:val>
          <c:extLst xmlns:c16r2="http://schemas.microsoft.com/office/drawing/2015/06/chart">
            <c:ext xmlns:c16="http://schemas.microsoft.com/office/drawing/2014/chart" uri="{C3380CC4-5D6E-409C-BE32-E72D297353CC}">
              <c16:uniqueId val="{00000001-0DC2-43CE-95C1-C49145B7D56D}"/>
            </c:ext>
          </c:extLst>
        </c:ser>
        <c:dLbls>
          <c:showLegendKey val="0"/>
          <c:showVal val="0"/>
          <c:showCatName val="0"/>
          <c:showSerName val="0"/>
          <c:showPercent val="0"/>
          <c:showBubbleSize val="0"/>
        </c:dLbls>
        <c:gapWidth val="70"/>
        <c:axId val="-1071914768"/>
        <c:axId val="-1071909328"/>
      </c:barChart>
      <c:catAx>
        <c:axId val="-1071914768"/>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5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1071909328"/>
        <c:crosses val="autoZero"/>
        <c:auto val="1"/>
        <c:lblAlgn val="ctr"/>
        <c:lblOffset val="100"/>
        <c:tickLblSkip val="1"/>
        <c:tickMarkSkip val="1"/>
        <c:noMultiLvlLbl val="0"/>
      </c:catAx>
      <c:valAx>
        <c:axId val="-107190932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1071914768"/>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570" b="0" i="0" u="none" strike="noStrike" baseline="0">
                <a:solidFill>
                  <a:srgbClr val="000000"/>
                </a:solidFill>
                <a:latin typeface="Arial"/>
                <a:ea typeface="Arial"/>
                <a:cs typeface="Arial"/>
              </a:defRPr>
            </a:pPr>
            <a:endParaRPr lang="en-US"/>
          </a:p>
        </c:txPr>
      </c:legendEntry>
      <c:legendEntry>
        <c:idx val="1"/>
        <c:txPr>
          <a:bodyPr/>
          <a:lstStyle/>
          <a:p>
            <a:pPr>
              <a:defRPr sz="570" b="0" i="0" u="none" strike="noStrike" baseline="0">
                <a:solidFill>
                  <a:srgbClr val="000000"/>
                </a:solidFill>
                <a:latin typeface="Arial"/>
                <a:ea typeface="Arial"/>
                <a:cs typeface="Arial"/>
              </a:defRPr>
            </a:pPr>
            <a:endParaRPr lang="en-US"/>
          </a:p>
        </c:txPr>
      </c:legendEntry>
      <c:layout>
        <c:manualLayout>
          <c:xMode val="edge"/>
          <c:yMode val="edge"/>
          <c:x val="0.158059945372654"/>
          <c:y val="0.84798378619363501"/>
          <c:w val="0.73558666884965795"/>
          <c:h val="0.105266952768865"/>
        </c:manualLayout>
      </c:layout>
      <c:overlay val="0"/>
      <c:spPr>
        <a:solidFill>
          <a:srgbClr val="FFFFFF"/>
        </a:solidFill>
        <a:ln w="3175">
          <a:solidFill>
            <a:srgbClr val="000000"/>
          </a:solidFill>
          <a:prstDash val="solid"/>
        </a:ln>
      </c:spPr>
      <c:txPr>
        <a:bodyPr/>
        <a:lstStyle/>
        <a:p>
          <a:pPr>
            <a:defRPr sz="4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c:pageMargins b="1" l="0.75" r="0.7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Entry'!$G$122</c:f>
              <c:strCache>
                <c:ptCount val="1"/>
                <c:pt idx="0">
                  <c:v>Target</c:v>
                </c:pt>
              </c:strCache>
            </c:strRef>
          </c:tx>
          <c:spPr>
            <a:solidFill>
              <a:srgbClr val="0066CC"/>
            </a:solidFill>
            <a:ln w="25400">
              <a:noFill/>
            </a:ln>
          </c:spPr>
          <c:invertIfNegative val="0"/>
          <c:val>
            <c:numRef>
              <c:f>'Data Entry'!$H$122:$S$122</c:f>
              <c:numCache>
                <c:formatCode>_(* #,##0_);_(* \(#,##0\);_(* "-"??_);_(@_)</c:formatCode>
                <c:ptCount val="12"/>
                <c:pt idx="0">
                  <c:v>4000</c:v>
                </c:pt>
                <c:pt idx="1">
                  <c:v>4000</c:v>
                </c:pt>
                <c:pt idx="2" formatCode="#,##0">
                  <c:v>4550</c:v>
                </c:pt>
                <c:pt idx="3" formatCode="#,##0">
                  <c:v>4550</c:v>
                </c:pt>
                <c:pt idx="4" formatCode="#,##0">
                  <c:v>4550</c:v>
                </c:pt>
              </c:numCache>
            </c:numRef>
          </c:val>
          <c:extLst xmlns:c16r2="http://schemas.microsoft.com/office/drawing/2015/06/chart">
            <c:ext xmlns:c16="http://schemas.microsoft.com/office/drawing/2014/chart" uri="{C3380CC4-5D6E-409C-BE32-E72D297353CC}">
              <c16:uniqueId val="{00000000-9988-4901-B1D9-331495B7A130}"/>
            </c:ext>
          </c:extLst>
        </c:ser>
        <c:ser>
          <c:idx val="1"/>
          <c:order val="1"/>
          <c:tx>
            <c:strRef>
              <c:f>'Data Entry'!$G$123</c:f>
              <c:strCache>
                <c:ptCount val="1"/>
                <c:pt idx="0">
                  <c:v>Achieved </c:v>
                </c:pt>
              </c:strCache>
            </c:strRef>
          </c:tx>
          <c:spPr>
            <a:solidFill>
              <a:srgbClr val="00CCFF"/>
            </a:solidFill>
            <a:ln w="12700">
              <a:solidFill>
                <a:srgbClr val="000000"/>
              </a:solidFill>
              <a:prstDash val="solid"/>
            </a:ln>
          </c:spPr>
          <c:invertIfNegative val="0"/>
          <c:val>
            <c:numRef>
              <c:f>'Data Entry'!$H$123:$S$123</c:f>
              <c:numCache>
                <c:formatCode>_(* #,##0_);_(* \(#,##0\);_(* "-"??_);_(@_)</c:formatCode>
                <c:ptCount val="12"/>
                <c:pt idx="0">
                  <c:v>3518</c:v>
                </c:pt>
                <c:pt idx="1">
                  <c:v>3638</c:v>
                </c:pt>
                <c:pt idx="2" formatCode="#,##0">
                  <c:v>3786</c:v>
                </c:pt>
                <c:pt idx="3" formatCode="#,##0">
                  <c:v>3899</c:v>
                </c:pt>
                <c:pt idx="4" formatCode="#,##0">
                  <c:v>4100</c:v>
                </c:pt>
              </c:numCache>
            </c:numRef>
          </c:val>
          <c:extLst xmlns:c16r2="http://schemas.microsoft.com/office/drawing/2015/06/chart">
            <c:ext xmlns:c16="http://schemas.microsoft.com/office/drawing/2014/chart" uri="{C3380CC4-5D6E-409C-BE32-E72D297353CC}">
              <c16:uniqueId val="{00000001-9988-4901-B1D9-331495B7A130}"/>
            </c:ext>
          </c:extLst>
        </c:ser>
        <c:dLbls>
          <c:showLegendKey val="0"/>
          <c:showVal val="0"/>
          <c:showCatName val="0"/>
          <c:showSerName val="0"/>
          <c:showPercent val="0"/>
          <c:showBubbleSize val="0"/>
        </c:dLbls>
        <c:gapWidth val="150"/>
        <c:axId val="-1104249600"/>
        <c:axId val="-1104251232"/>
      </c:barChart>
      <c:catAx>
        <c:axId val="-110424960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104251232"/>
        <c:crosses val="autoZero"/>
        <c:auto val="1"/>
        <c:lblAlgn val="ctr"/>
        <c:lblOffset val="100"/>
        <c:tickLblSkip val="1"/>
        <c:tickMarkSkip val="1"/>
        <c:noMultiLvlLbl val="0"/>
      </c:catAx>
      <c:valAx>
        <c:axId val="-1104251232"/>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104249600"/>
        <c:crosses val="autoZero"/>
        <c:crossBetween val="between"/>
      </c:valAx>
      <c:spPr>
        <a:noFill/>
        <a:ln w="25400">
          <a:noFill/>
        </a:ln>
      </c:spPr>
    </c:plotArea>
    <c:legend>
      <c:legendPos val="r"/>
      <c:layout>
        <c:manualLayout>
          <c:xMode val="edge"/>
          <c:yMode val="edge"/>
          <c:x val="0.20446743835849701"/>
          <c:y val="0.88409189195345494"/>
          <c:w val="0.48700426227205701"/>
          <c:h val="7.9713203372852495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Entry'!$G$118</c:f>
              <c:strCache>
                <c:ptCount val="1"/>
                <c:pt idx="0">
                  <c:v>Target</c:v>
                </c:pt>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Entry'!$H$118:$S$118</c:f>
              <c:numCache>
                <c:formatCode>_(* #,##0_);_(* \(#,##0\);_(* "-"??_);_(@_)</c:formatCode>
                <c:ptCount val="12"/>
                <c:pt idx="0">
                  <c:v>25347</c:v>
                </c:pt>
                <c:pt idx="1">
                  <c:v>25347</c:v>
                </c:pt>
                <c:pt idx="2" formatCode="#,##0">
                  <c:v>6958</c:v>
                </c:pt>
                <c:pt idx="3" formatCode="#,##0">
                  <c:v>13916</c:v>
                </c:pt>
                <c:pt idx="4" formatCode="#,##0">
                  <c:v>20874</c:v>
                </c:pt>
              </c:numCache>
            </c:numRef>
          </c:val>
          <c:extLst xmlns:c16r2="http://schemas.microsoft.com/office/drawing/2015/06/chart">
            <c:ext xmlns:c16="http://schemas.microsoft.com/office/drawing/2014/chart" uri="{C3380CC4-5D6E-409C-BE32-E72D297353CC}">
              <c16:uniqueId val="{00000000-3D57-445C-8E51-0A45B747288A}"/>
            </c:ext>
          </c:extLst>
        </c:ser>
        <c:ser>
          <c:idx val="1"/>
          <c:order val="1"/>
          <c:tx>
            <c:strRef>
              <c:f>'Data Entry'!$G$119</c:f>
              <c:strCache>
                <c:ptCount val="1"/>
                <c:pt idx="0">
                  <c:v>Achieved </c:v>
                </c:pt>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Entry'!$H$119:$S$119</c:f>
              <c:numCache>
                <c:formatCode>_(* #,##0_);_(* \(#,##0\);_(* "-"??_);_(@_)</c:formatCode>
                <c:ptCount val="12"/>
                <c:pt idx="0">
                  <c:v>22099</c:v>
                </c:pt>
                <c:pt idx="1">
                  <c:v>28279</c:v>
                </c:pt>
                <c:pt idx="2" formatCode="#,##0">
                  <c:v>7219</c:v>
                </c:pt>
                <c:pt idx="3" formatCode="#,##0">
                  <c:v>16129</c:v>
                </c:pt>
                <c:pt idx="4" formatCode="#,##0">
                  <c:v>18626</c:v>
                </c:pt>
              </c:numCache>
            </c:numRef>
          </c:val>
          <c:extLst xmlns:c16r2="http://schemas.microsoft.com/office/drawing/2015/06/chart">
            <c:ext xmlns:c16="http://schemas.microsoft.com/office/drawing/2014/chart" uri="{C3380CC4-5D6E-409C-BE32-E72D297353CC}">
              <c16:uniqueId val="{00000001-3D57-445C-8E51-0A45B747288A}"/>
            </c:ext>
          </c:extLst>
        </c:ser>
        <c:dLbls>
          <c:showLegendKey val="0"/>
          <c:showVal val="0"/>
          <c:showCatName val="0"/>
          <c:showSerName val="0"/>
          <c:showPercent val="0"/>
          <c:showBubbleSize val="0"/>
        </c:dLbls>
        <c:gapWidth val="150"/>
        <c:axId val="-1104247968"/>
        <c:axId val="-1104250144"/>
      </c:barChart>
      <c:catAx>
        <c:axId val="-1104247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104250144"/>
        <c:crosses val="autoZero"/>
        <c:auto val="1"/>
        <c:lblAlgn val="ctr"/>
        <c:lblOffset val="100"/>
        <c:tickLblSkip val="1"/>
        <c:tickMarkSkip val="1"/>
        <c:noMultiLvlLbl val="0"/>
      </c:catAx>
      <c:valAx>
        <c:axId val="-1104250144"/>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104247968"/>
        <c:crosses val="autoZero"/>
        <c:crossBetween val="between"/>
      </c:valAx>
      <c:spPr>
        <a:noFill/>
        <a:ln w="25400">
          <a:noFill/>
        </a:ln>
      </c:spPr>
    </c:plotArea>
    <c:legend>
      <c:legendPos val="r"/>
      <c:layout>
        <c:manualLayout>
          <c:xMode val="edge"/>
          <c:yMode val="edge"/>
          <c:x val="0.2122516397491"/>
          <c:y val="0.872371202077866"/>
          <c:w val="0.48981147634407701"/>
          <c:h val="7.80169367711913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Disbursements to PR</a:t>
            </a:r>
          </a:p>
        </c:rich>
      </c:tx>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Entry'!$C$33:$M$33</c:f>
              <c:numCache>
                <c:formatCode>#,##0</c:formatCode>
                <c:ptCount val="11"/>
                <c:pt idx="0">
                  <c:v>2566060.5206649359</c:v>
                </c:pt>
                <c:pt idx="1">
                  <c:v>4646843.1347466186</c:v>
                </c:pt>
                <c:pt idx="2">
                  <c:v>5841166.7527098218</c:v>
                </c:pt>
                <c:pt idx="3">
                  <c:v>8533857.4914229065</c:v>
                </c:pt>
                <c:pt idx="4">
                  <c:v>10616920.462281961</c:v>
                </c:pt>
                <c:pt idx="5">
                  <c:v>11729306.295075934</c:v>
                </c:pt>
                <c:pt idx="6">
                  <c:v>12586931.141044986</c:v>
                </c:pt>
                <c:pt idx="7">
                  <c:v>14654522.548132703</c:v>
                </c:pt>
                <c:pt idx="8">
                  <c:v>15755950.183497394</c:v>
                </c:pt>
                <c:pt idx="9">
                  <c:v>16616417.075495232</c:v>
                </c:pt>
                <c:pt idx="10">
                  <c:v>17643193.421591055</c:v>
                </c:pt>
              </c:numCache>
            </c:numRef>
          </c:val>
          <c:extLst xmlns:c16r2="http://schemas.microsoft.com/office/drawing/2015/06/chart">
            <c:ext xmlns:c16="http://schemas.microsoft.com/office/drawing/2014/chart" uri="{C3380CC4-5D6E-409C-BE32-E72D297353CC}">
              <c16:uniqueId val="{00000000-0EF8-43C9-A3B4-3B4729C25690}"/>
            </c:ext>
          </c:extLst>
        </c:ser>
        <c:ser>
          <c:idx val="1"/>
          <c:order val="1"/>
          <c:tx>
            <c:strRef>
              <c:f>'Data Entry'!$B$34</c:f>
              <c:strCache>
                <c:ptCount val="1"/>
                <c:pt idx="0">
                  <c:v>Cumulative disbursements</c:v>
                </c:pt>
              </c:strCache>
            </c:strRef>
          </c:tx>
          <c:spPr>
            <a:gradFill rotWithShape="0">
              <a:gsLst>
                <a:gs pos="0">
                  <a:srgbClr val="CCFFCC"/>
                </a:gs>
                <a:gs pos="100000">
                  <a:srgbClr val="E3FFE3"/>
                </a:gs>
              </a:gsLst>
              <a:lin ang="5400000" scaled="1"/>
            </a:gradFill>
            <a:ln w="12700">
              <a:solidFill>
                <a:srgbClr val="FFCC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Entry'!$C$34:$M$34</c:f>
              <c:numCache>
                <c:formatCode>#,##0</c:formatCode>
                <c:ptCount val="11"/>
                <c:pt idx="0">
                  <c:v>1912231.72</c:v>
                </c:pt>
                <c:pt idx="1">
                  <c:v>3975781.24</c:v>
                </c:pt>
                <c:pt idx="2">
                  <c:v>5225295.17</c:v>
                </c:pt>
                <c:pt idx="3">
                  <c:v>7544332.8900000006</c:v>
                </c:pt>
                <c:pt idx="4">
                  <c:v>8193411.8400000008</c:v>
                </c:pt>
                <c:pt idx="5">
                  <c:v>8193411.8400000008</c:v>
                </c:pt>
                <c:pt idx="6">
                  <c:v>8193411.8400000008</c:v>
                </c:pt>
                <c:pt idx="7">
                  <c:v>8193411.8400000008</c:v>
                </c:pt>
                <c:pt idx="8">
                  <c:v>8193411.8400000008</c:v>
                </c:pt>
                <c:pt idx="9">
                  <c:v>8193411.8400000008</c:v>
                </c:pt>
                <c:pt idx="10">
                  <c:v>8193411.8400000008</c:v>
                </c:pt>
              </c:numCache>
            </c:numRef>
          </c:val>
          <c:extLst xmlns:c16r2="http://schemas.microsoft.com/office/drawing/2015/06/chart">
            <c:ext xmlns:c16="http://schemas.microsoft.com/office/drawing/2014/chart" uri="{C3380CC4-5D6E-409C-BE32-E72D297353CC}">
              <c16:uniqueId val="{00000001-0EF8-43C9-A3B4-3B4729C25690}"/>
            </c:ext>
          </c:extLst>
        </c:ser>
        <c:dLbls>
          <c:showLegendKey val="0"/>
          <c:showVal val="0"/>
          <c:showCatName val="0"/>
          <c:showSerName val="0"/>
          <c:showPercent val="0"/>
          <c:showBubbleSize val="0"/>
        </c:dLbls>
        <c:dropLines>
          <c:spPr>
            <a:ln w="3175">
              <a:solidFill>
                <a:srgbClr val="000000"/>
              </a:solidFill>
              <a:prstDash val="solid"/>
            </a:ln>
          </c:spPr>
        </c:dropLines>
        <c:axId val="-1154320256"/>
        <c:axId val="-1154313184"/>
      </c:areaChart>
      <c:catAx>
        <c:axId val="-11543202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1154313184"/>
        <c:crosses val="autoZero"/>
        <c:auto val="1"/>
        <c:lblAlgn val="ctr"/>
        <c:lblOffset val="100"/>
        <c:tickLblSkip val="8"/>
        <c:tickMarkSkip val="1"/>
        <c:noMultiLvlLbl val="0"/>
      </c:catAx>
      <c:valAx>
        <c:axId val="-1154313184"/>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en-US"/>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154320256"/>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99"/>
          <c:y val="7.5694015811474599E-2"/>
          <c:w val="0.74366824572258605"/>
          <c:h val="0.58032078788797203"/>
        </c:manualLayout>
      </c:layout>
      <c:barChart>
        <c:barDir val="col"/>
        <c:grouping val="stacked"/>
        <c:varyColors val="0"/>
        <c:ser>
          <c:idx val="0"/>
          <c:order val="0"/>
          <c:spPr>
            <a:solidFill>
              <a:srgbClr val="376092"/>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Entry'!$C$52:$C$55</c:f>
              <c:numCache>
                <c:formatCode>#,##0</c:formatCode>
                <c:ptCount val="4"/>
                <c:pt idx="0">
                  <c:v>7544332.8900000006</c:v>
                </c:pt>
                <c:pt idx="1">
                  <c:v>2016343.6231515231</c:v>
                </c:pt>
                <c:pt idx="2">
                  <c:v>3224568.7007294162</c:v>
                </c:pt>
                <c:pt idx="3">
                  <c:v>3454256.419312316</c:v>
                </c:pt>
              </c:numCache>
            </c:numRef>
          </c:val>
          <c:extLst xmlns:c16r2="http://schemas.microsoft.com/office/drawing/2015/06/chart">
            <c:ext xmlns:c16="http://schemas.microsoft.com/office/drawing/2014/chart" uri="{C3380CC4-5D6E-409C-BE32-E72D297353CC}">
              <c16:uniqueId val="{00000000-E95E-4943-B9B3-B8E337961660}"/>
            </c:ext>
          </c:extLst>
        </c:ser>
        <c:ser>
          <c:idx val="1"/>
          <c:order val="1"/>
          <c:spPr>
            <a:solidFill>
              <a:srgbClr val="93CDDD"/>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Entry'!$D$52:$D$55</c:f>
              <c:numCache>
                <c:formatCode>#,##0</c:formatCode>
                <c:ptCount val="4"/>
                <c:pt idx="0">
                  <c:v>649078.94999999995</c:v>
                </c:pt>
                <c:pt idx="1">
                  <c:v>724933</c:v>
                </c:pt>
                <c:pt idx="2">
                  <c:v>789637</c:v>
                </c:pt>
                <c:pt idx="3">
                  <c:v>744878.81</c:v>
                </c:pt>
              </c:numCache>
            </c:numRef>
          </c:val>
          <c:extLst xmlns:c16r2="http://schemas.microsoft.com/office/drawing/2015/06/chart">
            <c:ext xmlns:c16="http://schemas.microsoft.com/office/drawing/2014/chart" uri="{C3380CC4-5D6E-409C-BE32-E72D297353CC}">
              <c16:uniqueId val="{00000001-E95E-4943-B9B3-B8E337961660}"/>
            </c:ext>
          </c:extLst>
        </c:ser>
        <c:dLbls>
          <c:showLegendKey val="0"/>
          <c:showVal val="0"/>
          <c:showCatName val="0"/>
          <c:showSerName val="0"/>
          <c:showPercent val="0"/>
          <c:showBubbleSize val="0"/>
        </c:dLbls>
        <c:gapWidth val="150"/>
        <c:overlap val="100"/>
        <c:axId val="-1071914224"/>
        <c:axId val="-1071910960"/>
      </c:barChart>
      <c:catAx>
        <c:axId val="-1071914224"/>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071910960"/>
        <c:crossesAt val="0"/>
        <c:auto val="1"/>
        <c:lblAlgn val="ctr"/>
        <c:lblOffset val="100"/>
        <c:noMultiLvlLbl val="0"/>
      </c:catAx>
      <c:valAx>
        <c:axId val="-1071910960"/>
        <c:scaling>
          <c:orientation val="minMax"/>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1914224"/>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
          <c:y val="9.3877551020408095E-2"/>
          <c:w val="0.84029484029484003"/>
          <c:h val="0.53469387755102005"/>
        </c:manualLayout>
      </c:layout>
      <c:barChart>
        <c:barDir val="col"/>
        <c:grouping val="clustered"/>
        <c:varyColors val="0"/>
        <c:ser>
          <c:idx val="0"/>
          <c:order val="0"/>
          <c:spPr>
            <a:solidFill>
              <a:srgbClr val="993366"/>
            </a:solidFill>
            <a:ln w="3175">
              <a:solidFill>
                <a:srgbClr val="000000"/>
              </a:solidFill>
              <a:prstDash val="solid"/>
            </a:ln>
            <a:effectLst>
              <a:outerShdw dist="35921" dir="2700000" algn="br">
                <a:srgbClr val="000000"/>
              </a:outerShdw>
            </a:effectLst>
          </c:spPr>
          <c:invertIfNegative val="0"/>
          <c:cat>
            <c:strRef>
              <c:f>'Data Entry'!$B$39:$B$43</c:f>
              <c:strCache>
                <c:ptCount val="5"/>
                <c:pt idx="0">
                  <c:v>Prevention programs for MSM and TGs</c:v>
                </c:pt>
                <c:pt idx="1">
                  <c:v>Prevention programs for sex workers and their clients</c:v>
                </c:pt>
                <c:pt idx="2">
                  <c:v>Prevention programs for people who inject drugs (PWID) and their partners</c:v>
                </c:pt>
                <c:pt idx="3">
                  <c:v>Prevention programs for other vulnerable populations (please specify)</c:v>
                </c:pt>
                <c:pt idx="4">
                  <c:v>Treatment, care and support</c:v>
                </c:pt>
              </c:strCache>
            </c:strRef>
          </c:cat>
          <c:val>
            <c:numRef>
              <c:f>'Data Entry'!$C$39:$C$43</c:f>
              <c:numCache>
                <c:formatCode>#,##0</c:formatCode>
                <c:ptCount val="5"/>
                <c:pt idx="0">
                  <c:v>968243.00335090328</c:v>
                </c:pt>
                <c:pt idx="1">
                  <c:v>577412.1900074014</c:v>
                </c:pt>
                <c:pt idx="2">
                  <c:v>3365776.4533869829</c:v>
                </c:pt>
                <c:pt idx="3">
                  <c:v>130468.44695358949</c:v>
                </c:pt>
                <c:pt idx="4">
                  <c:v>4371584.9702418484</c:v>
                </c:pt>
              </c:numCache>
            </c:numRef>
          </c:val>
          <c:extLst xmlns:c16r2="http://schemas.microsoft.com/office/drawing/2015/06/chart">
            <c:ext xmlns:c16="http://schemas.microsoft.com/office/drawing/2014/chart" uri="{C3380CC4-5D6E-409C-BE32-E72D297353CC}">
              <c16:uniqueId val="{00000000-856F-4883-8E13-9E0950FCE098}"/>
            </c:ext>
          </c:extLst>
        </c:ser>
        <c:ser>
          <c:idx val="1"/>
          <c:order val="1"/>
          <c:spPr>
            <a:solidFill>
              <a:srgbClr val="CCC1DA"/>
            </a:solidFill>
            <a:ln w="3175">
              <a:solidFill>
                <a:srgbClr val="800000"/>
              </a:solidFill>
              <a:prstDash val="solid"/>
            </a:ln>
            <a:effectLst>
              <a:outerShdw dist="35921" dir="2700000" algn="br">
                <a:srgbClr val="000000"/>
              </a:outerShdw>
            </a:effectLst>
          </c:spPr>
          <c:invertIfNegative val="0"/>
          <c:cat>
            <c:strRef>
              <c:f>'Data Entry'!$B$39:$B$43</c:f>
              <c:strCache>
                <c:ptCount val="5"/>
                <c:pt idx="0">
                  <c:v>Prevention programs for MSM and TGs</c:v>
                </c:pt>
                <c:pt idx="1">
                  <c:v>Prevention programs for sex workers and their clients</c:v>
                </c:pt>
                <c:pt idx="2">
                  <c:v>Prevention programs for people who inject drugs (PWID) and their partners</c:v>
                </c:pt>
                <c:pt idx="3">
                  <c:v>Prevention programs for other vulnerable populations (please specify)</c:v>
                </c:pt>
                <c:pt idx="4">
                  <c:v>Treatment, care and support</c:v>
                </c:pt>
              </c:strCache>
            </c:strRef>
          </c:cat>
          <c:val>
            <c:numRef>
              <c:f>'Data Entry'!$D$39:$D$43</c:f>
              <c:numCache>
                <c:formatCode>#,##0</c:formatCode>
                <c:ptCount val="5"/>
                <c:pt idx="0">
                  <c:v>524014.16742057516</c:v>
                </c:pt>
                <c:pt idx="1">
                  <c:v>339728.5989107503</c:v>
                </c:pt>
                <c:pt idx="2">
                  <c:v>2518934.4056300716</c:v>
                </c:pt>
                <c:pt idx="3">
                  <c:v>67231.511186032585</c:v>
                </c:pt>
                <c:pt idx="4">
                  <c:v>2449220.0949332062</c:v>
                </c:pt>
              </c:numCache>
            </c:numRef>
          </c:val>
          <c:extLst xmlns:c16r2="http://schemas.microsoft.com/office/drawing/2015/06/chart">
            <c:ext xmlns:c16="http://schemas.microsoft.com/office/drawing/2014/chart" uri="{C3380CC4-5D6E-409C-BE32-E72D297353CC}">
              <c16:uniqueId val="{00000001-856F-4883-8E13-9E0950FCE098}"/>
            </c:ext>
          </c:extLst>
        </c:ser>
        <c:dLbls>
          <c:showLegendKey val="0"/>
          <c:showVal val="0"/>
          <c:showCatName val="0"/>
          <c:showSerName val="0"/>
          <c:showPercent val="0"/>
          <c:showBubbleSize val="0"/>
        </c:dLbls>
        <c:gapWidth val="150"/>
        <c:axId val="-1071912592"/>
        <c:axId val="-1071912048"/>
      </c:barChart>
      <c:catAx>
        <c:axId val="-10719125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071912048"/>
        <c:crosses val="autoZero"/>
        <c:auto val="1"/>
        <c:lblAlgn val="ctr"/>
        <c:lblOffset val="100"/>
        <c:tickMarkSkip val="1"/>
        <c:noMultiLvlLbl val="0"/>
      </c:catAx>
      <c:valAx>
        <c:axId val="-107191204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1071912592"/>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799E-2"/>
          <c:y val="0.195653558463248"/>
          <c:w val="0.86864496640476696"/>
          <c:h val="0.42029282929142098"/>
        </c:manualLayout>
      </c:layout>
      <c:barChart>
        <c:barDir val="bar"/>
        <c:grouping val="percentStacked"/>
        <c:varyColors val="0"/>
        <c:ser>
          <c:idx val="0"/>
          <c:order val="0"/>
          <c:tx>
            <c:strRef>
              <c:f>'Data Entry'!$C$78</c:f>
              <c:strCache>
                <c:ptCount val="1"/>
                <c:pt idx="0">
                  <c:v>Planned</c:v>
                </c:pt>
              </c:strCache>
            </c:strRef>
          </c:tx>
          <c:spPr>
            <a:noFill/>
            <a:ln w="25400">
              <a:noFill/>
            </a:ln>
            <a:effectLst>
              <a:outerShdw dist="35921" dir="2700000" algn="br">
                <a:srgbClr val="000000"/>
              </a:outerShdw>
            </a:effectLst>
          </c:spPr>
          <c:invertIfNegative val="0"/>
          <c:dLbls>
            <c:dLbl>
              <c:idx val="0"/>
              <c:layout>
                <c:manualLayout>
                  <c:x val="0.25756013242089298"/>
                  <c:y val="-0.29611370761718198"/>
                </c:manualLayout>
              </c:layout>
              <c:numFmt formatCode="#,##0" sourceLinked="0"/>
              <c:spPr>
                <a:noFill/>
                <a:ln w="25400">
                  <a:noFill/>
                </a:ln>
              </c:spPr>
              <c:txPr>
                <a:bodyPr/>
                <a:lstStyle/>
                <a:p>
                  <a:pPr algn="ctr" rtl="1">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1"/>
              <c:showPercent val="0"/>
              <c:showBubbleSize val="0"/>
              <c:extLst xmlns:c16r2="http://schemas.microsoft.com/office/drawing/2015/06/chart">
                <c:ext xmlns:c16="http://schemas.microsoft.com/office/drawing/2014/chart" uri="{C3380CC4-5D6E-409C-BE32-E72D297353CC}">
                  <c16:uniqueId val="{00000000-57A2-4CDC-8CE0-0E085F052E53}"/>
                </c:ext>
                <c:ext xmlns:c15="http://schemas.microsoft.com/office/drawing/2012/chart" uri="{CE6537A1-D6FC-4f65-9D91-7224C49458BB}"/>
              </c:extLst>
            </c:dLbl>
            <c:numFmt formatCode="#,##0" sourceLinked="0"/>
            <c:spPr>
              <a:noFill/>
              <a:ln w="25400">
                <a:noFill/>
              </a:ln>
            </c:spPr>
            <c:txPr>
              <a:bodyPr wrap="square" lIns="38100" tIns="19050" rIns="38100" bIns="19050" anchor="ctr">
                <a:spAutoFit/>
              </a:bodyPr>
              <a:lstStyle/>
              <a:p>
                <a:pPr algn="ctr" rtl="1">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Entry'!$C$79</c:f>
              <c:numCache>
                <c:formatCode>General</c:formatCode>
                <c:ptCount val="1"/>
                <c:pt idx="0">
                  <c:v>16</c:v>
                </c:pt>
              </c:numCache>
            </c:numRef>
          </c:val>
          <c:extLst xmlns:c16r2="http://schemas.microsoft.com/office/drawing/2015/06/chart">
            <c:ext xmlns:c16="http://schemas.microsoft.com/office/drawing/2014/chart" uri="{C3380CC4-5D6E-409C-BE32-E72D297353CC}">
              <c16:uniqueId val="{00000001-57A2-4CDC-8CE0-0E085F052E53}"/>
            </c:ext>
          </c:extLst>
        </c:ser>
        <c:dLbls>
          <c:showLegendKey val="0"/>
          <c:showVal val="0"/>
          <c:showCatName val="0"/>
          <c:showSerName val="0"/>
          <c:showPercent val="0"/>
          <c:showBubbleSize val="0"/>
        </c:dLbls>
        <c:gapWidth val="79"/>
        <c:overlap val="100"/>
        <c:axId val="-1115209072"/>
        <c:axId val="-1115207440"/>
      </c:barChart>
      <c:barChart>
        <c:barDir val="bar"/>
        <c:grouping val="percentStacked"/>
        <c:varyColors val="0"/>
        <c:ser>
          <c:idx val="1"/>
          <c:order val="1"/>
          <c:tx>
            <c:strRef>
              <c:f>'Data Entry'!$D$78</c:f>
              <c:strCache>
                <c:ptCount val="1"/>
                <c:pt idx="0">
                  <c:v>Filled</c:v>
                </c:pt>
              </c:strCache>
            </c:strRef>
          </c:tx>
          <c:spPr>
            <a:solidFill>
              <a:srgbClr val="99CC00"/>
            </a:solidFill>
            <a:ln w="25400">
              <a:noFill/>
            </a:ln>
            <a:effectLst>
              <a:outerShdw dist="35921" dir="2700000" algn="br">
                <a:srgbClr val="000000"/>
              </a:outerShdw>
            </a:effectLst>
          </c:spPr>
          <c:invertIfNegative val="0"/>
          <c:dLbls>
            <c:numFmt formatCode="#,##0" sourceLinked="0"/>
            <c:spPr>
              <a:noFill/>
              <a:ln w="25400">
                <a:noFill/>
              </a:ln>
            </c:spPr>
            <c:txPr>
              <a:bodyPr wrap="square" lIns="38100" tIns="19050" rIns="38100" bIns="19050" anchor="ctr">
                <a:spAutoFit/>
              </a:bodyPr>
              <a:lstStyle/>
              <a:p>
                <a:pPr algn="ctr" rtl="1">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Entry'!$D$79</c:f>
              <c:numCache>
                <c:formatCode>General</c:formatCode>
                <c:ptCount val="1"/>
                <c:pt idx="0">
                  <c:v>16</c:v>
                </c:pt>
              </c:numCache>
            </c:numRef>
          </c:val>
          <c:extLst xmlns:c16r2="http://schemas.microsoft.com/office/drawing/2015/06/chart">
            <c:ext xmlns:c16="http://schemas.microsoft.com/office/drawing/2014/chart" uri="{C3380CC4-5D6E-409C-BE32-E72D297353CC}">
              <c16:uniqueId val="{00000002-57A2-4CDC-8CE0-0E085F052E53}"/>
            </c:ext>
          </c:extLst>
        </c:ser>
        <c:ser>
          <c:idx val="2"/>
          <c:order val="2"/>
          <c:tx>
            <c:strRef>
              <c:f>'Data Entry'!$E$78</c:f>
              <c:strCache>
                <c:ptCount val="1"/>
                <c:pt idx="0">
                  <c:v>Vacant</c:v>
                </c:pt>
              </c:strCache>
            </c:strRef>
          </c:tx>
          <c:spPr>
            <a:solidFill>
              <a:srgbClr val="FF7171"/>
            </a:solidFill>
            <a:ln w="25400">
              <a:noFill/>
            </a:ln>
            <a:effectLst>
              <a:outerShdw dist="35921" dir="2700000" algn="br">
                <a:srgbClr val="000000"/>
              </a:outerShdw>
            </a:effectLst>
          </c:spPr>
          <c:invertIfNegative val="0"/>
          <c:val>
            <c:numRef>
              <c:f>'Data Entry'!$E$79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3-57A2-4CDC-8CE0-0E085F052E53}"/>
            </c:ext>
          </c:extLst>
        </c:ser>
        <c:dLbls>
          <c:showLegendKey val="0"/>
          <c:showVal val="0"/>
          <c:showCatName val="0"/>
          <c:showSerName val="0"/>
          <c:showPercent val="0"/>
          <c:showBubbleSize val="0"/>
        </c:dLbls>
        <c:gapWidth val="190"/>
        <c:overlap val="100"/>
        <c:serLines>
          <c:spPr>
            <a:ln w="3175">
              <a:solidFill>
                <a:srgbClr val="000000"/>
              </a:solidFill>
              <a:prstDash val="solid"/>
            </a:ln>
          </c:spPr>
        </c:serLines>
        <c:axId val="-1115204176"/>
        <c:axId val="-1115207984"/>
      </c:barChart>
      <c:catAx>
        <c:axId val="-1115209072"/>
        <c:scaling>
          <c:orientation val="minMax"/>
        </c:scaling>
        <c:delete val="1"/>
        <c:axPos val="l"/>
        <c:majorTickMark val="out"/>
        <c:minorTickMark val="none"/>
        <c:tickLblPos val="nextTo"/>
        <c:crossAx val="-1115207440"/>
        <c:crosses val="autoZero"/>
        <c:auto val="1"/>
        <c:lblAlgn val="ctr"/>
        <c:lblOffset val="100"/>
        <c:noMultiLvlLbl val="0"/>
      </c:catAx>
      <c:valAx>
        <c:axId val="-1115207440"/>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115209072"/>
        <c:crosses val="max"/>
        <c:crossBetween val="between"/>
      </c:valAx>
      <c:catAx>
        <c:axId val="-1115204176"/>
        <c:scaling>
          <c:orientation val="minMax"/>
        </c:scaling>
        <c:delete val="1"/>
        <c:axPos val="l"/>
        <c:majorTickMark val="out"/>
        <c:minorTickMark val="none"/>
        <c:tickLblPos val="nextTo"/>
        <c:crossAx val="-1115207984"/>
        <c:crosses val="autoZero"/>
        <c:auto val="0"/>
        <c:lblAlgn val="ctr"/>
        <c:lblOffset val="100"/>
        <c:noMultiLvlLbl val="0"/>
      </c:catAx>
      <c:valAx>
        <c:axId val="-1115207984"/>
        <c:scaling>
          <c:orientation val="minMax"/>
        </c:scaling>
        <c:delete val="0"/>
        <c:axPos val="b"/>
        <c:numFmt formatCode="0%" sourceLinked="1"/>
        <c:majorTickMark val="none"/>
        <c:minorTickMark val="none"/>
        <c:tickLblPos val="none"/>
        <c:spPr>
          <a:ln w="3175">
            <a:solidFill>
              <a:srgbClr val="000000"/>
            </a:solidFill>
            <a:prstDash val="solid"/>
          </a:ln>
        </c:spPr>
        <c:crossAx val="-1115204176"/>
        <c:crosses val="autoZero"/>
        <c:crossBetween val="between"/>
      </c:valAx>
      <c:spPr>
        <a:solidFill>
          <a:srgbClr val="FFFFFF"/>
        </a:solidFill>
        <a:ln w="25400">
          <a:noFill/>
        </a:ln>
      </c:spPr>
    </c:plotArea>
    <c:legend>
      <c:legendPos val="r"/>
      <c:legendEntry>
        <c:idx val="0"/>
        <c:delete val="1"/>
      </c:legendEntry>
      <c:layout>
        <c:manualLayout>
          <c:xMode val="edge"/>
          <c:yMode val="edge"/>
          <c:x val="0.40883930803548402"/>
          <c:y val="0.79490841418378799"/>
          <c:w val="0.16107888420406999"/>
          <c:h val="0.145636591193537"/>
        </c:manualLayout>
      </c:layout>
      <c:overlay val="0"/>
      <c:spPr>
        <a:noFill/>
        <a:ln w="25400">
          <a:noFill/>
        </a:ln>
      </c:spPr>
      <c:txPr>
        <a:bodyPr/>
        <a:lstStyle/>
        <a:p>
          <a:pPr>
            <a:defRPr sz="520"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794E-2"/>
          <c:y val="0.13661275087917801"/>
          <c:w val="0.89702517162471396"/>
          <c:h val="0.60656061390354898"/>
        </c:manualLayout>
      </c:layout>
      <c:barChart>
        <c:barDir val="col"/>
        <c:grouping val="clustered"/>
        <c:varyColors val="0"/>
        <c:ser>
          <c:idx val="0"/>
          <c:order val="0"/>
          <c:tx>
            <c:strRef>
              <c:f>'Data Entry'!$C$83</c:f>
              <c:strCache>
                <c:ptCount val="1"/>
                <c:pt idx="0">
                  <c:v>Identified</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Entry'!$C$84</c:f>
              <c:numCache>
                <c:formatCode>General</c:formatCode>
                <c:ptCount val="1"/>
                <c:pt idx="0">
                  <c:v>7</c:v>
                </c:pt>
              </c:numCache>
            </c:numRef>
          </c:val>
          <c:extLst xmlns:c16r2="http://schemas.microsoft.com/office/drawing/2015/06/chart">
            <c:ext xmlns:c16="http://schemas.microsoft.com/office/drawing/2014/chart" uri="{C3380CC4-5D6E-409C-BE32-E72D297353CC}">
              <c16:uniqueId val="{00000000-E986-4D8E-B9A2-30C0E039D4A6}"/>
            </c:ext>
          </c:extLst>
        </c:ser>
        <c:ser>
          <c:idx val="1"/>
          <c:order val="1"/>
          <c:tx>
            <c:strRef>
              <c:f>'Data Entry'!$D$83</c:f>
              <c:strCache>
                <c:ptCount val="1"/>
                <c:pt idx="0">
                  <c:v>Assessed</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Entry'!$D$84</c:f>
              <c:numCache>
                <c:formatCode>General</c:formatCode>
                <c:ptCount val="1"/>
                <c:pt idx="0">
                  <c:v>7</c:v>
                </c:pt>
              </c:numCache>
            </c:numRef>
          </c:val>
          <c:extLst xmlns:c16r2="http://schemas.microsoft.com/office/drawing/2015/06/chart">
            <c:ext xmlns:c16="http://schemas.microsoft.com/office/drawing/2014/chart" uri="{C3380CC4-5D6E-409C-BE32-E72D297353CC}">
              <c16:uniqueId val="{00000001-E986-4D8E-B9A2-30C0E039D4A6}"/>
            </c:ext>
          </c:extLst>
        </c:ser>
        <c:ser>
          <c:idx val="2"/>
          <c:order val="2"/>
          <c:tx>
            <c:strRef>
              <c:f>'Data Entry'!$E$83</c:f>
              <c:strCache>
                <c:ptCount val="1"/>
                <c:pt idx="0">
                  <c:v>Approved</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Entry'!$E$84</c:f>
              <c:numCache>
                <c:formatCode>General</c:formatCode>
                <c:ptCount val="1"/>
                <c:pt idx="0">
                  <c:v>7</c:v>
                </c:pt>
              </c:numCache>
            </c:numRef>
          </c:val>
          <c:extLst xmlns:c16r2="http://schemas.microsoft.com/office/drawing/2015/06/chart">
            <c:ext xmlns:c16="http://schemas.microsoft.com/office/drawing/2014/chart" uri="{C3380CC4-5D6E-409C-BE32-E72D297353CC}">
              <c16:uniqueId val="{00000002-E986-4D8E-B9A2-30C0E039D4A6}"/>
            </c:ext>
          </c:extLst>
        </c:ser>
        <c:ser>
          <c:idx val="3"/>
          <c:order val="3"/>
          <c:tx>
            <c:strRef>
              <c:f>'Data Entry'!$F$83</c:f>
              <c:strCache>
                <c:ptCount val="1"/>
                <c:pt idx="0">
                  <c:v>Signed</c:v>
                </c:pt>
              </c:strCache>
            </c:strRef>
          </c:tx>
          <c:spPr>
            <a:solidFill>
              <a:srgbClr val="80808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Entry'!$F$84</c:f>
              <c:numCache>
                <c:formatCode>General</c:formatCode>
                <c:ptCount val="1"/>
                <c:pt idx="0">
                  <c:v>7</c:v>
                </c:pt>
              </c:numCache>
            </c:numRef>
          </c:val>
          <c:extLst xmlns:c16r2="http://schemas.microsoft.com/office/drawing/2015/06/chart">
            <c:ext xmlns:c16="http://schemas.microsoft.com/office/drawing/2014/chart" uri="{C3380CC4-5D6E-409C-BE32-E72D297353CC}">
              <c16:uniqueId val="{00000003-E986-4D8E-B9A2-30C0E039D4A6}"/>
            </c:ext>
          </c:extLst>
        </c:ser>
        <c:ser>
          <c:idx val="4"/>
          <c:order val="4"/>
          <c:tx>
            <c:strRef>
              <c:f>'Data Entry'!$G$83</c:f>
              <c:strCache>
                <c:ptCount val="1"/>
                <c:pt idx="0">
                  <c:v>Receiving Funding</c:v>
                </c:pt>
              </c:strCache>
            </c:strRef>
          </c:tx>
          <c:spPr>
            <a:solidFill>
              <a:srgbClr val="333333"/>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Entry'!$G$84</c:f>
              <c:numCache>
                <c:formatCode>General</c:formatCode>
                <c:ptCount val="1"/>
                <c:pt idx="0">
                  <c:v>7</c:v>
                </c:pt>
              </c:numCache>
            </c:numRef>
          </c:val>
          <c:extLst xmlns:c16r2="http://schemas.microsoft.com/office/drawing/2015/06/chart">
            <c:ext xmlns:c16="http://schemas.microsoft.com/office/drawing/2014/chart" uri="{C3380CC4-5D6E-409C-BE32-E72D297353CC}">
              <c16:uniqueId val="{00000004-E986-4D8E-B9A2-30C0E039D4A6}"/>
            </c:ext>
          </c:extLst>
        </c:ser>
        <c:dLbls>
          <c:showLegendKey val="0"/>
          <c:showVal val="0"/>
          <c:showCatName val="0"/>
          <c:showSerName val="0"/>
          <c:showPercent val="0"/>
          <c:showBubbleSize val="0"/>
        </c:dLbls>
        <c:gapWidth val="150"/>
        <c:overlap val="-20"/>
        <c:axId val="-1115206352"/>
        <c:axId val="-1115202544"/>
      </c:barChart>
      <c:catAx>
        <c:axId val="-1115206352"/>
        <c:scaling>
          <c:orientation val="minMax"/>
        </c:scaling>
        <c:delete val="0"/>
        <c:axPos val="b"/>
        <c:majorTickMark val="none"/>
        <c:minorTickMark val="none"/>
        <c:tickLblPos val="none"/>
        <c:spPr>
          <a:ln w="3175">
            <a:solidFill>
              <a:srgbClr val="000000"/>
            </a:solidFill>
            <a:prstDash val="solid"/>
          </a:ln>
        </c:spPr>
        <c:crossAx val="-1115202544"/>
        <c:crosses val="autoZero"/>
        <c:auto val="0"/>
        <c:lblAlgn val="ctr"/>
        <c:lblOffset val="100"/>
        <c:tickMarkSkip val="1"/>
        <c:noMultiLvlLbl val="0"/>
      </c:catAx>
      <c:valAx>
        <c:axId val="-111520254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15206352"/>
        <c:crosses val="autoZero"/>
        <c:crossBetween val="between"/>
      </c:valAx>
      <c:spPr>
        <a:noFill/>
        <a:ln w="25400">
          <a:noFill/>
        </a:ln>
      </c:spPr>
    </c:plotArea>
    <c:legend>
      <c:legendPos val="r"/>
      <c:layout>
        <c:manualLayout>
          <c:xMode val="edge"/>
          <c:yMode val="edge"/>
          <c:x val="0.13624422309193199"/>
          <c:y val="0.81754829695630504"/>
          <c:w val="0.73299392023459498"/>
          <c:h val="9.4893998753856901E-2"/>
        </c:manualLayout>
      </c:layout>
      <c:overlay val="0"/>
      <c:spPr>
        <a:noFill/>
        <a:ln w="25400">
          <a:noFill/>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01"/>
          <c:y val="5.6000000000000001E-2"/>
          <c:w val="0.54462242562929097"/>
          <c:h val="0.56000000000000005"/>
        </c:manualLayout>
      </c:layout>
      <c:barChart>
        <c:barDir val="bar"/>
        <c:grouping val="percentStacked"/>
        <c:varyColors val="0"/>
        <c:ser>
          <c:idx val="0"/>
          <c:order val="0"/>
          <c:tx>
            <c:strRef>
              <c:f>'Data Entry'!$D$71</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Entry'!$B$72:$B$73</c:f>
              <c:strCache>
                <c:ptCount val="1"/>
                <c:pt idx="0">
                  <c:v>NFM Grant Requirements</c:v>
                </c:pt>
              </c:strCache>
            </c:strRef>
          </c:cat>
          <c:val>
            <c:numRef>
              <c:f>'Data Entry'!$D$72:$D$73</c:f>
              <c:numCache>
                <c:formatCode>0</c:formatCode>
                <c:ptCount val="2"/>
                <c:pt idx="0">
                  <c:v>4</c:v>
                </c:pt>
              </c:numCache>
            </c:numRef>
          </c:val>
          <c:extLst xmlns:c16r2="http://schemas.microsoft.com/office/drawing/2015/06/chart">
            <c:ext xmlns:c16="http://schemas.microsoft.com/office/drawing/2014/chart" uri="{C3380CC4-5D6E-409C-BE32-E72D297353CC}">
              <c16:uniqueId val="{00000000-7D77-426D-8180-9FF2722F8EBA}"/>
            </c:ext>
          </c:extLst>
        </c:ser>
        <c:ser>
          <c:idx val="1"/>
          <c:order val="1"/>
          <c:tx>
            <c:strRef>
              <c:f>'Data Entry'!$E$71</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Entry'!$B$72:$B$73</c:f>
              <c:strCache>
                <c:ptCount val="1"/>
                <c:pt idx="0">
                  <c:v>NFM Grant Requirements</c:v>
                </c:pt>
              </c:strCache>
            </c:strRef>
          </c:cat>
          <c:val>
            <c:numRef>
              <c:f>'Data Entry'!$E$72:$E$73</c:f>
              <c:numCache>
                <c:formatCode>0</c:formatCode>
                <c:ptCount val="2"/>
                <c:pt idx="0">
                  <c:v>4</c:v>
                </c:pt>
              </c:numCache>
            </c:numRef>
          </c:val>
          <c:extLst xmlns:c16r2="http://schemas.microsoft.com/office/drawing/2015/06/chart">
            <c:ext xmlns:c16="http://schemas.microsoft.com/office/drawing/2014/chart" uri="{C3380CC4-5D6E-409C-BE32-E72D297353CC}">
              <c16:uniqueId val="{00000001-7D77-426D-8180-9FF2722F8EBA}"/>
            </c:ext>
          </c:extLst>
        </c:ser>
        <c:ser>
          <c:idx val="2"/>
          <c:order val="2"/>
          <c:tx>
            <c:strRef>
              <c:f>'Data Entry'!$F$71</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dLbl>
              <c:idx val="0"/>
              <c:delete val="1"/>
              <c:extLst xmlns:c16r2="http://schemas.microsoft.com/office/drawing/2015/06/chart">
                <c:ext xmlns:c16="http://schemas.microsoft.com/office/drawing/2014/chart" uri="{C3380CC4-5D6E-409C-BE32-E72D297353CC}">
                  <c16:uniqueId val="{00000002-7D77-426D-8180-9FF2722F8EBA}"/>
                </c:ext>
                <c:ext xmlns:c15="http://schemas.microsoft.com/office/drawing/2012/chart" uri="{CE6537A1-D6FC-4f65-9D91-7224C49458BB}"/>
              </c:extLst>
            </c:dLbl>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Entry'!$B$72:$B$73</c:f>
              <c:strCache>
                <c:ptCount val="1"/>
                <c:pt idx="0">
                  <c:v>NFM Grant Requirements</c:v>
                </c:pt>
              </c:strCache>
            </c:strRef>
          </c:cat>
          <c:val>
            <c:numRef>
              <c:f>'Data Entry'!$F$72:$F$73</c:f>
              <c:numCache>
                <c:formatCode>0</c:formatCode>
                <c:ptCount val="2"/>
                <c:pt idx="0">
                  <c:v>0</c:v>
                </c:pt>
              </c:numCache>
            </c:numRef>
          </c:val>
          <c:extLst xmlns:c16r2="http://schemas.microsoft.com/office/drawing/2015/06/chart">
            <c:ext xmlns:c16="http://schemas.microsoft.com/office/drawing/2014/chart" uri="{C3380CC4-5D6E-409C-BE32-E72D297353CC}">
              <c16:uniqueId val="{00000003-7D77-426D-8180-9FF2722F8EBA}"/>
            </c:ext>
          </c:extLst>
        </c:ser>
        <c:dLbls>
          <c:showLegendKey val="0"/>
          <c:showVal val="0"/>
          <c:showCatName val="0"/>
          <c:showSerName val="0"/>
          <c:showPercent val="0"/>
          <c:showBubbleSize val="0"/>
        </c:dLbls>
        <c:gapWidth val="70"/>
        <c:overlap val="100"/>
        <c:axId val="-1115203632"/>
        <c:axId val="-1315705424"/>
      </c:barChart>
      <c:catAx>
        <c:axId val="-111520363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15705424"/>
        <c:crosses val="autoZero"/>
        <c:auto val="1"/>
        <c:lblAlgn val="ctr"/>
        <c:lblOffset val="100"/>
        <c:tickLblSkip val="1"/>
        <c:tickMarkSkip val="1"/>
        <c:noMultiLvlLbl val="0"/>
      </c:catAx>
      <c:valAx>
        <c:axId val="-1315705424"/>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15203632"/>
        <c:crosses val="autoZero"/>
        <c:crossBetween val="between"/>
      </c:valAx>
      <c:spPr>
        <a:noFill/>
        <a:ln w="25400">
          <a:noFill/>
        </a:ln>
      </c:spPr>
    </c:plotArea>
    <c:legend>
      <c:legendPos val="r"/>
      <c:layout>
        <c:manualLayout>
          <c:xMode val="edge"/>
          <c:yMode val="edge"/>
          <c:x val="9.5648707948717701E-2"/>
          <c:y val="0.80650032540053695"/>
          <c:w val="0.82183495846695798"/>
          <c:h val="0.14894214203352901"/>
        </c:manualLayout>
      </c:layout>
      <c:overlay val="0"/>
      <c:spPr>
        <a:noFill/>
        <a:ln w="25400">
          <a:noFill/>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01"/>
          <c:y val="0.121547289222444"/>
          <c:w val="0.60327318841303301"/>
          <c:h val="0.55248767828383505"/>
        </c:manualLayout>
      </c:layout>
      <c:barChart>
        <c:barDir val="bar"/>
        <c:grouping val="percentStacked"/>
        <c:varyColors val="0"/>
        <c:ser>
          <c:idx val="1"/>
          <c:order val="0"/>
          <c:tx>
            <c:strRef>
              <c:f>'Data Entry'!$D$88</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Entry'!$B$89:$B$90</c:f>
              <c:strCache>
                <c:ptCount val="2"/>
                <c:pt idx="0">
                  <c:v>SSR to SR</c:v>
                </c:pt>
                <c:pt idx="1">
                  <c:v>SRs to PR</c:v>
                </c:pt>
              </c:strCache>
            </c:strRef>
          </c:cat>
          <c:val>
            <c:numRef>
              <c:f>'Data Entry'!$D$89:$D$90</c:f>
              <c:numCache>
                <c:formatCode>0</c:formatCode>
                <c:ptCount val="2"/>
                <c:pt idx="0">
                  <c:v>165</c:v>
                </c:pt>
                <c:pt idx="1">
                  <c:v>21</c:v>
                </c:pt>
              </c:numCache>
            </c:numRef>
          </c:val>
          <c:extLst xmlns:c16r2="http://schemas.microsoft.com/office/drawing/2015/06/chart">
            <c:ext xmlns:c16="http://schemas.microsoft.com/office/drawing/2014/chart" uri="{C3380CC4-5D6E-409C-BE32-E72D297353CC}">
              <c16:uniqueId val="{00000000-8659-4553-BB7E-880CD8E77304}"/>
            </c:ext>
          </c:extLst>
        </c:ser>
        <c:ser>
          <c:idx val="2"/>
          <c:order val="1"/>
          <c:tx>
            <c:strRef>
              <c:f>'Data Entry'!$E$88</c:f>
              <c:strCache>
                <c:ptCount val="1"/>
                <c:pt idx="0">
                  <c:v>Pending</c:v>
                </c:pt>
              </c:strCache>
            </c:strRef>
          </c:tx>
          <c:spPr>
            <a:solidFill>
              <a:srgbClr val="FF5050"/>
            </a:solidFill>
            <a:ln w="25400">
              <a:noFill/>
            </a:ln>
            <a:effectLst>
              <a:outerShdw dist="35921" dir="2700000" algn="br">
                <a:srgbClr val="000000"/>
              </a:outerShdw>
            </a:effectLst>
          </c:spPr>
          <c:invertIfNegative val="0"/>
          <c:cat>
            <c:strRef>
              <c:f>'Data Entry'!$B$89:$B$90</c:f>
              <c:strCache>
                <c:ptCount val="2"/>
                <c:pt idx="0">
                  <c:v>SSR to SR</c:v>
                </c:pt>
                <c:pt idx="1">
                  <c:v>SRs to PR</c:v>
                </c:pt>
              </c:strCache>
            </c:strRef>
          </c:cat>
          <c:val>
            <c:numRef>
              <c:f>'Data Entry'!$E$89:$E$90</c:f>
              <c:numCache>
                <c:formatCode>General</c:formatCode>
                <c:ptCount val="2"/>
                <c:pt idx="0" formatCode="0">
                  <c:v>0</c:v>
                </c:pt>
                <c:pt idx="1">
                  <c:v>0</c:v>
                </c:pt>
              </c:numCache>
            </c:numRef>
          </c:val>
          <c:extLst xmlns:c16r2="http://schemas.microsoft.com/office/drawing/2015/06/chart">
            <c:ext xmlns:c16="http://schemas.microsoft.com/office/drawing/2014/chart" uri="{C3380CC4-5D6E-409C-BE32-E72D297353CC}">
              <c16:uniqueId val="{00000001-8659-4553-BB7E-880CD8E77304}"/>
            </c:ext>
          </c:extLst>
        </c:ser>
        <c:dLbls>
          <c:showLegendKey val="0"/>
          <c:showVal val="0"/>
          <c:showCatName val="0"/>
          <c:showSerName val="0"/>
          <c:showPercent val="0"/>
          <c:showBubbleSize val="0"/>
        </c:dLbls>
        <c:gapWidth val="101"/>
        <c:overlap val="100"/>
        <c:axId val="-1315705968"/>
        <c:axId val="-1315698896"/>
      </c:barChart>
      <c:catAx>
        <c:axId val="-131570596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315698896"/>
        <c:crosses val="autoZero"/>
        <c:auto val="1"/>
        <c:lblAlgn val="ctr"/>
        <c:lblOffset val="100"/>
        <c:noMultiLvlLbl val="0"/>
      </c:catAx>
      <c:valAx>
        <c:axId val="-1315698896"/>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315705968"/>
        <c:crosses val="max"/>
        <c:crossBetween val="between"/>
      </c:valAx>
      <c:spPr>
        <a:solidFill>
          <a:srgbClr val="FFFFFF"/>
        </a:solidFill>
        <a:ln w="25400">
          <a:noFill/>
        </a:ln>
      </c:spPr>
    </c:plotArea>
    <c:legend>
      <c:legendPos val="r"/>
      <c:legendEntry>
        <c:idx val="0"/>
        <c:txPr>
          <a:bodyPr/>
          <a:lstStyle/>
          <a:p>
            <a:pPr>
              <a:defRPr sz="475" b="0" i="0" u="none" strike="noStrike" baseline="0">
                <a:solidFill>
                  <a:srgbClr val="000000"/>
                </a:solidFill>
                <a:latin typeface="Calibri"/>
                <a:ea typeface="Calibri"/>
                <a:cs typeface="Calibri"/>
              </a:defRPr>
            </a:pPr>
            <a:endParaRPr lang="en-US"/>
          </a:p>
        </c:txPr>
      </c:legendEntry>
      <c:legendEntry>
        <c:idx val="1"/>
        <c:txPr>
          <a:bodyPr/>
          <a:lstStyle/>
          <a:p>
            <a:pPr>
              <a:defRPr sz="475" b="0" i="0" u="none" strike="noStrike" baseline="0">
                <a:solidFill>
                  <a:srgbClr val="000000"/>
                </a:solidFill>
                <a:latin typeface="Calibri"/>
                <a:ea typeface="Calibri"/>
                <a:cs typeface="Calibri"/>
              </a:defRPr>
            </a:pPr>
            <a:endParaRPr lang="en-US"/>
          </a:p>
        </c:txPr>
      </c:legendEntry>
      <c:layout>
        <c:manualLayout>
          <c:xMode val="edge"/>
          <c:yMode val="edge"/>
          <c:x val="0.35521474224698901"/>
          <c:y val="0.78679233618357303"/>
          <c:w val="0.30091439948311799"/>
          <c:h val="0.13235758926452601"/>
        </c:manualLayout>
      </c:layout>
      <c:overlay val="0"/>
      <c:spPr>
        <a:noFill/>
        <a:ln w="25400">
          <a:noFill/>
        </a:ln>
      </c:spPr>
      <c:txPr>
        <a:bodyPr/>
        <a:lstStyle/>
        <a:p>
          <a:pPr>
            <a:defRPr sz="4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01"/>
          <c:y val="0.10989010989011"/>
          <c:w val="0.81094724363350201"/>
          <c:h val="0.54395604395604402"/>
        </c:manualLayout>
      </c:layout>
      <c:lineChart>
        <c:grouping val="standard"/>
        <c:varyColors val="0"/>
        <c:ser>
          <c:idx val="0"/>
          <c:order val="0"/>
          <c:tx>
            <c:strRef>
              <c:f>'Data Entry'!$B$98</c:f>
              <c:strCache>
                <c:ptCount val="1"/>
                <c:pt idx="0">
                  <c:v>Budget Approved cumulative*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Entry'!$C$98:$N$98</c:f>
              <c:numCache>
                <c:formatCode>#,##0</c:formatCode>
                <c:ptCount val="12"/>
                <c:pt idx="0">
                  <c:v>1281508.9595083122</c:v>
                </c:pt>
                <c:pt idx="1">
                  <c:v>2090423.7558721437</c:v>
                </c:pt>
                <c:pt idx="2">
                  <c:v>2099737.8964309921</c:v>
                </c:pt>
                <c:pt idx="3">
                  <c:v>3578441.4351359769</c:v>
                </c:pt>
                <c:pt idx="4">
                  <c:v>4665603.9440860189</c:v>
                </c:pt>
                <c:pt idx="5">
                  <c:v>4665603.9440860189</c:v>
                </c:pt>
                <c:pt idx="6">
                  <c:v>4674918.0846448671</c:v>
                </c:pt>
                <c:pt idx="7">
                  <c:v>5817641.5459887581</c:v>
                </c:pt>
                <c:pt idx="8">
                  <c:v>6019677.4084388008</c:v>
                </c:pt>
                <c:pt idx="9">
                  <c:v>6019677.4084388008</c:v>
                </c:pt>
                <c:pt idx="10">
                  <c:v>6203269.3509150771</c:v>
                </c:pt>
                <c:pt idx="11">
                  <c:v>6203269.3509150771</c:v>
                </c:pt>
              </c:numCache>
            </c:numRef>
          </c:val>
          <c:smooth val="0"/>
          <c:extLst xmlns:c16r2="http://schemas.microsoft.com/office/drawing/2015/06/chart">
            <c:ext xmlns:c16="http://schemas.microsoft.com/office/drawing/2014/chart" uri="{C3380CC4-5D6E-409C-BE32-E72D297353CC}">
              <c16:uniqueId val="{00000000-842A-4717-9F14-C1424E821776}"/>
            </c:ext>
          </c:extLst>
        </c:ser>
        <c:ser>
          <c:idx val="1"/>
          <c:order val="1"/>
          <c:tx>
            <c:strRef>
              <c:f>'Data Entry'!$B$99</c:f>
              <c:strCache>
                <c:ptCount val="1"/>
                <c:pt idx="0">
                  <c:v>Obligations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Entry'!$C$99:$N$99</c:f>
              <c:numCache>
                <c:formatCode>#,##0</c:formatCode>
                <c:ptCount val="12"/>
                <c:pt idx="0">
                  <c:v>19935.614027557196</c:v>
                </c:pt>
                <c:pt idx="1">
                  <c:v>1245108.6140275572</c:v>
                </c:pt>
                <c:pt idx="2">
                  <c:v>1470070.521603412</c:v>
                </c:pt>
                <c:pt idx="3">
                  <c:v>2069658.8399816109</c:v>
                </c:pt>
                <c:pt idx="4">
                  <c:v>2649687.9109227825</c:v>
                </c:pt>
                <c:pt idx="5">
                  <c:v>2649687.9109227825</c:v>
                </c:pt>
                <c:pt idx="6">
                  <c:v>2649687.9109227825</c:v>
                </c:pt>
                <c:pt idx="7">
                  <c:v>2649687.9109227825</c:v>
                </c:pt>
                <c:pt idx="8">
                  <c:v>2649687.9109227825</c:v>
                </c:pt>
                <c:pt idx="9">
                  <c:v>2649687.9109227825</c:v>
                </c:pt>
                <c:pt idx="10">
                  <c:v>2649687.9109227825</c:v>
                </c:pt>
                <c:pt idx="11">
                  <c:v>2649687.9109227825</c:v>
                </c:pt>
              </c:numCache>
            </c:numRef>
          </c:val>
          <c:smooth val="0"/>
          <c:extLst xmlns:c16r2="http://schemas.microsoft.com/office/drawing/2015/06/chart">
            <c:ext xmlns:c16="http://schemas.microsoft.com/office/drawing/2014/chart" uri="{C3380CC4-5D6E-409C-BE32-E72D297353CC}">
              <c16:uniqueId val="{00000001-842A-4717-9F14-C1424E821776}"/>
            </c:ext>
          </c:extLst>
        </c:ser>
        <c:ser>
          <c:idx val="2"/>
          <c:order val="2"/>
          <c:tx>
            <c:strRef>
              <c:f>'Data Entry'!$B$100</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Entry'!$C$100:$N$100</c:f>
              <c:numCache>
                <c:formatCode>#,##0</c:formatCode>
                <c:ptCount val="12"/>
                <c:pt idx="0">
                  <c:v>579569.05894063821</c:v>
                </c:pt>
                <c:pt idx="1">
                  <c:v>790694.85894063814</c:v>
                </c:pt>
                <c:pt idx="2">
                  <c:v>1208639.8589406381</c:v>
                </c:pt>
                <c:pt idx="3">
                  <c:v>1573477.8589406381</c:v>
                </c:pt>
                <c:pt idx="4">
                  <c:v>2155606.8589406381</c:v>
                </c:pt>
                <c:pt idx="5">
                  <c:v>2155606.8589406381</c:v>
                </c:pt>
                <c:pt idx="6">
                  <c:v>2155606.8589406381</c:v>
                </c:pt>
                <c:pt idx="7">
                  <c:v>2155606.8589406381</c:v>
                </c:pt>
                <c:pt idx="8">
                  <c:v>2155606.8589406381</c:v>
                </c:pt>
                <c:pt idx="9">
                  <c:v>2155606.8589406381</c:v>
                </c:pt>
                <c:pt idx="10">
                  <c:v>2155606.8589406381</c:v>
                </c:pt>
                <c:pt idx="11">
                  <c:v>2155606.8589406381</c:v>
                </c:pt>
              </c:numCache>
            </c:numRef>
          </c:val>
          <c:smooth val="0"/>
          <c:extLst xmlns:c16r2="http://schemas.microsoft.com/office/drawing/2015/06/chart">
            <c:ext xmlns:c16="http://schemas.microsoft.com/office/drawing/2014/chart" uri="{C3380CC4-5D6E-409C-BE32-E72D297353CC}">
              <c16:uniqueId val="{00000002-842A-4717-9F14-C1424E821776}"/>
            </c:ext>
          </c:extLst>
        </c:ser>
        <c:dLbls>
          <c:showLegendKey val="0"/>
          <c:showVal val="0"/>
          <c:showCatName val="0"/>
          <c:showSerName val="0"/>
          <c:showPercent val="0"/>
          <c:showBubbleSize val="0"/>
        </c:dLbls>
        <c:marker val="1"/>
        <c:smooth val="0"/>
        <c:axId val="-1315699984"/>
        <c:axId val="-1315700528"/>
      </c:lineChart>
      <c:catAx>
        <c:axId val="-13156999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1315700528"/>
        <c:crosses val="autoZero"/>
        <c:auto val="1"/>
        <c:lblAlgn val="ctr"/>
        <c:lblOffset val="100"/>
        <c:tickLblSkip val="1"/>
        <c:tickMarkSkip val="1"/>
        <c:noMultiLvlLbl val="0"/>
      </c:catAx>
      <c:valAx>
        <c:axId val="-131570052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1315699984"/>
        <c:crosses val="autoZero"/>
        <c:crossBetween val="between"/>
      </c:valAx>
      <c:spPr>
        <a:solidFill>
          <a:srgbClr val="FFFFFF"/>
        </a:solidFill>
        <a:ln w="12700">
          <a:solidFill>
            <a:srgbClr val="808080"/>
          </a:solidFill>
          <a:prstDash val="solid"/>
        </a:ln>
      </c:spPr>
    </c:plotArea>
    <c:legend>
      <c:legendPos val="r"/>
      <c:layout>
        <c:manualLayout>
          <c:xMode val="edge"/>
          <c:yMode val="edge"/>
          <c:x val="0.118500846382325"/>
          <c:y val="0.64628238564101104"/>
          <c:w val="0.80349354376308002"/>
          <c:h val="0.156468367049929"/>
        </c:manualLayout>
      </c:layout>
      <c:overlay val="0"/>
      <c:spPr>
        <a:noFill/>
        <a:ln w="25400">
          <a:noFill/>
        </a:ln>
      </c:spPr>
      <c:txPr>
        <a:bodyPr/>
        <a:lstStyle/>
        <a:p>
          <a:pPr>
            <a:defRPr sz="4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Entry'!$G$120</c:f>
              <c:strCache>
                <c:ptCount val="1"/>
                <c:pt idx="0">
                  <c:v>Target</c:v>
                </c:pt>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Entry'!$H$120:$S$120</c:f>
              <c:numCache>
                <c:formatCode>_(* #,##0_);_(* \(#,##0\);_(* "-"??_);_(@_)</c:formatCode>
                <c:ptCount val="12"/>
                <c:pt idx="0">
                  <c:v>4250</c:v>
                </c:pt>
                <c:pt idx="1">
                  <c:v>4250</c:v>
                </c:pt>
                <c:pt idx="2" formatCode="#,##0">
                  <c:v>1487.5</c:v>
                </c:pt>
                <c:pt idx="3" formatCode="#,##0">
                  <c:v>2975</c:v>
                </c:pt>
                <c:pt idx="4" formatCode="#,##0">
                  <c:v>4462.5</c:v>
                </c:pt>
              </c:numCache>
            </c:numRef>
          </c:val>
          <c:extLst xmlns:c16r2="http://schemas.microsoft.com/office/drawing/2015/06/chart">
            <c:ext xmlns:c16="http://schemas.microsoft.com/office/drawing/2014/chart" uri="{C3380CC4-5D6E-409C-BE32-E72D297353CC}">
              <c16:uniqueId val="{00000000-28ED-4437-92EF-FD6AED73C63F}"/>
            </c:ext>
          </c:extLst>
        </c:ser>
        <c:ser>
          <c:idx val="1"/>
          <c:order val="1"/>
          <c:tx>
            <c:strRef>
              <c:f>'Data Entry'!$G$121</c:f>
              <c:strCache>
                <c:ptCount val="1"/>
                <c:pt idx="0">
                  <c:v>Achieved </c:v>
                </c:pt>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Entry'!$H$121:$S$121</c:f>
              <c:numCache>
                <c:formatCode>_(* #,##0_);_(* \(#,##0\);_(* "-"??_);_(@_)</c:formatCode>
                <c:ptCount val="12"/>
                <c:pt idx="0">
                  <c:v>3167</c:v>
                </c:pt>
                <c:pt idx="1">
                  <c:v>3826</c:v>
                </c:pt>
                <c:pt idx="2" formatCode="#,##0">
                  <c:v>1383</c:v>
                </c:pt>
                <c:pt idx="3" formatCode="#,##0">
                  <c:v>2314</c:v>
                </c:pt>
                <c:pt idx="4" formatCode="#,##0">
                  <c:v>3126</c:v>
                </c:pt>
              </c:numCache>
            </c:numRef>
          </c:val>
          <c:extLst xmlns:c16r2="http://schemas.microsoft.com/office/drawing/2015/06/chart">
            <c:ext xmlns:c16="http://schemas.microsoft.com/office/drawing/2014/chart" uri="{C3380CC4-5D6E-409C-BE32-E72D297353CC}">
              <c16:uniqueId val="{00000001-28ED-4437-92EF-FD6AED73C63F}"/>
            </c:ext>
          </c:extLst>
        </c:ser>
        <c:dLbls>
          <c:showLegendKey val="0"/>
          <c:showVal val="0"/>
          <c:showCatName val="0"/>
          <c:showSerName val="0"/>
          <c:showPercent val="0"/>
          <c:showBubbleSize val="0"/>
        </c:dLbls>
        <c:gapWidth val="150"/>
        <c:axId val="-1315702704"/>
        <c:axId val="-1315703792"/>
      </c:barChart>
      <c:catAx>
        <c:axId val="-131570270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315703792"/>
        <c:crosses val="autoZero"/>
        <c:auto val="1"/>
        <c:lblAlgn val="ctr"/>
        <c:lblOffset val="100"/>
        <c:tickLblSkip val="1"/>
        <c:tickMarkSkip val="1"/>
        <c:noMultiLvlLbl val="0"/>
      </c:catAx>
      <c:valAx>
        <c:axId val="-1315703792"/>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315702704"/>
        <c:crosses val="autoZero"/>
        <c:crossBetween val="between"/>
      </c:valAx>
      <c:spPr>
        <a:noFill/>
        <a:ln w="25400">
          <a:noFill/>
        </a:ln>
      </c:spPr>
    </c:plotArea>
    <c:legend>
      <c:legendPos val="r"/>
      <c:layout>
        <c:manualLayout>
          <c:xMode val="edge"/>
          <c:yMode val="edge"/>
          <c:x val="0.22541678572328699"/>
          <c:y val="0.90650387761312401"/>
          <c:w val="0.50821238963068305"/>
          <c:h val="7.9139227410669505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4</xdr:row>
      <xdr:rowOff>152400</xdr:rowOff>
    </xdr:from>
    <xdr:to>
      <xdr:col>11</xdr:col>
      <xdr:colOff>723900</xdr:colOff>
      <xdr:row>19</xdr:row>
      <xdr:rowOff>101600</xdr:rowOff>
    </xdr:to>
    <xdr:pic>
      <xdr:nvPicPr>
        <xdr:cNvPr id="5402930" name="Picture 2"/>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50800" y="1397000"/>
          <a:ext cx="8775700" cy="280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7</xdr:col>
      <xdr:colOff>787400</xdr:colOff>
      <xdr:row>7</xdr:row>
      <xdr:rowOff>63500</xdr:rowOff>
    </xdr:from>
    <xdr:to>
      <xdr:col>11</xdr:col>
      <xdr:colOff>622300</xdr:colOff>
      <xdr:row>18</xdr:row>
      <xdr:rowOff>152400</xdr:rowOff>
    </xdr:to>
    <xdr:pic>
      <xdr:nvPicPr>
        <xdr:cNvPr id="5402931" name="Picture 82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34100" y="1879600"/>
          <a:ext cx="2590800" cy="218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292100</xdr:colOff>
      <xdr:row>7</xdr:row>
      <xdr:rowOff>101600</xdr:rowOff>
    </xdr:from>
    <xdr:to>
      <xdr:col>7</xdr:col>
      <xdr:colOff>635000</xdr:colOff>
      <xdr:row>18</xdr:row>
      <xdr:rowOff>88900</xdr:rowOff>
    </xdr:to>
    <xdr:sp macro="" textlink="">
      <xdr:nvSpPr>
        <xdr:cNvPr id="5402932" name="AutoShape 27"/>
        <xdr:cNvSpPr>
          <a:spLocks noChangeArrowheads="1"/>
        </xdr:cNvSpPr>
      </xdr:nvSpPr>
      <xdr:spPr bwMode="gray">
        <a:xfrm>
          <a:off x="3009900" y="1917700"/>
          <a:ext cx="2971800" cy="2082800"/>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txBody>
        <a:bodyPr rtlCol="0"/>
        <a:lstStyle/>
        <a:p>
          <a:pPr algn="ctr"/>
          <a:endParaRPr lang="en-US"/>
        </a:p>
      </xdr:txBody>
    </xdr:sp>
    <xdr:clientData/>
  </xdr:twoCellAnchor>
  <xdr:twoCellAnchor>
    <xdr:from>
      <xdr:col>5</xdr:col>
      <xdr:colOff>330200</xdr:colOff>
      <xdr:row>10</xdr:row>
      <xdr:rowOff>63500</xdr:rowOff>
    </xdr:from>
    <xdr:to>
      <xdr:col>6</xdr:col>
      <xdr:colOff>609600</xdr:colOff>
      <xdr:row>12</xdr:row>
      <xdr:rowOff>38100</xdr:rowOff>
    </xdr:to>
    <xdr:grpSp>
      <xdr:nvGrpSpPr>
        <xdr:cNvPr id="5402933" name="Group 25">
          <a:hlinkClick xmlns:r="http://schemas.openxmlformats.org/officeDocument/2006/relationships" r:id="rId3"/>
        </xdr:cNvPr>
        <xdr:cNvGrpSpPr>
          <a:grpSpLocks/>
        </xdr:cNvGrpSpPr>
      </xdr:nvGrpSpPr>
      <xdr:grpSpPr bwMode="auto">
        <a:xfrm>
          <a:off x="3457575" y="2452688"/>
          <a:ext cx="1041400" cy="355600"/>
          <a:chOff x="1200" y="1912"/>
          <a:chExt cx="3456" cy="774"/>
        </a:xfrm>
      </xdr:grpSpPr>
      <xdr:sp macro="" textlink="">
        <xdr:nvSpPr>
          <xdr:cNvPr id="5402977"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2" name="AutoShape 27"/>
          <xdr:cNvSpPr>
            <a:spLocks noChangeArrowheads="1"/>
          </xdr:cNvSpPr>
        </xdr:nvSpPr>
        <xdr:spPr bwMode="gray">
          <a:xfrm>
            <a:off x="1276" y="1995"/>
            <a:ext cx="3266" cy="608"/>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xdr:cNvSpPr>
            <a:spLocks/>
          </xdr:cNvSpPr>
        </xdr:nvSpPr>
        <xdr:spPr bwMode="gray">
          <a:xfrm>
            <a:off x="1314" y="1995"/>
            <a:ext cx="342" cy="33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368300</xdr:colOff>
      <xdr:row>15</xdr:row>
      <xdr:rowOff>177800</xdr:rowOff>
    </xdr:from>
    <xdr:to>
      <xdr:col>6</xdr:col>
      <xdr:colOff>723900</xdr:colOff>
      <xdr:row>17</xdr:row>
      <xdr:rowOff>165100</xdr:rowOff>
    </xdr:to>
    <xdr:grpSp>
      <xdr:nvGrpSpPr>
        <xdr:cNvPr id="5402934" name="Group 25">
          <a:hlinkClick xmlns:r="http://schemas.openxmlformats.org/officeDocument/2006/relationships" r:id="rId4"/>
        </xdr:cNvPr>
        <xdr:cNvGrpSpPr>
          <a:grpSpLocks/>
        </xdr:cNvGrpSpPr>
      </xdr:nvGrpSpPr>
      <xdr:grpSpPr bwMode="auto">
        <a:xfrm>
          <a:off x="3495675" y="3519488"/>
          <a:ext cx="1117600" cy="368300"/>
          <a:chOff x="1200" y="1912"/>
          <a:chExt cx="3456" cy="774"/>
        </a:xfrm>
      </xdr:grpSpPr>
      <xdr:sp macro="" textlink="">
        <xdr:nvSpPr>
          <xdr:cNvPr id="5402974"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6" name="AutoShape 27"/>
          <xdr:cNvSpPr>
            <a:spLocks noChangeArrowheads="1"/>
          </xdr:cNvSpPr>
        </xdr:nvSpPr>
        <xdr:spPr bwMode="gray">
          <a:xfrm>
            <a:off x="1307" y="1992"/>
            <a:ext cx="3278" cy="614"/>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xdr:cNvSpPr>
            <a:spLocks/>
          </xdr:cNvSpPr>
        </xdr:nvSpPr>
        <xdr:spPr bwMode="gray">
          <a:xfrm>
            <a:off x="1307" y="1992"/>
            <a:ext cx="356" cy="34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330200</xdr:colOff>
      <xdr:row>13</xdr:row>
      <xdr:rowOff>12700</xdr:rowOff>
    </xdr:from>
    <xdr:to>
      <xdr:col>6</xdr:col>
      <xdr:colOff>685800</xdr:colOff>
      <xdr:row>15</xdr:row>
      <xdr:rowOff>0</xdr:rowOff>
    </xdr:to>
    <xdr:grpSp>
      <xdr:nvGrpSpPr>
        <xdr:cNvPr id="5402935" name="Group 25">
          <a:hlinkClick xmlns:r="http://schemas.openxmlformats.org/officeDocument/2006/relationships" r:id="rId5"/>
        </xdr:cNvPr>
        <xdr:cNvGrpSpPr>
          <a:grpSpLocks/>
        </xdr:cNvGrpSpPr>
      </xdr:nvGrpSpPr>
      <xdr:grpSpPr bwMode="auto">
        <a:xfrm>
          <a:off x="3457575" y="2973388"/>
          <a:ext cx="1117600" cy="368300"/>
          <a:chOff x="1200" y="1912"/>
          <a:chExt cx="3456" cy="774"/>
        </a:xfrm>
      </xdr:grpSpPr>
      <xdr:sp macro="" textlink="">
        <xdr:nvSpPr>
          <xdr:cNvPr id="5402971"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07941" name="AutoShape 27"/>
          <xdr:cNvSpPr>
            <a:spLocks noChangeArrowheads="1"/>
          </xdr:cNvSpPr>
        </xdr:nvSpPr>
        <xdr:spPr bwMode="gray">
          <a:xfrm>
            <a:off x="1307" y="1992"/>
            <a:ext cx="3278" cy="614"/>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xdr:cNvSpPr>
            <a:spLocks/>
          </xdr:cNvSpPr>
        </xdr:nvSpPr>
        <xdr:spPr bwMode="gray">
          <a:xfrm>
            <a:off x="1307" y="1992"/>
            <a:ext cx="356" cy="34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349250</xdr:colOff>
      <xdr:row>5</xdr:row>
      <xdr:rowOff>0</xdr:rowOff>
    </xdr:from>
    <xdr:to>
      <xdr:col>7</xdr:col>
      <xdr:colOff>460542</xdr:colOff>
      <xdr:row>6</xdr:row>
      <xdr:rowOff>41764</xdr:rowOff>
    </xdr:to>
    <xdr:sp macro="" textlink="">
      <xdr:nvSpPr>
        <xdr:cNvPr id="4899" name="Rectangle 803"/>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342900</xdr:colOff>
      <xdr:row>11</xdr:row>
      <xdr:rowOff>0</xdr:rowOff>
    </xdr:from>
    <xdr:to>
      <xdr:col>11</xdr:col>
      <xdr:colOff>190500</xdr:colOff>
      <xdr:row>13</xdr:row>
      <xdr:rowOff>25400</xdr:rowOff>
    </xdr:to>
    <xdr:grpSp>
      <xdr:nvGrpSpPr>
        <xdr:cNvPr id="5402937" name="Group 832">
          <a:hlinkClick xmlns:r="http://schemas.openxmlformats.org/officeDocument/2006/relationships" r:id="rId6"/>
        </xdr:cNvPr>
        <xdr:cNvGrpSpPr>
          <a:grpSpLocks/>
        </xdr:cNvGrpSpPr>
      </xdr:nvGrpSpPr>
      <xdr:grpSpPr bwMode="auto">
        <a:xfrm>
          <a:off x="5756275" y="2579688"/>
          <a:ext cx="1482725" cy="406400"/>
          <a:chOff x="599" y="262"/>
          <a:chExt cx="158" cy="43"/>
        </a:xfrm>
      </xdr:grpSpPr>
      <xdr:sp macro="" textlink="">
        <xdr:nvSpPr>
          <xdr:cNvPr id="5402967" name="AutoShape 30"/>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68" name="13 Grupo"/>
          <xdr:cNvGrpSpPr>
            <a:grpSpLocks/>
          </xdr:cNvGrpSpPr>
        </xdr:nvGrpSpPr>
        <xdr:grpSpPr bwMode="auto">
          <a:xfrm>
            <a:off x="603" y="267"/>
            <a:ext cx="151" cy="35"/>
            <a:chOff x="1104968" y="2771552"/>
            <a:chExt cx="3605494" cy="566957"/>
          </a:xfrm>
        </xdr:grpSpPr>
        <xdr:sp macro="" textlink="">
          <xdr:nvSpPr>
            <xdr:cNvPr id="4903" name="AutoShape 31"/>
            <xdr:cNvSpPr>
              <a:spLocks noChangeArrowheads="1"/>
            </xdr:cNvSpPr>
          </xdr:nvSpPr>
          <xdr:spPr bwMode="gray">
            <a:xfrm>
              <a:off x="1009457" y="2690558"/>
              <a:ext cx="3689417" cy="653012"/>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5402970" name="Freeform 32"/>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grpSp>
    <xdr:clientData/>
  </xdr:twoCellAnchor>
  <xdr:twoCellAnchor>
    <xdr:from>
      <xdr:col>1</xdr:col>
      <xdr:colOff>279400</xdr:colOff>
      <xdr:row>7</xdr:row>
      <xdr:rowOff>88900</xdr:rowOff>
    </xdr:from>
    <xdr:to>
      <xdr:col>4</xdr:col>
      <xdr:colOff>127000</xdr:colOff>
      <xdr:row>18</xdr:row>
      <xdr:rowOff>101600</xdr:rowOff>
    </xdr:to>
    <xdr:grpSp>
      <xdr:nvGrpSpPr>
        <xdr:cNvPr id="5402938" name="Group 830"/>
        <xdr:cNvGrpSpPr>
          <a:grpSpLocks/>
        </xdr:cNvGrpSpPr>
      </xdr:nvGrpSpPr>
      <xdr:grpSpPr bwMode="auto">
        <a:xfrm>
          <a:off x="358775" y="1906588"/>
          <a:ext cx="2133600" cy="2108200"/>
          <a:chOff x="32" y="188"/>
          <a:chExt cx="225" cy="225"/>
        </a:xfrm>
      </xdr:grpSpPr>
      <xdr:sp macro="" textlink="">
        <xdr:nvSpPr>
          <xdr:cNvPr id="5402965" name="AutoShape 31"/>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txBody>
          <a:bodyPr rtlCol="0"/>
          <a:lstStyle/>
          <a:p>
            <a:pPr algn="ctr"/>
            <a:endParaRPr lang="en-US"/>
          </a:p>
        </xdr:txBody>
      </xdr:sp>
      <xdr:sp macro="" textlink="">
        <xdr:nvSpPr>
          <xdr:cNvPr id="4913" name="Freeform 32"/>
          <xdr:cNvSpPr>
            <a:spLocks/>
          </xdr:cNvSpPr>
        </xdr:nvSpPr>
        <xdr:spPr bwMode="gray">
          <a:xfrm>
            <a:off x="42" y="197"/>
            <a:ext cx="55" cy="2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330200</xdr:colOff>
      <xdr:row>14</xdr:row>
      <xdr:rowOff>63500</xdr:rowOff>
    </xdr:from>
    <xdr:to>
      <xdr:col>11</xdr:col>
      <xdr:colOff>177800</xdr:colOff>
      <xdr:row>16</xdr:row>
      <xdr:rowOff>88900</xdr:rowOff>
    </xdr:to>
    <xdr:grpSp>
      <xdr:nvGrpSpPr>
        <xdr:cNvPr id="5402939" name="Group 826"/>
        <xdr:cNvGrpSpPr>
          <a:grpSpLocks/>
        </xdr:cNvGrpSpPr>
      </xdr:nvGrpSpPr>
      <xdr:grpSpPr bwMode="auto">
        <a:xfrm>
          <a:off x="5743575" y="3214688"/>
          <a:ext cx="1482725" cy="406400"/>
          <a:chOff x="578" y="328"/>
          <a:chExt cx="158" cy="43"/>
        </a:xfrm>
      </xdr:grpSpPr>
      <xdr:sp macro="" textlink="">
        <xdr:nvSpPr>
          <xdr:cNvPr id="5402961" name="AutoShape 30"/>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62" name="Group 823"/>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xdr:cNvPr>
            <xdr:cNvSpPr>
              <a:spLocks noChangeArrowheads="1"/>
            </xdr:cNvSpPr>
          </xdr:nvSpPr>
          <xdr:spPr bwMode="gray">
            <a:xfrm>
              <a:off x="582" y="332"/>
              <a:ext cx="151" cy="36"/>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5402964" name="Freeform 32"/>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grpSp>
    <xdr:clientData/>
  </xdr:twoCellAnchor>
  <xdr:twoCellAnchor>
    <xdr:from>
      <xdr:col>1</xdr:col>
      <xdr:colOff>596900</xdr:colOff>
      <xdr:row>15</xdr:row>
      <xdr:rowOff>127000</xdr:rowOff>
    </xdr:from>
    <xdr:to>
      <xdr:col>3</xdr:col>
      <xdr:colOff>571500</xdr:colOff>
      <xdr:row>17</xdr:row>
      <xdr:rowOff>101600</xdr:rowOff>
    </xdr:to>
    <xdr:grpSp>
      <xdr:nvGrpSpPr>
        <xdr:cNvPr id="5402940" name="Group 831">
          <a:hlinkClick xmlns:r="http://schemas.openxmlformats.org/officeDocument/2006/relationships" r:id="rId8"/>
        </xdr:cNvPr>
        <xdr:cNvGrpSpPr>
          <a:grpSpLocks/>
        </xdr:cNvGrpSpPr>
      </xdr:nvGrpSpPr>
      <xdr:grpSpPr bwMode="auto">
        <a:xfrm>
          <a:off x="676275" y="3468688"/>
          <a:ext cx="1498600" cy="355600"/>
          <a:chOff x="56" y="259"/>
          <a:chExt cx="158" cy="40"/>
        </a:xfrm>
      </xdr:grpSpPr>
      <xdr:sp macro="" textlink="">
        <xdr:nvSpPr>
          <xdr:cNvPr id="5402957" name="AutoShape 30"/>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8" name="11 Grupo"/>
          <xdr:cNvGrpSpPr>
            <a:grpSpLocks/>
          </xdr:cNvGrpSpPr>
        </xdr:nvGrpSpPr>
        <xdr:grpSpPr bwMode="auto">
          <a:xfrm>
            <a:off x="60" y="263"/>
            <a:ext cx="151" cy="32"/>
            <a:chOff x="1104968" y="2771584"/>
            <a:chExt cx="3605494" cy="566957"/>
          </a:xfrm>
        </xdr:grpSpPr>
        <xdr:sp macro="" textlink="">
          <xdr:nvSpPr>
            <xdr:cNvPr id="9" name="AutoShape 31"/>
            <xdr:cNvSpPr>
              <a:spLocks noChangeArrowheads="1"/>
            </xdr:cNvSpPr>
          </xdr:nvSpPr>
          <xdr:spPr bwMode="gray">
            <a:xfrm>
              <a:off x="1009457" y="2903199"/>
              <a:ext cx="3689417" cy="455590"/>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xdr:cNvSpPr>
              <a:spLocks/>
            </xdr:cNvSpPr>
          </xdr:nvSpPr>
          <xdr:spPr bwMode="gray">
            <a:xfrm>
              <a:off x="1148157" y="2903199"/>
              <a:ext cx="360620" cy="202485"/>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596900</xdr:colOff>
      <xdr:row>10</xdr:row>
      <xdr:rowOff>25400</xdr:rowOff>
    </xdr:from>
    <xdr:to>
      <xdr:col>3</xdr:col>
      <xdr:colOff>571500</xdr:colOff>
      <xdr:row>12</xdr:row>
      <xdr:rowOff>12700</xdr:rowOff>
    </xdr:to>
    <xdr:grpSp>
      <xdr:nvGrpSpPr>
        <xdr:cNvPr id="5402941" name="37 Grupo">
          <a:hlinkClick xmlns:r="http://schemas.openxmlformats.org/officeDocument/2006/relationships" r:id="rId9"/>
        </xdr:cNvPr>
        <xdr:cNvGrpSpPr>
          <a:grpSpLocks/>
        </xdr:cNvGrpSpPr>
      </xdr:nvGrpSpPr>
      <xdr:grpSpPr bwMode="auto">
        <a:xfrm>
          <a:off x="676275" y="2414588"/>
          <a:ext cx="1498600" cy="368300"/>
          <a:chOff x="1343025" y="2428876"/>
          <a:chExt cx="3240982" cy="617274"/>
        </a:xfrm>
      </xdr:grpSpPr>
      <xdr:sp macro="" textlink="">
        <xdr:nvSpPr>
          <xdr:cNvPr id="5402953"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4" name="13 Grupo"/>
          <xdr:cNvGrpSpPr>
            <a:grpSpLocks/>
          </xdr:cNvGrpSpPr>
        </xdr:nvGrpSpPr>
        <xdr:grpSpPr bwMode="auto">
          <a:xfrm>
            <a:off x="1419283" y="2495353"/>
            <a:ext cx="3097998" cy="503316"/>
            <a:chOff x="1104968" y="2771552"/>
            <a:chExt cx="3605494" cy="566957"/>
          </a:xfrm>
        </xdr:grpSpPr>
        <xdr:sp macro="" textlink="">
          <xdr:nvSpPr>
            <xdr:cNvPr id="3" name="AutoShape 31"/>
            <xdr:cNvSpPr>
              <a:spLocks noChangeArrowheads="1"/>
            </xdr:cNvSpPr>
          </xdr:nvSpPr>
          <xdr:spPr bwMode="gray">
            <a:xfrm>
              <a:off x="1099421" y="2768599"/>
              <a:ext cx="3605494" cy="575441"/>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xdr:cNvSpPr>
              <a:spLocks/>
            </xdr:cNvSpPr>
          </xdr:nvSpPr>
          <xdr:spPr bwMode="gray">
            <a:xfrm>
              <a:off x="1154890" y="2792576"/>
              <a:ext cx="360549" cy="31169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596900</xdr:colOff>
      <xdr:row>12</xdr:row>
      <xdr:rowOff>177800</xdr:rowOff>
    </xdr:from>
    <xdr:to>
      <xdr:col>3</xdr:col>
      <xdr:colOff>571500</xdr:colOff>
      <xdr:row>14</xdr:row>
      <xdr:rowOff>177800</xdr:rowOff>
    </xdr:to>
    <xdr:grpSp>
      <xdr:nvGrpSpPr>
        <xdr:cNvPr id="5402942" name="37 Grupo">
          <a:hlinkClick xmlns:r="http://schemas.openxmlformats.org/officeDocument/2006/relationships" r:id="rId10"/>
        </xdr:cNvPr>
        <xdr:cNvGrpSpPr>
          <a:grpSpLocks/>
        </xdr:cNvGrpSpPr>
      </xdr:nvGrpSpPr>
      <xdr:grpSpPr bwMode="auto">
        <a:xfrm>
          <a:off x="676275" y="2947988"/>
          <a:ext cx="1498600" cy="381000"/>
          <a:chOff x="1343025" y="2428876"/>
          <a:chExt cx="3240982" cy="617274"/>
        </a:xfrm>
      </xdr:grpSpPr>
      <xdr:sp macro="" textlink="">
        <xdr:nvSpPr>
          <xdr:cNvPr id="5402949"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0" name="13 Grupo"/>
          <xdr:cNvGrpSpPr>
            <a:grpSpLocks/>
          </xdr:cNvGrpSpPr>
        </xdr:nvGrpSpPr>
        <xdr:grpSpPr bwMode="auto">
          <a:xfrm>
            <a:off x="1419283" y="2495353"/>
            <a:ext cx="3097998" cy="503316"/>
            <a:chOff x="1104968" y="2771552"/>
            <a:chExt cx="3605494" cy="566957"/>
          </a:xfrm>
        </xdr:grpSpPr>
        <xdr:sp macro="" textlink="">
          <xdr:nvSpPr>
            <xdr:cNvPr id="14" name="AutoShape 31"/>
            <xdr:cNvSpPr>
              <a:spLocks noChangeArrowheads="1"/>
            </xdr:cNvSpPr>
          </xdr:nvSpPr>
          <xdr:spPr bwMode="gray">
            <a:xfrm>
              <a:off x="1099421" y="2766201"/>
              <a:ext cx="3605494" cy="579436"/>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xdr:cNvSpPr>
              <a:spLocks/>
            </xdr:cNvSpPr>
          </xdr:nvSpPr>
          <xdr:spPr bwMode="gray">
            <a:xfrm>
              <a:off x="1154890" y="2766201"/>
              <a:ext cx="360549" cy="34766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292100</xdr:colOff>
      <xdr:row>7</xdr:row>
      <xdr:rowOff>63500</xdr:rowOff>
    </xdr:from>
    <xdr:to>
      <xdr:col>4</xdr:col>
      <xdr:colOff>127000</xdr:colOff>
      <xdr:row>9</xdr:row>
      <xdr:rowOff>127000</xdr:rowOff>
    </xdr:to>
    <xdr:pic>
      <xdr:nvPicPr>
        <xdr:cNvPr id="5402943" name="Picture 2012"/>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81000" y="1879600"/>
          <a:ext cx="24638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422275</xdr:colOff>
      <xdr:row>7</xdr:row>
      <xdr:rowOff>107950</xdr:rowOff>
    </xdr:from>
    <xdr:to>
      <xdr:col>4</xdr:col>
      <xdr:colOff>38662</xdr:colOff>
      <xdr:row>9</xdr:row>
      <xdr:rowOff>108177</xdr:rowOff>
    </xdr:to>
    <xdr:sp macro="" textlink="">
      <xdr:nvSpPr>
        <xdr:cNvPr id="955357" name="Text Box 2013"/>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700"/>
            </a:lnSpc>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lnSpc>
              <a:spcPts val="1700"/>
            </a:lnSpc>
            <a:defRPr sz="1000"/>
          </a:pPr>
          <a:endParaRPr lang="en-US" sz="1800" b="0" i="0" strike="noStrike">
            <a:solidFill>
              <a:srgbClr val="000000"/>
            </a:solidFill>
            <a:latin typeface="Arial"/>
            <a:cs typeface="Arial"/>
          </a:endParaRPr>
        </a:p>
      </xdr:txBody>
    </xdr:sp>
    <xdr:clientData/>
  </xdr:twoCellAnchor>
  <xdr:twoCellAnchor editAs="oneCell">
    <xdr:from>
      <xdr:col>4</xdr:col>
      <xdr:colOff>279400</xdr:colOff>
      <xdr:row>7</xdr:row>
      <xdr:rowOff>63500</xdr:rowOff>
    </xdr:from>
    <xdr:to>
      <xdr:col>7</xdr:col>
      <xdr:colOff>647700</xdr:colOff>
      <xdr:row>9</xdr:row>
      <xdr:rowOff>127000</xdr:rowOff>
    </xdr:to>
    <xdr:pic>
      <xdr:nvPicPr>
        <xdr:cNvPr id="5402945" name="Picture 2016"/>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997200" y="1879600"/>
          <a:ext cx="29972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692150</xdr:colOff>
      <xdr:row>7</xdr:row>
      <xdr:rowOff>107950</xdr:rowOff>
    </xdr:from>
    <xdr:to>
      <xdr:col>7</xdr:col>
      <xdr:colOff>358774</xdr:colOff>
      <xdr:row>9</xdr:row>
      <xdr:rowOff>104877</xdr:rowOff>
    </xdr:to>
    <xdr:sp macro="" textlink="">
      <xdr:nvSpPr>
        <xdr:cNvPr id="955361" name="Text Box 2017"/>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twoCellAnchor editAs="oneCell">
    <xdr:from>
      <xdr:col>7</xdr:col>
      <xdr:colOff>838200</xdr:colOff>
      <xdr:row>7</xdr:row>
      <xdr:rowOff>88900</xdr:rowOff>
    </xdr:from>
    <xdr:to>
      <xdr:col>11</xdr:col>
      <xdr:colOff>571500</xdr:colOff>
      <xdr:row>9</xdr:row>
      <xdr:rowOff>127000</xdr:rowOff>
    </xdr:to>
    <xdr:pic>
      <xdr:nvPicPr>
        <xdr:cNvPr id="5402947" name="Picture 2018"/>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184900" y="1905000"/>
          <a:ext cx="24892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82550</xdr:colOff>
      <xdr:row>7</xdr:row>
      <xdr:rowOff>107950</xdr:rowOff>
    </xdr:from>
    <xdr:to>
      <xdr:col>11</xdr:col>
      <xdr:colOff>479794</xdr:colOff>
      <xdr:row>9</xdr:row>
      <xdr:rowOff>104877</xdr:rowOff>
    </xdr:to>
    <xdr:sp macro="" textlink="">
      <xdr:nvSpPr>
        <xdr:cNvPr id="955363" name="Text Box 2019"/>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165100</xdr:colOff>
      <xdr:row>1</xdr:row>
      <xdr:rowOff>63500</xdr:rowOff>
    </xdr:from>
    <xdr:to>
      <xdr:col>1</xdr:col>
      <xdr:colOff>139700</xdr:colOff>
      <xdr:row>4</xdr:row>
      <xdr:rowOff>88900</xdr:rowOff>
    </xdr:to>
    <xdr:pic>
      <xdr:nvPicPr>
        <xdr:cNvPr id="9888" name="Picture 2" descr="C:\Documents and Settings\Administrator\My Documents\My Pictures\Prueba.jpg"/>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5100" y="254000"/>
          <a:ext cx="850900" cy="100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0</xdr:row>
      <xdr:rowOff>28575</xdr:rowOff>
    </xdr:from>
    <xdr:to>
      <xdr:col>1</xdr:col>
      <xdr:colOff>1326006</xdr:colOff>
      <xdr:row>1</xdr:row>
      <xdr:rowOff>0</xdr:rowOff>
    </xdr:to>
    <xdr:sp macro="" textlink="">
      <xdr:nvSpPr>
        <xdr:cNvPr id="54346" name="AutoShape 50">
          <a:hlinkClick xmlns:r="http://schemas.openxmlformats.org/officeDocument/2006/relationships" r:id="rId1"/>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1078426</xdr:colOff>
      <xdr:row>1</xdr:row>
      <xdr:rowOff>9525</xdr:rowOff>
    </xdr:to>
    <xdr:sp macro="" textlink="">
      <xdr:nvSpPr>
        <xdr:cNvPr id="6445" name="AutoShape 50">
          <a:hlinkClick xmlns:r="http://schemas.openxmlformats.org/officeDocument/2006/relationships" r:id="rId1"/>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1143000</xdr:colOff>
      <xdr:row>34</xdr:row>
      <xdr:rowOff>127000</xdr:rowOff>
    </xdr:from>
    <xdr:to>
      <xdr:col>6</xdr:col>
      <xdr:colOff>1143000</xdr:colOff>
      <xdr:row>45</xdr:row>
      <xdr:rowOff>165100</xdr:rowOff>
    </xdr:to>
    <xdr:cxnSp macro="">
      <xdr:nvCxnSpPr>
        <xdr:cNvPr id="4254007" name="AutoShape 100"/>
        <xdr:cNvCxnSpPr>
          <a:cxnSpLocks noChangeShapeType="1"/>
        </xdr:cNvCxnSpPr>
      </xdr:nvCxnSpPr>
      <xdr:spPr bwMode="auto">
        <a:xfrm rot="5400000">
          <a:off x="9118600" y="6908800"/>
          <a:ext cx="3098800"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46</xdr:row>
      <xdr:rowOff>101600</xdr:rowOff>
    </xdr:from>
    <xdr:to>
      <xdr:col>4</xdr:col>
      <xdr:colOff>1219200</xdr:colOff>
      <xdr:row>46</xdr:row>
      <xdr:rowOff>101600</xdr:rowOff>
    </xdr:to>
    <xdr:cxnSp macro="">
      <xdr:nvCxnSpPr>
        <xdr:cNvPr id="4254008" name="AutoShape 101"/>
        <xdr:cNvCxnSpPr>
          <a:cxnSpLocks noChangeShapeType="1"/>
        </xdr:cNvCxnSpPr>
      </xdr:nvCxnSpPr>
      <xdr:spPr bwMode="auto">
        <a:xfrm rot="10800000">
          <a:off x="6934200" y="8597900"/>
          <a:ext cx="1219200"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212725</xdr:colOff>
      <xdr:row>2</xdr:row>
      <xdr:rowOff>0</xdr:rowOff>
    </xdr:from>
    <xdr:to>
      <xdr:col>0</xdr:col>
      <xdr:colOff>1353337</xdr:colOff>
      <xdr:row>2</xdr:row>
      <xdr:rowOff>435617</xdr:rowOff>
    </xdr:to>
    <xdr:sp macro="" textlink="">
      <xdr:nvSpPr>
        <xdr:cNvPr id="3189" name="Rectangle 117">
          <a:hlinkClick xmlns:r="http://schemas.openxmlformats.org/officeDocument/2006/relationships" r:id="rId1"/>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lnSpc>
              <a:spcPts val="900"/>
            </a:lnSpc>
            <a:defRPr sz="1000"/>
          </a:pPr>
          <a:r>
            <a:rPr lang="en-ZA" sz="900" b="0" i="0" strike="noStrike">
              <a:solidFill>
                <a:srgbClr val="000000"/>
              </a:solidFill>
              <a:latin typeface="Calibri"/>
            </a:rPr>
            <a:t>http://www.crwflags.com/fotw/flags/country.html</a:t>
          </a:r>
        </a:p>
      </xdr:txBody>
    </xdr:sp>
    <xdr:clientData/>
  </xdr:twoCellAnchor>
  <xdr:twoCellAnchor>
    <xdr:from>
      <xdr:col>0</xdr:col>
      <xdr:colOff>44450</xdr:colOff>
      <xdr:row>0</xdr:row>
      <xdr:rowOff>6350</xdr:rowOff>
    </xdr:from>
    <xdr:to>
      <xdr:col>0</xdr:col>
      <xdr:colOff>1264536</xdr:colOff>
      <xdr:row>1</xdr:row>
      <xdr:rowOff>76401</xdr:rowOff>
    </xdr:to>
    <xdr:sp macro="" textlink="">
      <xdr:nvSpPr>
        <xdr:cNvPr id="3455" name="AutoShape 50">
          <a:hlinkClick xmlns:r="http://schemas.openxmlformats.org/officeDocument/2006/relationships" r:id="rId2"/>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25400</xdr:colOff>
      <xdr:row>9</xdr:row>
      <xdr:rowOff>101600</xdr:rowOff>
    </xdr:from>
    <xdr:to>
      <xdr:col>6</xdr:col>
      <xdr:colOff>25400</xdr:colOff>
      <xdr:row>20</xdr:row>
      <xdr:rowOff>177800</xdr:rowOff>
    </xdr:to>
    <xdr:graphicFrame macro="">
      <xdr:nvGraphicFramePr>
        <xdr:cNvPr id="5477384"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xdr:colOff>
      <xdr:row>0</xdr:row>
      <xdr:rowOff>28575</xdr:rowOff>
    </xdr:from>
    <xdr:to>
      <xdr:col>2</xdr:col>
      <xdr:colOff>77</xdr:colOff>
      <xdr:row>0</xdr:row>
      <xdr:rowOff>349603</xdr:rowOff>
    </xdr:to>
    <xdr:sp macro="" textlink="">
      <xdr:nvSpPr>
        <xdr:cNvPr id="7519" name="AutoShape 50">
          <a:hlinkClick xmlns:r="http://schemas.openxmlformats.org/officeDocument/2006/relationships" r:id="rId2"/>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38100</xdr:colOff>
      <xdr:row>9</xdr:row>
      <xdr:rowOff>63500</xdr:rowOff>
    </xdr:from>
    <xdr:to>
      <xdr:col>11</xdr:col>
      <xdr:colOff>0</xdr:colOff>
      <xdr:row>20</xdr:row>
      <xdr:rowOff>174544</xdr:rowOff>
    </xdr:to>
    <xdr:grpSp>
      <xdr:nvGrpSpPr>
        <xdr:cNvPr id="5477386" name="Group 489"/>
        <xdr:cNvGrpSpPr>
          <a:grpSpLocks/>
        </xdr:cNvGrpSpPr>
      </xdr:nvGrpSpPr>
      <xdr:grpSpPr bwMode="auto">
        <a:xfrm>
          <a:off x="3908714" y="2184977"/>
          <a:ext cx="3468831" cy="2206544"/>
          <a:chOff x="410" y="229"/>
          <a:chExt cx="366" cy="231"/>
        </a:xfrm>
      </xdr:grpSpPr>
      <xdr:graphicFrame macro="">
        <xdr:nvGraphicFramePr>
          <xdr:cNvPr id="5477390" name="Chart 31"/>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5477391" name="Picture 477" descr="on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79" y="436"/>
            <a:ext cx="23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23</xdr:row>
      <xdr:rowOff>0</xdr:rowOff>
    </xdr:from>
    <xdr:to>
      <xdr:col>6</xdr:col>
      <xdr:colOff>0</xdr:colOff>
      <xdr:row>32</xdr:row>
      <xdr:rowOff>53949</xdr:rowOff>
    </xdr:to>
    <xdr:grpSp>
      <xdr:nvGrpSpPr>
        <xdr:cNvPr id="5477387" name="Group 490"/>
        <xdr:cNvGrpSpPr>
          <a:grpSpLocks/>
        </xdr:cNvGrpSpPr>
      </xdr:nvGrpSpPr>
      <xdr:grpSpPr bwMode="auto">
        <a:xfrm>
          <a:off x="0" y="4814455"/>
          <a:ext cx="3870614" cy="2339949"/>
          <a:chOff x="0" y="505"/>
          <a:chExt cx="407" cy="245"/>
        </a:xfrm>
      </xdr:grpSpPr>
      <xdr:graphicFrame macro="">
        <xdr:nvGraphicFramePr>
          <xdr:cNvPr id="5477388" name="Chart 34"/>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5477389" name="Picture 487" descr="ok"/>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0" y="723"/>
            <a:ext cx="198"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7</xdr:row>
      <xdr:rowOff>177800</xdr:rowOff>
    </xdr:from>
    <xdr:to>
      <xdr:col>12</xdr:col>
      <xdr:colOff>266700</xdr:colOff>
      <xdr:row>14</xdr:row>
      <xdr:rowOff>152400</xdr:rowOff>
    </xdr:to>
    <xdr:graphicFrame macro="">
      <xdr:nvGraphicFramePr>
        <xdr:cNvPr id="3897094" name="Chart 10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16</xdr:row>
      <xdr:rowOff>0</xdr:rowOff>
    </xdr:from>
    <xdr:to>
      <xdr:col>5</xdr:col>
      <xdr:colOff>1104900</xdr:colOff>
      <xdr:row>25</xdr:row>
      <xdr:rowOff>25400</xdr:rowOff>
    </xdr:to>
    <xdr:graphicFrame macro="">
      <xdr:nvGraphicFramePr>
        <xdr:cNvPr id="3897095" name="Chart 10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114300</xdr:colOff>
      <xdr:row>8</xdr:row>
      <xdr:rowOff>12700</xdr:rowOff>
    </xdr:from>
    <xdr:to>
      <xdr:col>5</xdr:col>
      <xdr:colOff>1257300</xdr:colOff>
      <xdr:row>14</xdr:row>
      <xdr:rowOff>63500</xdr:rowOff>
    </xdr:to>
    <xdr:graphicFrame macro="">
      <xdr:nvGraphicFramePr>
        <xdr:cNvPr id="3897096" name="Chart 10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12700</xdr:rowOff>
    </xdr:from>
    <xdr:to>
      <xdr:col>12</xdr:col>
      <xdr:colOff>203200</xdr:colOff>
      <xdr:row>25</xdr:row>
      <xdr:rowOff>25400</xdr:rowOff>
    </xdr:to>
    <xdr:graphicFrame macro="">
      <xdr:nvGraphicFramePr>
        <xdr:cNvPr id="3897097" name="Chart 10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241300</xdr:colOff>
      <xdr:row>27</xdr:row>
      <xdr:rowOff>63500</xdr:rowOff>
    </xdr:from>
    <xdr:to>
      <xdr:col>5</xdr:col>
      <xdr:colOff>749300</xdr:colOff>
      <xdr:row>33</xdr:row>
      <xdr:rowOff>254000</xdr:rowOff>
    </xdr:to>
    <xdr:graphicFrame macro="">
      <xdr:nvGraphicFramePr>
        <xdr:cNvPr id="3897098" name="Chart 10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6350</xdr:rowOff>
    </xdr:from>
    <xdr:to>
      <xdr:col>2</xdr:col>
      <xdr:colOff>3175</xdr:colOff>
      <xdr:row>0</xdr:row>
      <xdr:rowOff>352547</xdr:rowOff>
    </xdr:to>
    <xdr:sp macro="" textlink="">
      <xdr:nvSpPr>
        <xdr:cNvPr id="14769" name="AutoShape 50">
          <a:hlinkClick xmlns:r="http://schemas.openxmlformats.org/officeDocument/2006/relationships" r:id="rId6"/>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177800</xdr:colOff>
      <xdr:row>9</xdr:row>
      <xdr:rowOff>50800</xdr:rowOff>
    </xdr:from>
    <xdr:to>
      <xdr:col>11</xdr:col>
      <xdr:colOff>50800</xdr:colOff>
      <xdr:row>17</xdr:row>
      <xdr:rowOff>0</xdr:rowOff>
    </xdr:to>
    <xdr:graphicFrame macro="">
      <xdr:nvGraphicFramePr>
        <xdr:cNvPr id="3902980"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2</xdr:col>
      <xdr:colOff>8746</xdr:colOff>
      <xdr:row>1</xdr:row>
      <xdr:rowOff>0</xdr:rowOff>
    </xdr:to>
    <xdr:sp macro="" textlink="">
      <xdr:nvSpPr>
        <xdr:cNvPr id="21885" name="AutoShape 50">
          <a:hlinkClick xmlns:r="http://schemas.openxmlformats.org/officeDocument/2006/relationships" r:id="rId2"/>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406400</xdr:colOff>
      <xdr:row>9</xdr:row>
      <xdr:rowOff>76200</xdr:rowOff>
    </xdr:from>
    <xdr:to>
      <xdr:col>16</xdr:col>
      <xdr:colOff>863600</xdr:colOff>
      <xdr:row>17</xdr:row>
      <xdr:rowOff>12700</xdr:rowOff>
    </xdr:to>
    <xdr:graphicFrame macro="">
      <xdr:nvGraphicFramePr>
        <xdr:cNvPr id="3902982" name="Chart 4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762000</xdr:colOff>
      <xdr:row>9</xdr:row>
      <xdr:rowOff>88900</xdr:rowOff>
    </xdr:from>
    <xdr:to>
      <xdr:col>4</xdr:col>
      <xdr:colOff>457200</xdr:colOff>
      <xdr:row>17</xdr:row>
      <xdr:rowOff>63500</xdr:rowOff>
    </xdr:to>
    <xdr:graphicFrame macro="">
      <xdr:nvGraphicFramePr>
        <xdr:cNvPr id="3902983" name="Chart 5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101600</xdr:colOff>
      <xdr:row>20</xdr:row>
      <xdr:rowOff>0</xdr:rowOff>
    </xdr:to>
    <xdr:grpSp>
      <xdr:nvGrpSpPr>
        <xdr:cNvPr id="4870797" name="Group 41"/>
        <xdr:cNvGrpSpPr>
          <a:grpSpLocks/>
        </xdr:cNvGrpSpPr>
      </xdr:nvGrpSpPr>
      <xdr:grpSpPr bwMode="auto">
        <a:xfrm>
          <a:off x="5539154" y="5150827"/>
          <a:ext cx="101600" cy="0"/>
          <a:chOff x="595" y="540"/>
          <a:chExt cx="9" cy="9"/>
        </a:xfrm>
      </xdr:grpSpPr>
      <xdr:sp macro="" textlink="">
        <xdr:nvSpPr>
          <xdr:cNvPr id="4870808" name="Rectangle 11"/>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9"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8</xdr:col>
      <xdr:colOff>1117600</xdr:colOff>
      <xdr:row>20</xdr:row>
      <xdr:rowOff>0</xdr:rowOff>
    </xdr:from>
    <xdr:to>
      <xdr:col>9</xdr:col>
      <xdr:colOff>12700</xdr:colOff>
      <xdr:row>20</xdr:row>
      <xdr:rowOff>0</xdr:rowOff>
    </xdr:to>
    <xdr:grpSp>
      <xdr:nvGrpSpPr>
        <xdr:cNvPr id="4870798" name="Group 44"/>
        <xdr:cNvGrpSpPr>
          <a:grpSpLocks/>
        </xdr:cNvGrpSpPr>
      </xdr:nvGrpSpPr>
      <xdr:grpSpPr bwMode="auto">
        <a:xfrm>
          <a:off x="6599604" y="5150827"/>
          <a:ext cx="7327" cy="0"/>
          <a:chOff x="698" y="540"/>
          <a:chExt cx="9" cy="9"/>
        </a:xfrm>
      </xdr:grpSpPr>
      <xdr:sp macro="" textlink="">
        <xdr:nvSpPr>
          <xdr:cNvPr id="4870806" name="Rectangle 47"/>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7"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6</xdr:col>
      <xdr:colOff>889000</xdr:colOff>
      <xdr:row>20</xdr:row>
      <xdr:rowOff>0</xdr:rowOff>
    </xdr:from>
    <xdr:to>
      <xdr:col>7</xdr:col>
      <xdr:colOff>0</xdr:colOff>
      <xdr:row>20</xdr:row>
      <xdr:rowOff>0</xdr:rowOff>
    </xdr:to>
    <xdr:grpSp>
      <xdr:nvGrpSpPr>
        <xdr:cNvPr id="4870799" name="Group 47"/>
        <xdr:cNvGrpSpPr>
          <a:grpSpLocks/>
        </xdr:cNvGrpSpPr>
      </xdr:nvGrpSpPr>
      <xdr:grpSpPr bwMode="auto">
        <a:xfrm>
          <a:off x="5258777" y="5150827"/>
          <a:ext cx="0" cy="0"/>
          <a:chOff x="698" y="540"/>
          <a:chExt cx="9" cy="9"/>
        </a:xfrm>
      </xdr:grpSpPr>
      <xdr:sp macro="" textlink="">
        <xdr:nvSpPr>
          <xdr:cNvPr id="4870804" name="Rectangle 47"/>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5"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3</xdr:col>
      <xdr:colOff>0</xdr:colOff>
      <xdr:row>20</xdr:row>
      <xdr:rowOff>0</xdr:rowOff>
    </xdr:from>
    <xdr:to>
      <xdr:col>3</xdr:col>
      <xdr:colOff>101600</xdr:colOff>
      <xdr:row>20</xdr:row>
      <xdr:rowOff>0</xdr:rowOff>
    </xdr:to>
    <xdr:grpSp>
      <xdr:nvGrpSpPr>
        <xdr:cNvPr id="4870800" name="Group 50"/>
        <xdr:cNvGrpSpPr>
          <a:grpSpLocks/>
        </xdr:cNvGrpSpPr>
      </xdr:nvGrpSpPr>
      <xdr:grpSpPr bwMode="auto">
        <a:xfrm>
          <a:off x="1436077" y="5150827"/>
          <a:ext cx="101600" cy="0"/>
          <a:chOff x="595" y="540"/>
          <a:chExt cx="9" cy="9"/>
        </a:xfrm>
      </xdr:grpSpPr>
      <xdr:sp macro="" textlink="">
        <xdr:nvSpPr>
          <xdr:cNvPr id="4870802" name="Rectangle 11"/>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3"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0</xdr:col>
      <xdr:colOff>9525</xdr:colOff>
      <xdr:row>0</xdr:row>
      <xdr:rowOff>76200</xdr:rowOff>
    </xdr:from>
    <xdr:to>
      <xdr:col>1</xdr:col>
      <xdr:colOff>1387168</xdr:colOff>
      <xdr:row>0</xdr:row>
      <xdr:rowOff>419100</xdr:rowOff>
    </xdr:to>
    <xdr:sp macro="" textlink="">
      <xdr:nvSpPr>
        <xdr:cNvPr id="1150121" name="AutoShape 50">
          <a:hlinkClick xmlns:r="http://schemas.openxmlformats.org/officeDocument/2006/relationships" r:id="rId1"/>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75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38100</xdr:rowOff>
    </xdr:from>
    <xdr:to>
      <xdr:col>1</xdr:col>
      <xdr:colOff>922208</xdr:colOff>
      <xdr:row>0</xdr:row>
      <xdr:rowOff>371475</xdr:rowOff>
    </xdr:to>
    <xdr:sp macro="" textlink="">
      <xdr:nvSpPr>
        <xdr:cNvPr id="33131" name="AutoShape 50">
          <a:hlinkClick xmlns:r="http://schemas.openxmlformats.org/officeDocument/2006/relationships" r:id="rId2"/>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6" r="C42" connectionId="0">
    <xmlCellPr id="1" uniqueName="1">
      <xmlPr mapId="43" xpath="/ns1:Root/ns1:F2/ns1:Advocacy__Commun__SocMob_Cumulative_Budget__in___" xmlDataType="double"/>
    </xmlCellPr>
  </singleXmlCell>
  <singleXmlCell id="467" r="D42" connectionId="0">
    <xmlCellPr id="1" uniqueName="1">
      <xmlPr mapId="43" xpath="/ns1:Root/ns1:F2/ns1:Advocacy__Commun__SocMob_Cumulative_Expenditures__in___" xmlDataType="double"/>
    </xmlCellPr>
  </singleXmlCell>
  <singleXmlCell id="468" r="C43" connectionId="0">
    <xmlCellPr id="1" uniqueName="1">
      <xmlPr mapId="43" xpath="/ns1:Root/ns1:F2/ns1:Environ__Community_TB_care__Cumulative_Budget__in___" xmlDataType="double"/>
    </xmlCellPr>
  </singleXmlCell>
  <singleXmlCell id="469" r="D43" connectionId="0">
    <xmlCellPr id="1" uniqueName="1">
      <xmlPr mapId="43" xpath="/ns1:Root/ns1:F2/ns1:Environ__Community_TB_care__Cumulative_Expenditures__in___" xmlDataType="double"/>
    </xmlCellPr>
  </singleXmlCell>
  <singleXmlCell id="470" r="C44" connectionId="0">
    <xmlCellPr id="1" uniqueName="1">
      <xmlPr mapId="43" xpath="/ns1:Root/ns1:F2/ns1:_Cumulative_Budget__in____1" xmlDataType="string"/>
    </xmlCellPr>
  </singleXmlCell>
  <singleXmlCell id="471" r="D44" connectionId="0">
    <xmlCellPr id="1" uniqueName="1">
      <xmlPr mapId="43" xpath="/ns1:Root/ns1:F2/ns1:_Cumulative_Expenditures__in____1" xmlDataType="string"/>
    </xmlCellPr>
  </singleXmlCell>
  <singleXmlCell id="472" r="C45" connectionId="0">
    <xmlCellPr id="1" uniqueName="1">
      <xmlPr mapId="43" xpath="/ns1:Root/ns1:F2/ns1:_Cumulative_Budget__in____2" xmlDataType="string"/>
    </xmlCellPr>
  </singleXmlCell>
  <singleXmlCell id="473" r="D45" connectionId="0">
    <xmlCellPr id="1" uniqueName="1">
      <xmlPr mapId="43" xpath="/ns1:Root/ns1:F2/ns1:_Cumulative_Expenditures__in____2" xmlDataType="string"/>
    </xmlCellPr>
  </singleXmlCell>
  <singleXmlCell id="474" r="C46" connectionId="0">
    <xmlCellPr id="1" uniqueName="1">
      <xmlPr mapId="43" xpath="/ns1:Root/ns1:F2/ns1:_Cumulative_Budget__in___" xmlDataType="string"/>
    </xmlCellPr>
  </singleXmlCell>
  <singleXmlCell id="475" r="D46" connectionId="0">
    <xmlCellPr id="1" uniqueName="1">
      <xmlPr mapId="43" xpath="/ns1:Root/ns1:F2/ns1:_Cumulative_Expenditures__in___" xmlDataType="string"/>
    </xmlCellPr>
  </singleXmlCell>
  <singleXmlCell id="476" r="C52" connectionId="0">
    <xmlCellPr id="1" uniqueName="1">
      <xmlPr mapId="43" xpath="/ns1:Root/ns1:F3/ns1:Disbursed_by_Global_Fund_Prior_to_reporting_period__in___" xmlDataType="double"/>
    </xmlCellPr>
  </singleXmlCell>
  <singleXmlCell id="477" r="D52" connectionId="0">
    <xmlCellPr id="1" uniqueName="1">
      <xmlPr mapId="43" xpath="/ns1:Root/ns1:F3/ns1:Disbursed_by_Global_Fund_Reporting_period__in___" xmlDataType="double"/>
    </xmlCellPr>
  </singleXmlCell>
  <singleXmlCell id="478" r="C53" connectionId="0">
    <xmlCellPr id="1" uniqueName="1">
      <xmlPr mapId="43" xpath="/ns1:Root/ns1:F3/ns1:PR_expenditure_and_disbursement_Prior_to_reporting_period__in___" xmlDataType="double"/>
    </xmlCellPr>
  </singleXmlCell>
  <singleXmlCell id="479" r="D53" connectionId="0">
    <xmlCellPr id="1" uniqueName="1">
      <xmlPr mapId="43" xpath="/ns1:Root/ns1:F3/ns1:PR_expenditure_and_disbursement_Reporting_period__in___" xmlDataType="double"/>
    </xmlCellPr>
  </singleXmlCell>
  <singleXmlCell id="480" r="C54" connectionId="0">
    <xmlCellPr id="1" uniqueName="1">
      <xmlPr mapId="43" xpath="/ns1:Root/ns1:F3/ns1:Disbursed_to_SRs_Prior_to_reporting_period__in___" xmlDataType="double"/>
    </xmlCellPr>
  </singleXmlCell>
  <singleXmlCell id="481" r="D54" connectionId="0">
    <xmlCellPr id="1" uniqueName="1">
      <xmlPr mapId="43" xpath="/ns1:Root/ns1:F3/ns1:Disbursed_to_SRs_Reporting_period__in___" xmlDataType="double"/>
    </xmlCellPr>
  </singleXmlCell>
  <singleXmlCell id="482" r="C55" connectionId="0">
    <xmlCellPr id="1" uniqueName="1">
      <xmlPr mapId="43" xpath="/ns1:Root/ns1:F3/ns1:SR_expenditures_Prior_to_reporting_period__in___" xmlDataType="double"/>
    </xmlCellPr>
  </singleXmlCell>
  <singleXmlCell id="483" r="D55" connectionId="0">
    <xmlCellPr id="1" uniqueName="1">
      <xmlPr mapId="43" xpath="/ns1:Root/ns1:F3/ns1:SR_expenditures_Reporting_period__in___" xmlDataType="double"/>
    </xmlCellPr>
  </singleXmlCell>
  <singleXmlCell id="484" r="C62" connectionId="0">
    <xmlCellPr id="1" uniqueName="1">
      <xmlPr mapId="43" xpath="/ns1:Root/ns1:F4/ns1:Days_taken_to_submit_acceptable_PU_DR_to_LFA_Expected__days_" xmlDataType="double"/>
    </xmlCellPr>
  </singleXmlCell>
  <singleXmlCell id="485" r="D62" connectionId="0">
    <xmlCellPr id="1" uniqueName="1">
      <xmlPr mapId="43" xpath="/ns1:Root/ns1:F4/ns1:Days_taken_to_submit_acceptable_PU_DR_to_LFA_Actual__days_" xmlDataType="double"/>
    </xmlCellPr>
  </singleXmlCell>
  <singleXmlCell id="486" r="C63" connectionId="0">
    <xmlCellPr id="1" uniqueName="1">
      <xmlPr mapId="43" xpath="/ns1:Root/ns1:F4/ns1:Days_taken_for_disbursement_to_reach_PR_Expected__days_" xmlDataType="double"/>
    </xmlCellPr>
  </singleXmlCell>
  <singleXmlCell id="487" r="D63" connectionId="0">
    <xmlCellPr id="1" uniqueName="1">
      <xmlPr mapId="43" xpath="/ns1:Root/ns1:F4/ns1:Days_taken_for_disbursement_to_reach_PR_Actual__days_" xmlDataType="double"/>
    </xmlCellPr>
  </singleXmlCell>
  <singleXmlCell id="488" r="C64" connectionId="0">
    <xmlCellPr id="1" uniqueName="1">
      <xmlPr mapId="43" xpath="/ns1:Root/ns1:F4/ns1:Days_taken_for_disbursement_to_reach_SRs__Expected__days_" xmlDataType="double"/>
    </xmlCellPr>
  </singleXmlCell>
  <singleXmlCell id="489" r="D64" connectionId="0">
    <xmlCellPr id="1" uniqueName="1">
      <xmlPr mapId="43" xpath="/ns1:Root/ns1:F4/ns1:Days_taken_for_disbursement_to_reach_SRs__Actual__days_" xmlDataType="double"/>
    </xmlCellPr>
  </singleXmlCell>
  <singleXmlCell id="490" r="B72" connectionId="0">
    <xmlCellPr id="1" uniqueName="1">
      <xmlPr mapId="43" xpath="/ns1:Root/ns1:M1/ns1:Conditions_precedents__CPs__" xmlDataType="string"/>
    </xmlCellPr>
  </singleXmlCell>
  <singleXmlCell id="491" r="D72" connectionId="0">
    <xmlCellPr id="1" uniqueName="1">
      <xmlPr mapId="43" xpath="/ns1:Root/ns1:M1/ns1:Conditions_precedents__CPs__Fulfilled" xmlDataType="double"/>
    </xmlCellPr>
  </singleXmlCell>
  <singleXmlCell id="492" r="E72" connectionId="0">
    <xmlCellPr id="1" uniqueName="1">
      <xmlPr mapId="43" xpath="/ns1:Root/ns1:M1/ns1:Conditions_precedents__CPs__Not_fulfilled__but_within_deadline" xmlDataType="double"/>
    </xmlCellPr>
  </singleXmlCell>
  <singleXmlCell id="493" r="F72" connectionId="0">
    <xmlCellPr id="1" uniqueName="1">
      <xmlPr mapId="43" xpath="/ns1:Root/ns1:M1/ns1:Conditions_precedents__CPs__Not_fulfilled__and_past_the_deadline" xmlDataType="double"/>
    </xmlCellPr>
  </singleXmlCell>
  <singleXmlCell id="494" r="B73" connectionId="0">
    <xmlCellPr id="1" uniqueName="1">
      <xmlPr mapId="43" xpath="/ns1:Root/ns1:M1/ns1:Time_Bound_Actions__TBAs__" xmlDataType="string"/>
    </xmlCellPr>
  </singleXmlCell>
  <singleXmlCell id="495" r="D73" connectionId="0">
    <xmlCellPr id="1" uniqueName="1">
      <xmlPr mapId="43" xpath="/ns1:Root/ns1:M1/ns1:Time_Bound_Actions__TBAs__Fulfilled" xmlDataType="double"/>
    </xmlCellPr>
  </singleXmlCell>
  <singleXmlCell id="496" r="E73" connectionId="0">
    <xmlCellPr id="1" uniqueName="1">
      <xmlPr mapId="43" xpath="/ns1:Root/ns1:M1/ns1:Time_Bound_Actions__TBAs__Not_fulfilled__but_within_deadline" xmlDataType="string"/>
    </xmlCellPr>
  </singleXmlCell>
  <singleXmlCell id="497" r="F73" connectionId="0">
    <xmlCellPr id="1" uniqueName="1">
      <xmlPr mapId="43" xpath="/ns1:Root/ns1:M1/ns1:Time_Bound_Actions__TBAs__Not_fulfilled__and_past_the_deadline" xmlDataType="double"/>
    </xmlCellPr>
  </singleXmlCell>
  <singleXmlCell id="498" r="C79" connectionId="0">
    <xmlCellPr id="1" uniqueName="1">
      <xmlPr mapId="43" xpath="/ns1:Root/ns1:M2/ns1:PMU_Planned" xmlDataType="double"/>
    </xmlCellPr>
  </singleXmlCell>
  <singleXmlCell id="499" r="D79" connectionId="0">
    <xmlCellPr id="1" uniqueName="1">
      <xmlPr mapId="43" xpath="/ns1:Root/ns1:M2/ns1:PMU_Filled" xmlDataType="double"/>
    </xmlCellPr>
  </singleXmlCell>
  <singleXmlCell id="500" r="C84" connectionId="0">
    <xmlCellPr id="1" uniqueName="1">
      <xmlPr mapId="43" xpath="/ns1:Root/ns1:M3/ns1:SRs_Identified" xmlDataType="double"/>
    </xmlCellPr>
  </singleXmlCell>
  <singleXmlCell id="501" r="D84" connectionId="0">
    <xmlCellPr id="1" uniqueName="1">
      <xmlPr mapId="43" xpath="/ns1:Root/ns1:M3/ns1:SRs_Assessed" xmlDataType="double"/>
    </xmlCellPr>
  </singleXmlCell>
  <singleXmlCell id="502" r="E84" connectionId="0">
    <xmlCellPr id="1" uniqueName="1">
      <xmlPr mapId="43" xpath="/ns1:Root/ns1:M3/ns1:SRs_Approved" xmlDataType="double"/>
    </xmlCellPr>
  </singleXmlCell>
  <singleXmlCell id="503" r="F84" connectionId="0">
    <xmlCellPr id="1" uniqueName="1">
      <xmlPr mapId="43" xpath="/ns1:Root/ns1:M3/ns1:SRs_Signed" xmlDataType="double"/>
    </xmlCellPr>
  </singleXmlCell>
  <singleXmlCell id="504" r="G84" connectionId="0">
    <xmlCellPr id="1" uniqueName="1">
      <xmlPr mapId="43" xpath="/ns1:Root/ns1:M3/ns1:SRs_Receiving_Funding" xmlDataType="double"/>
    </xmlCellPr>
  </singleXmlCell>
  <singleXmlCell id="506" r="C89" connectionId="0">
    <xmlCellPr id="1" uniqueName="1">
      <xmlPr mapId="43" xpath="/ns1:Root/ns1:M4/ns1:SSR_to_SR__IR_____Expected" xmlDataType="string"/>
    </xmlCellPr>
  </singleXmlCell>
  <singleXmlCell id="507" r="D89" connectionId="0">
    <xmlCellPr id="1" uniqueName="1">
      <xmlPr mapId="43" xpath="/ns1:Root/ns1:M4/ns1:SSR_to_SR__IR____Received" xmlDataType="string"/>
    </xmlCellPr>
  </singleXmlCell>
  <singleXmlCell id="509" r="C90" connectionId="0">
    <xmlCellPr id="1" uniqueName="1">
      <xmlPr mapId="43" xpath="/ns1:Root/ns1:M4/ns1:SRs__IRs__to_PR____Expected" xmlDataType="double"/>
    </xmlCellPr>
  </singleXmlCell>
  <singleXmlCell id="510" r="D90" connectionId="0">
    <xmlCellPr id="1" uniqueName="1">
      <xmlPr mapId="43" xpath="/ns1:Root/ns1:M4/ns1:SRs__IRs__to_PR___Received" xmlDataType="double"/>
    </xmlCellPr>
  </singleXmlCell>
  <singleXmlCell id="511" r="C95" connectionId="0">
    <xmlCellPr id="1" uniqueName="1">
      <xmlPr mapId="43" xpath="/ns1:Root/ns1:M5/ns1:Budget_Approved__P1" xmlDataType="double"/>
    </xmlCellPr>
  </singleXmlCell>
  <singleXmlCell id="512" r="D95" connectionId="0">
    <xmlCellPr id="1" uniqueName="1">
      <xmlPr mapId="43" xpath="/ns1:Root/ns1:M5/ns1:Budget_Approved__P2" xmlDataType="double"/>
    </xmlCellPr>
  </singleXmlCell>
  <singleXmlCell id="513" r="E95" connectionId="0">
    <xmlCellPr id="1" uniqueName="1">
      <xmlPr mapId="43" xpath="/ns1:Root/ns1:M5/ns1:Budget_Approved__P3" xmlDataType="double"/>
    </xmlCellPr>
  </singleXmlCell>
  <singleXmlCell id="514" r="F95" connectionId="0">
    <xmlCellPr id="1" uniqueName="1">
      <xmlPr mapId="43" xpath="/ns1:Root/ns1:M5/ns1:Budget_Approved__P4" xmlDataType="double"/>
    </xmlCellPr>
  </singleXmlCell>
  <singleXmlCell id="515" r="G95" connectionId="0">
    <xmlCellPr id="1" uniqueName="1">
      <xmlPr mapId="43" xpath="/ns1:Root/ns1:M5/ns1:Budget_Approved__P5" xmlDataType="double"/>
    </xmlCellPr>
  </singleXmlCell>
  <singleXmlCell id="516" r="H95" connectionId="0">
    <xmlCellPr id="1" uniqueName="1">
      <xmlPr mapId="43" xpath="/ns1:Root/ns1:M5/ns1:Budget_Approved__P6" xmlDataType="double"/>
    </xmlCellPr>
  </singleXmlCell>
  <singleXmlCell id="517" r="I95" connectionId="0">
    <xmlCellPr id="1" uniqueName="1">
      <xmlPr mapId="43" xpath="/ns1:Root/ns1:M5/ns1:Budget_Approved__P7" xmlDataType="double"/>
    </xmlCellPr>
  </singleXmlCell>
  <singleXmlCell id="518" r="J95" connectionId="0">
    <xmlCellPr id="1" uniqueName="1">
      <xmlPr mapId="43" xpath="/ns1:Root/ns1:M5/ns1:Budget_Approved__P8" xmlDataType="double"/>
    </xmlCellPr>
  </singleXmlCell>
  <singleXmlCell id="519" r="K95" connectionId="0">
    <xmlCellPr id="1" uniqueName="1">
      <xmlPr mapId="43" xpath="/ns1:Root/ns1:M5/ns1:Budget_Approved__P9" xmlDataType="double"/>
    </xmlCellPr>
  </singleXmlCell>
  <singleXmlCell id="520" r="L95" connectionId="0">
    <xmlCellPr id="1" uniqueName="1">
      <xmlPr mapId="43" xpath="/ns1:Root/ns1:M5/ns1:Budget_Approved__P10" xmlDataType="double"/>
    </xmlCellPr>
  </singleXmlCell>
  <singleXmlCell id="521" r="M95" connectionId="0">
    <xmlCellPr id="1" uniqueName="1">
      <xmlPr mapId="43" xpath="/ns1:Root/ns1:M5/ns1:Budget_Approved__P11" xmlDataType="double"/>
    </xmlCellPr>
  </singleXmlCell>
  <singleXmlCell id="522" r="N95" connectionId="0">
    <xmlCellPr id="1" uniqueName="1">
      <xmlPr mapId="43" xpath="/ns1:Root/ns1:M5/ns1:Budget_Approved__P12" xmlDataType="double"/>
    </xmlCellPr>
  </singleXmlCell>
  <singleXmlCell id="523" r="C96" connectionId="0">
    <xmlCellPr id="1" uniqueName="1">
      <xmlPr mapId="43" xpath="/ns1:Root/ns1:M5/ns1:Obligations_P1" xmlDataType="double"/>
    </xmlCellPr>
  </singleXmlCell>
  <singleXmlCell id="524" r="D96" connectionId="0">
    <xmlCellPr id="1" uniqueName="1">
      <xmlPr mapId="43" xpath="/ns1:Root/ns1:M5/ns1:Obligations_P2" xmlDataType="double"/>
    </xmlCellPr>
  </singleXmlCell>
  <singleXmlCell id="525" r="E96" connectionId="0">
    <xmlCellPr id="1" uniqueName="1">
      <xmlPr mapId="43" xpath="/ns1:Root/ns1:M5/ns1:Obligations_P3" xmlDataType="double"/>
    </xmlCellPr>
  </singleXmlCell>
  <singleXmlCell id="526" r="F96" connectionId="0">
    <xmlCellPr id="1" uniqueName="1">
      <xmlPr mapId="43" xpath="/ns1:Root/ns1:M5/ns1:Obligations_P4" xmlDataType="double"/>
    </xmlCellPr>
  </singleXmlCell>
  <singleXmlCell id="527" r="G96" connectionId="0">
    <xmlCellPr id="1" uniqueName="1">
      <xmlPr mapId="43" xpath="/ns1:Root/ns1:M5/ns1:Obligations_P5" xmlDataType="double"/>
    </xmlCellPr>
  </singleXmlCell>
  <singleXmlCell id="528" r="H96" connectionId="0">
    <xmlCellPr id="1" uniqueName="1">
      <xmlPr mapId="43" xpath="/ns1:Root/ns1:M5/ns1:Obligations_P6" xmlDataType="double"/>
    </xmlCellPr>
  </singleXmlCell>
  <singleXmlCell id="529" r="I96" connectionId="0">
    <xmlCellPr id="1" uniqueName="1">
      <xmlPr mapId="43" xpath="/ns1:Root/ns1:M5/ns1:Obligations_P7" xmlDataType="double"/>
    </xmlCellPr>
  </singleXmlCell>
  <singleXmlCell id="530" r="J96" connectionId="0">
    <xmlCellPr id="1" uniqueName="1">
      <xmlPr mapId="43" xpath="/ns1:Root/ns1:M5/ns1:Obligations_P8" xmlDataType="double"/>
    </xmlCellPr>
  </singleXmlCell>
  <singleXmlCell id="531" r="K96" connectionId="0">
    <xmlCellPr id="1" uniqueName="1">
      <xmlPr mapId="43" xpath="/ns1:Root/ns1:M5/ns1:Obligations_P9" xmlDataType="double"/>
    </xmlCellPr>
  </singleXmlCell>
  <singleXmlCell id="532" r="L96" connectionId="0">
    <xmlCellPr id="1" uniqueName="1">
      <xmlPr mapId="43" xpath="/ns1:Root/ns1:M5/ns1:Obligations_P10" xmlDataType="double"/>
    </xmlCellPr>
  </singleXmlCell>
  <singleXmlCell id="533" r="M96" connectionId="0">
    <xmlCellPr id="1" uniqueName="1">
      <xmlPr mapId="43" xpath="/ns1:Root/ns1:M5/ns1:Obligations_P11" xmlDataType="double"/>
    </xmlCellPr>
  </singleXmlCell>
  <singleXmlCell id="534" r="N96" connectionId="0">
    <xmlCellPr id="1" uniqueName="1">
      <xmlPr mapId="43" xpath="/ns1:Root/ns1:M5/ns1:Obligations_P12" xmlDataType="double"/>
    </xmlCellPr>
  </singleXmlCell>
  <singleXmlCell id="535" r="C97" connectionId="0">
    <xmlCellPr id="1" uniqueName="1">
      <xmlPr mapId="43" xpath="/ns1:Root/ns1:M5/ns1:Expenditures_P1" xmlDataType="double"/>
    </xmlCellPr>
  </singleXmlCell>
  <singleXmlCell id="536" r="D97" connectionId="0">
    <xmlCellPr id="1" uniqueName="1">
      <xmlPr mapId="43" xpath="/ns1:Root/ns1:M5/ns1:Expenditures_P2" xmlDataType="double"/>
    </xmlCellPr>
  </singleXmlCell>
  <singleXmlCell id="537" r="E97" connectionId="0">
    <xmlCellPr id="1" uniqueName="1">
      <xmlPr mapId="43" xpath="/ns1:Root/ns1:M5/ns1:Expenditures_P3" xmlDataType="double"/>
    </xmlCellPr>
  </singleXmlCell>
  <singleXmlCell id="538" r="F97" connectionId="0">
    <xmlCellPr id="1" uniqueName="1">
      <xmlPr mapId="43" xpath="/ns1:Root/ns1:M5/ns1:Expenditures_P4" xmlDataType="double"/>
    </xmlCellPr>
  </singleXmlCell>
  <singleXmlCell id="539" r="G97" connectionId="0">
    <xmlCellPr id="1" uniqueName="1">
      <xmlPr mapId="43" xpath="/ns1:Root/ns1:M5/ns1:Expenditures_P5" xmlDataType="double"/>
    </xmlCellPr>
  </singleXmlCell>
  <singleXmlCell id="540" r="H97" connectionId="0">
    <xmlCellPr id="1" uniqueName="1">
      <xmlPr mapId="43" xpath="/ns1:Root/ns1:M5/ns1:Expenditures_P6" xmlDataType="double"/>
    </xmlCellPr>
  </singleXmlCell>
  <singleXmlCell id="541" r="I97" connectionId="0">
    <xmlCellPr id="1" uniqueName="1">
      <xmlPr mapId="43" xpath="/ns1:Root/ns1:M5/ns1:Expenditures_P7" xmlDataType="double"/>
    </xmlCellPr>
  </singleXmlCell>
  <singleXmlCell id="542" r="J97" connectionId="0">
    <xmlCellPr id="1" uniqueName="1">
      <xmlPr mapId="43" xpath="/ns1:Root/ns1:M5/ns1:Expenditures_P8" xmlDataType="double"/>
    </xmlCellPr>
  </singleXmlCell>
  <singleXmlCell id="543" r="K97" connectionId="0">
    <xmlCellPr id="1" uniqueName="1">
      <xmlPr mapId="43" xpath="/ns1:Root/ns1:M5/ns1:Expenditures_P9" xmlDataType="double"/>
    </xmlCellPr>
  </singleXmlCell>
  <singleXmlCell id="544" r="L97" connectionId="0">
    <xmlCellPr id="1" uniqueName="1">
      <xmlPr mapId="43" xpath="/ns1:Root/ns1:M5/ns1:Expenditures_P10" xmlDataType="double"/>
    </xmlCellPr>
  </singleXmlCell>
  <singleXmlCell id="545" r="M97" connectionId="0">
    <xmlCellPr id="1" uniqueName="1">
      <xmlPr mapId="43" xpath="/ns1:Root/ns1:M5/ns1:Expenditures_P11" xmlDataType="double"/>
    </xmlCellPr>
  </singleXmlCell>
  <singleXmlCell id="546" r="N97" connectionId="0">
    <xmlCellPr id="1" uniqueName="1">
      <xmlPr mapId="43" xpath="/ns1:Root/ns1:M5/ns1:Expenditures_P12" xmlDataType="double"/>
    </xmlCellPr>
  </singleXmlCell>
  <singleXmlCell id="547" r="C108" connectionId="0">
    <xmlCellPr id="1" uniqueName="1">
      <xmlPr mapId="43" xpath="/ns1:Root/ns1:M6/ns1:HIV___AIDS_Products" xmlDataType="string"/>
    </xmlCellPr>
  </singleXmlCell>
  <singleXmlCell id="548" r="D108" connectionId="0">
    <xmlCellPr id="1" uniqueName="1">
      <xmlPr mapId="43" xpath="/ns1:Root/ns1:M6/ns1:HIV___AIDS__1__Number_of_tablets_per_patient_per_day__Review_country_treatment_guidelines_" xmlDataType="double"/>
    </xmlCellPr>
  </singleXmlCell>
  <singleXmlCell id="549" r="F108" connectionId="0">
    <xmlCellPr id="1" uniqueName="1">
      <xmlPr mapId="43" xpath="/ns1:Root/ns1:M6/ns1:HIV___AIDS__3__Total_patients_in_treatment" xmlDataType="double"/>
    </xmlCellPr>
  </singleXmlCell>
  <singleXmlCell id="550" r="H108" connectionId="0">
    <xmlCellPr id="1" uniqueName="1">
      <xmlPr mapId="43" xpath="/ns1:Root/ns1:M6/ns1:HIV___AIDS__5__Current_stock_in_central_warehouse__that_does_not_expire_within_the_next_3_months_" xmlDataType="double"/>
    </xmlCellPr>
  </singleXmlCell>
  <singleXmlCell id="551" r="J108" connectionId="0">
    <xmlCellPr id="1" uniqueName="1">
      <xmlPr mapId="43" xpath="/ns1:Root/ns1:M6/ns1:HIV___AIDS__7__Level_of_safety_stock__expressed_in_months_and_defined_by_country__" xmlDataType="double"/>
    </xmlCellPr>
  </singleXmlCell>
  <singleXmlCell id="552" r="C109" connectionId="0">
    <xmlCellPr id="1" uniqueName="1">
      <xmlPr mapId="43" xpath="/ns1:Root/ns1:M6/ns1:_Products_1" xmlDataType="string"/>
    </xmlCellPr>
  </singleXmlCell>
  <singleXmlCell id="553" r="D109" connectionId="0">
    <xmlCellPr id="1" uniqueName="1">
      <xmlPr mapId="43" xpath="/ns1:Root/ns1:M6/ns1:__1__Number_of_tablets_per_patient_per_day__Review_country_treatment_guidelines__1" xmlDataType="double"/>
    </xmlCellPr>
  </singleXmlCell>
  <singleXmlCell id="554" r="F109" connectionId="0">
    <xmlCellPr id="1" uniqueName="1">
      <xmlPr mapId="43" xpath="/ns1:Root/ns1:M6/ns1:__3__Total_patients_in_treatment_1" xmlDataType="double"/>
    </xmlCellPr>
  </singleXmlCell>
  <singleXmlCell id="555" r="H109" connectionId="0">
    <xmlCellPr id="1" uniqueName="1">
      <xmlPr mapId="43" xpath="/ns1:Root/ns1:M6/ns1:__5__Current_stock_in_central_warehouse__that_does_not_expire_within_the_next_3_months__1" xmlDataType="double"/>
    </xmlCellPr>
  </singleXmlCell>
  <singleXmlCell id="556" r="J109" connectionId="0">
    <xmlCellPr id="1" uniqueName="1">
      <xmlPr mapId="43" xpath="/ns1:Root/ns1:M6/ns1:__7__Level_of_safety_stock__expressed_in_months_and_defined_by_country___1" xmlDataType="double"/>
    </xmlCellPr>
  </singleXmlCell>
  <singleXmlCell id="557" r="C110" connectionId="0">
    <xmlCellPr id="1" uniqueName="1">
      <xmlPr mapId="43" xpath="/ns1:Root/ns1:M6/ns1:_Products_2" xmlDataType="string"/>
    </xmlCellPr>
  </singleXmlCell>
  <singleXmlCell id="558" r="D110" connectionId="0">
    <xmlCellPr id="1" uniqueName="1">
      <xmlPr mapId="43" xpath="/ns1:Root/ns1:M6/ns1:__1__Number_of_tablets_per_patient_per_day__Review_country_treatment_guidelines__2" xmlDataType="double"/>
    </xmlCellPr>
  </singleXmlCell>
  <singleXmlCell id="559" r="F110" connectionId="0">
    <xmlCellPr id="1" uniqueName="1">
      <xmlPr mapId="43" xpath="/ns1:Root/ns1:M6/ns1:__3__Total_patients_in_treatment_2" xmlDataType="double"/>
    </xmlCellPr>
  </singleXmlCell>
  <singleXmlCell id="560" r="H110" connectionId="0">
    <xmlCellPr id="1" uniqueName="1">
      <xmlPr mapId="43" xpath="/ns1:Root/ns1:M6/ns1:__5__Current_stock_in_central_warehouse__that_does_not_expire_within_the_next_3_months__2" xmlDataType="double"/>
    </xmlCellPr>
  </singleXmlCell>
  <singleXmlCell id="561" r="J110" connectionId="0">
    <xmlCellPr id="1" uniqueName="1">
      <xmlPr mapId="43" xpath="/ns1:Root/ns1:M6/ns1:__7__Level_of_safety_stock__expressed_in_months_and_defined_by_country___2" xmlDataType="double"/>
    </xmlCellPr>
  </singleXmlCell>
  <singleXmlCell id="562" r="C111" connectionId="0">
    <xmlCellPr id="1" uniqueName="1">
      <xmlPr mapId="43" xpath="/ns1:Root/ns1:M6/ns1:_Products" xmlDataType="string"/>
    </xmlCellPr>
  </singleXmlCell>
  <singleXmlCell id="563" r="D111" connectionId="0">
    <xmlCellPr id="1" uniqueName="1">
      <xmlPr mapId="43" xpath="/ns1:Root/ns1:M6/ns1:__1__Number_of_tablets_per_patient_per_day__Review_country_treatment_guidelines_" xmlDataType="double"/>
    </xmlCellPr>
  </singleXmlCell>
  <singleXmlCell id="564" r="F111" connectionId="0">
    <xmlCellPr id="1" uniqueName="1">
      <xmlPr mapId="43" xpath="/ns1:Root/ns1:M6/ns1:__3__Total_patients_in_treatment" xmlDataType="double"/>
    </xmlCellPr>
  </singleXmlCell>
  <singleXmlCell id="565" r="H111" connectionId="0">
    <xmlCellPr id="1" uniqueName="1">
      <xmlPr mapId="43" xpath="/ns1:Root/ns1:M6/ns1:__5__Current_stock_in_central_warehouse__that_does_not_expire_within_the_next_3_months_" xmlDataType="double"/>
    </xmlCellPr>
  </singleXmlCell>
  <singleXmlCell id="566" r="J111" connectionId="0">
    <xmlCellPr id="1" uniqueName="1">
      <xmlPr mapId="43" xpath="/ns1:Root/ns1:M6/ns1:__7__Level_of_safety_stock__expressed_in_months_and_defined_by_country__" xmlDataType="double"/>
    </xmlCellPr>
  </singleXmlCell>
  <singleXmlCell id="567" r="H118" connectionId="0">
    <xmlCellPr id="1" uniqueName="1">
      <xmlPr mapId="43" xpath="/ns1:Root/ns1:Prog/ns1:Target_P1_1" xmlDataType="double"/>
    </xmlCellPr>
  </singleXmlCell>
  <singleXmlCell id="568" r="I118" connectionId="0">
    <xmlCellPr id="1" uniqueName="1">
      <xmlPr mapId="43" xpath="/ns1:Root/ns1:Prog/ns1:Target_P2_1" xmlDataType="double"/>
    </xmlCellPr>
  </singleXmlCell>
  <singleXmlCell id="569" r="J118" connectionId="0">
    <xmlCellPr id="1" uniqueName="1">
      <xmlPr mapId="43" xpath="/ns1:Root/ns1:Prog/ns1:Target_P3_1" xmlDataType="double"/>
    </xmlCellPr>
  </singleXmlCell>
  <singleXmlCell id="570" r="K118" connectionId="0">
    <xmlCellPr id="1" uniqueName="1">
      <xmlPr mapId="43" xpath="/ns1:Root/ns1:Prog/ns1:Target_P4_1" xmlDataType="double"/>
    </xmlCellPr>
  </singleXmlCell>
  <singleXmlCell id="571" r="L118" connectionId="0">
    <xmlCellPr id="1" uniqueName="1">
      <xmlPr mapId="43" xpath="/ns1:Root/ns1:Prog/ns1:Target_P5_1" xmlDataType="double"/>
    </xmlCellPr>
  </singleXmlCell>
  <singleXmlCell id="572" r="M118" connectionId="0">
    <xmlCellPr id="1" uniqueName="1">
      <xmlPr mapId="43" xpath="/ns1:Root/ns1:Prog/ns1:Target_P6_1" xmlDataType="double"/>
    </xmlCellPr>
  </singleXmlCell>
  <singleXmlCell id="573" r="N118" connectionId="0">
    <xmlCellPr id="1" uniqueName="1">
      <xmlPr mapId="43" xpath="/ns1:Root/ns1:Prog/ns1:Target_P7_1" xmlDataType="double"/>
    </xmlCellPr>
  </singleXmlCell>
  <singleXmlCell id="574" r="O118" connectionId="0">
    <xmlCellPr id="1" uniqueName="1">
      <xmlPr mapId="43" xpath="/ns1:Root/ns1:Prog/ns1:Target_P8_1" xmlDataType="double"/>
    </xmlCellPr>
  </singleXmlCell>
  <singleXmlCell id="575" r="P118" connectionId="0">
    <xmlCellPr id="1" uniqueName="1">
      <xmlPr mapId="43" xpath="/ns1:Root/ns1:Prog/ns1:Target_P9_1" xmlDataType="double"/>
    </xmlCellPr>
  </singleXmlCell>
  <singleXmlCell id="576" r="Q118" connectionId="0">
    <xmlCellPr id="1" uniqueName="1">
      <xmlPr mapId="43" xpath="/ns1:Root/ns1:Prog/ns1:Target_P10_1" xmlDataType="double"/>
    </xmlCellPr>
  </singleXmlCell>
  <singleXmlCell id="577" r="R118" connectionId="0">
    <xmlCellPr id="1" uniqueName="1">
      <xmlPr mapId="43" xpath="/ns1:Root/ns1:Prog/ns1:Target_P11_1" xmlDataType="double"/>
    </xmlCellPr>
  </singleXmlCell>
  <singleXmlCell id="578" r="S118" connectionId="0">
    <xmlCellPr id="1" uniqueName="1">
      <xmlPr mapId="43" xpath="/ns1:Root/ns1:Prog/ns1:Target_P12_1" xmlDataType="double"/>
    </xmlCellPr>
  </singleXmlCell>
  <singleXmlCell id="579" r="H119" connectionId="0">
    <xmlCellPr id="1" uniqueName="1">
      <xmlPr mapId="43" xpath="/ns1:Root/ns1:Prog/ns1:Achieved__P1_1" xmlDataType="double"/>
    </xmlCellPr>
  </singleXmlCell>
  <singleXmlCell id="580" r="I119" connectionId="0">
    <xmlCellPr id="1" uniqueName="1">
      <xmlPr mapId="43" xpath="/ns1:Root/ns1:Prog/ns1:Achieved__P2_1" xmlDataType="double"/>
    </xmlCellPr>
  </singleXmlCell>
  <singleXmlCell id="581" r="J119" connectionId="0">
    <xmlCellPr id="1" uniqueName="1">
      <xmlPr mapId="43" xpath="/ns1:Root/ns1:Prog/ns1:Achieved__P3_1" xmlDataType="double"/>
    </xmlCellPr>
  </singleXmlCell>
  <singleXmlCell id="582" r="K119" connectionId="0">
    <xmlCellPr id="1" uniqueName="1">
      <xmlPr mapId="43" xpath="/ns1:Root/ns1:Prog/ns1:Achieved__P4_1" xmlDataType="double"/>
    </xmlCellPr>
  </singleXmlCell>
  <singleXmlCell id="583" r="L119" connectionId="0">
    <xmlCellPr id="1" uniqueName="1">
      <xmlPr mapId="43" xpath="/ns1:Root/ns1:Prog/ns1:Achieved__P5_1" xmlDataType="string"/>
    </xmlCellPr>
  </singleXmlCell>
  <singleXmlCell id="584" r="M119" connectionId="0">
    <xmlCellPr id="1" uniqueName="1">
      <xmlPr mapId="43" xpath="/ns1:Root/ns1:Prog/ns1:Achieved__P6_1" xmlDataType="string"/>
    </xmlCellPr>
  </singleXmlCell>
  <singleXmlCell id="585" r="N119" connectionId="0">
    <xmlCellPr id="1" uniqueName="1">
      <xmlPr mapId="43" xpath="/ns1:Root/ns1:Prog/ns1:Achieved__P7_1" xmlDataType="string"/>
    </xmlCellPr>
  </singleXmlCell>
  <singleXmlCell id="586" r="O119" connectionId="0">
    <xmlCellPr id="1" uniqueName="1">
      <xmlPr mapId="43" xpath="/ns1:Root/ns1:Prog/ns1:Achieved__P8_1" xmlDataType="string"/>
    </xmlCellPr>
  </singleXmlCell>
  <singleXmlCell id="587" r="P119" connectionId="0">
    <xmlCellPr id="1" uniqueName="1">
      <xmlPr mapId="43" xpath="/ns1:Root/ns1:Prog/ns1:Achieved__P9_1" xmlDataType="string"/>
    </xmlCellPr>
  </singleXmlCell>
  <singleXmlCell id="588" r="Q119" connectionId="0">
    <xmlCellPr id="1" uniqueName="1">
      <xmlPr mapId="43" xpath="/ns1:Root/ns1:Prog/ns1:Achieved__P10_1" xmlDataType="string"/>
    </xmlCellPr>
  </singleXmlCell>
  <singleXmlCell id="589" r="R119" connectionId="0">
    <xmlCellPr id="1" uniqueName="1">
      <xmlPr mapId="43" xpath="/ns1:Root/ns1:Prog/ns1:Achieved__P11_1" xmlDataType="string"/>
    </xmlCellPr>
  </singleXmlCell>
  <singleXmlCell id="590" r="S119" connectionId="0">
    <xmlCellPr id="1" uniqueName="1">
      <xmlPr mapId="43" xpath="/ns1:Root/ns1:Prog/ns1:Achieved__P12_1" xmlDataType="string"/>
    </xmlCellPr>
  </singleXmlCell>
  <singleXmlCell id="591" r="H120" connectionId="0">
    <xmlCellPr id="1" uniqueName="1">
      <xmlPr mapId="43" xpath="/ns1:Root/ns1:Prog/ns1:Target_P1_2" xmlDataType="double"/>
    </xmlCellPr>
  </singleXmlCell>
  <singleXmlCell id="592" r="I120" connectionId="0">
    <xmlCellPr id="1" uniqueName="1">
      <xmlPr mapId="43" xpath="/ns1:Root/ns1:Prog/ns1:Target_P2_2" xmlDataType="double"/>
    </xmlCellPr>
  </singleXmlCell>
  <singleXmlCell id="593" r="J120" connectionId="0">
    <xmlCellPr id="1" uniqueName="1">
      <xmlPr mapId="43" xpath="/ns1:Root/ns1:Prog/ns1:Target_P3_2" xmlDataType="double"/>
    </xmlCellPr>
  </singleXmlCell>
  <singleXmlCell id="594" r="L120" connectionId="0">
    <xmlCellPr id="1" uniqueName="1">
      <xmlPr mapId="43" xpath="/ns1:Root/ns1:Prog/ns1:Target_P5_2" xmlDataType="double"/>
    </xmlCellPr>
  </singleXmlCell>
  <singleXmlCell id="595" r="M120" connectionId="0">
    <xmlCellPr id="1" uniqueName="1">
      <xmlPr mapId="43" xpath="/ns1:Root/ns1:Prog/ns1:Target_P6_2" xmlDataType="double"/>
    </xmlCellPr>
  </singleXmlCell>
  <singleXmlCell id="596" r="N120" connectionId="0">
    <xmlCellPr id="1" uniqueName="1">
      <xmlPr mapId="43" xpath="/ns1:Root/ns1:Prog/ns1:Target_P7_2" xmlDataType="double"/>
    </xmlCellPr>
  </singleXmlCell>
  <singleXmlCell id="597" r="O120" connectionId="0">
    <xmlCellPr id="1" uniqueName="1">
      <xmlPr mapId="43" xpath="/ns1:Root/ns1:Prog/ns1:Target_P8_2" xmlDataType="double"/>
    </xmlCellPr>
  </singleXmlCell>
  <singleXmlCell id="598" r="P120" connectionId="0">
    <xmlCellPr id="1" uniqueName="1">
      <xmlPr mapId="43" xpath="/ns1:Root/ns1:Prog/ns1:Target_P9_2" xmlDataType="double"/>
    </xmlCellPr>
  </singleXmlCell>
  <singleXmlCell id="599" r="Q120" connectionId="0">
    <xmlCellPr id="1" uniqueName="1">
      <xmlPr mapId="43" xpath="/ns1:Root/ns1:Prog/ns1:Target_P10_2" xmlDataType="double"/>
    </xmlCellPr>
  </singleXmlCell>
  <singleXmlCell id="600" r="R120" connectionId="0">
    <xmlCellPr id="1" uniqueName="1">
      <xmlPr mapId="43" xpath="/ns1:Root/ns1:Prog/ns1:Target_P11_2" xmlDataType="double"/>
    </xmlCellPr>
  </singleXmlCell>
  <singleXmlCell id="601" r="S120" connectionId="0">
    <xmlCellPr id="1" uniqueName="1">
      <xmlPr mapId="43" xpath="/ns1:Root/ns1:Prog/ns1:Target_P12_2" xmlDataType="double"/>
    </xmlCellPr>
  </singleXmlCell>
  <singleXmlCell id="602" r="H121" connectionId="0">
    <xmlCellPr id="1" uniqueName="1">
      <xmlPr mapId="43" xpath="/ns1:Root/ns1:Prog/ns1:Achieved__P1_2" xmlDataType="double"/>
    </xmlCellPr>
  </singleXmlCell>
  <singleXmlCell id="603" r="I121" connectionId="0">
    <xmlCellPr id="1" uniqueName="1">
      <xmlPr mapId="43" xpath="/ns1:Root/ns1:Prog/ns1:Achieved__P2_2" xmlDataType="double"/>
    </xmlCellPr>
  </singleXmlCell>
  <singleXmlCell id="604" r="J121" connectionId="0">
    <xmlCellPr id="1" uniqueName="1">
      <xmlPr mapId="43" xpath="/ns1:Root/ns1:Prog/ns1:Achieved__P3_2" xmlDataType="double"/>
    </xmlCellPr>
  </singleXmlCell>
  <singleXmlCell id="605" r="K121" connectionId="0">
    <xmlCellPr id="1" uniqueName="1">
      <xmlPr mapId="43" xpath="/ns1:Root/ns1:Prog/ns1:Achieved__P4_2" xmlDataType="double"/>
    </xmlCellPr>
  </singleXmlCell>
  <singleXmlCell id="606" r="L121" connectionId="0">
    <xmlCellPr id="1" uniqueName="1">
      <xmlPr mapId="43" xpath="/ns1:Root/ns1:Prog/ns1:Achieved__P5_2" xmlDataType="string"/>
    </xmlCellPr>
  </singleXmlCell>
  <singleXmlCell id="607" r="M121" connectionId="0">
    <xmlCellPr id="1" uniqueName="1">
      <xmlPr mapId="43" xpath="/ns1:Root/ns1:Prog/ns1:Achieved__P6_2" xmlDataType="string"/>
    </xmlCellPr>
  </singleXmlCell>
  <singleXmlCell id="608" r="N121" connectionId="0">
    <xmlCellPr id="1" uniqueName="1">
      <xmlPr mapId="43" xpath="/ns1:Root/ns1:Prog/ns1:Achieved__P7_2" xmlDataType="string"/>
    </xmlCellPr>
  </singleXmlCell>
  <singleXmlCell id="609" r="O121" connectionId="0">
    <xmlCellPr id="1" uniqueName="1">
      <xmlPr mapId="43" xpath="/ns1:Root/ns1:Prog/ns1:Achieved__P8_2" xmlDataType="string"/>
    </xmlCellPr>
  </singleXmlCell>
  <singleXmlCell id="610" r="P121" connectionId="0">
    <xmlCellPr id="1" uniqueName="1">
      <xmlPr mapId="43" xpath="/ns1:Root/ns1:Prog/ns1:Achieved__P9_2" xmlDataType="string"/>
    </xmlCellPr>
  </singleXmlCell>
  <singleXmlCell id="611" r="Q121" connectionId="0">
    <xmlCellPr id="1" uniqueName="1">
      <xmlPr mapId="43" xpath="/ns1:Root/ns1:Prog/ns1:Achieved__P10_2" xmlDataType="string"/>
    </xmlCellPr>
  </singleXmlCell>
  <singleXmlCell id="612" r="R121" connectionId="0">
    <xmlCellPr id="1" uniqueName="1">
      <xmlPr mapId="43" xpath="/ns1:Root/ns1:Prog/ns1:Achieved__P11_2" xmlDataType="string"/>
    </xmlCellPr>
  </singleXmlCell>
  <singleXmlCell id="613" r="S121" connectionId="0">
    <xmlCellPr id="1" uniqueName="1">
      <xmlPr mapId="43" xpath="/ns1:Root/ns1:Prog/ns1:Achieved__P12_2" xmlDataType="string"/>
    </xmlCellPr>
  </singleXmlCell>
  <singleXmlCell id="614" r="H122" connectionId="0">
    <xmlCellPr id="1" uniqueName="1">
      <xmlPr mapId="43" xpath="/ns1:Root/ns1:Prog/ns1:Target_P1_3" xmlDataType="double"/>
    </xmlCellPr>
  </singleXmlCell>
  <singleXmlCell id="615" r="I122" connectionId="0">
    <xmlCellPr id="1" uniqueName="1">
      <xmlPr mapId="43" xpath="/ns1:Root/ns1:Prog/ns1:Target_P2_3" xmlDataType="double"/>
    </xmlCellPr>
  </singleXmlCell>
  <singleXmlCell id="616" r="J122" connectionId="0">
    <xmlCellPr id="1" uniqueName="1">
      <xmlPr mapId="43" xpath="/ns1:Root/ns1:Prog/ns1:Target_P3_3" xmlDataType="double"/>
    </xmlCellPr>
  </singleXmlCell>
  <singleXmlCell id="617" r="K122" connectionId="0">
    <xmlCellPr id="1" uniqueName="1">
      <xmlPr mapId="43" xpath="/ns1:Root/ns1:Prog/ns1:Target_P4_3" xmlDataType="double"/>
    </xmlCellPr>
  </singleXmlCell>
  <singleXmlCell id="618" r="L122" connectionId="0">
    <xmlCellPr id="1" uniqueName="1">
      <xmlPr mapId="43" xpath="/ns1:Root/ns1:Prog/ns1:Target_P5_3" xmlDataType="double"/>
    </xmlCellPr>
  </singleXmlCell>
  <singleXmlCell id="619" r="M122" connectionId="0">
    <xmlCellPr id="1" uniqueName="1">
      <xmlPr mapId="43" xpath="/ns1:Root/ns1:Prog/ns1:Target_P6_3" xmlDataType="double"/>
    </xmlCellPr>
  </singleXmlCell>
  <singleXmlCell id="620" r="N122" connectionId="0">
    <xmlCellPr id="1" uniqueName="1">
      <xmlPr mapId="43" xpath="/ns1:Root/ns1:Prog/ns1:Target_P7_3" xmlDataType="double"/>
    </xmlCellPr>
  </singleXmlCell>
  <singleXmlCell id="621" r="O122" connectionId="0">
    <xmlCellPr id="1" uniqueName="1">
      <xmlPr mapId="43" xpath="/ns1:Root/ns1:Prog/ns1:Target_P8_3" xmlDataType="double"/>
    </xmlCellPr>
  </singleXmlCell>
  <singleXmlCell id="622" r="P122" connectionId="0">
    <xmlCellPr id="1" uniqueName="1">
      <xmlPr mapId="43" xpath="/ns1:Root/ns1:Prog/ns1:Target_P9_3" xmlDataType="double"/>
    </xmlCellPr>
  </singleXmlCell>
  <singleXmlCell id="623" r="Q122" connectionId="0">
    <xmlCellPr id="1" uniqueName="1">
      <xmlPr mapId="43" xpath="/ns1:Root/ns1:Prog/ns1:Target_P10_3" xmlDataType="string"/>
    </xmlCellPr>
  </singleXmlCell>
  <singleXmlCell id="624" r="R122" connectionId="0">
    <xmlCellPr id="1" uniqueName="1">
      <xmlPr mapId="43" xpath="/ns1:Root/ns1:Prog/ns1:Target_P11_3" xmlDataType="string"/>
    </xmlCellPr>
  </singleXmlCell>
  <singleXmlCell id="625" r="S122" connectionId="0">
    <xmlCellPr id="1" uniqueName="1">
      <xmlPr mapId="43" xpath="/ns1:Root/ns1:Prog/ns1:Target_P12_3" xmlDataType="double"/>
    </xmlCellPr>
  </singleXmlCell>
  <singleXmlCell id="626" r="H123" connectionId="0">
    <xmlCellPr id="1" uniqueName="1">
      <xmlPr mapId="43" xpath="/ns1:Root/ns1:Prog/ns1:Achieved__P1_3" xmlDataType="string"/>
    </xmlCellPr>
  </singleXmlCell>
  <singleXmlCell id="627" r="I123" connectionId="0">
    <xmlCellPr id="1" uniqueName="1">
      <xmlPr mapId="43" xpath="/ns1:Root/ns1:Prog/ns1:Achieved__P2_3" xmlDataType="double"/>
    </xmlCellPr>
  </singleXmlCell>
  <singleXmlCell id="628" r="J123" connectionId="0">
    <xmlCellPr id="1" uniqueName="1">
      <xmlPr mapId="43" xpath="/ns1:Root/ns1:Prog/ns1:Achieved__P3_3" xmlDataType="string"/>
    </xmlCellPr>
  </singleXmlCell>
  <singleXmlCell id="629" r="K123" connectionId="0">
    <xmlCellPr id="1" uniqueName="1">
      <xmlPr mapId="43" xpath="/ns1:Root/ns1:Prog/ns1:Achieved__P4_3" xmlDataType="double"/>
    </xmlCellPr>
  </singleXmlCell>
  <singleXmlCell id="630" r="L123" connectionId="0">
    <xmlCellPr id="1" uniqueName="1">
      <xmlPr mapId="43" xpath="/ns1:Root/ns1:Prog/ns1:Achieved__P5_3" xmlDataType="string"/>
    </xmlCellPr>
  </singleXmlCell>
  <singleXmlCell id="631" r="M123" connectionId="0">
    <xmlCellPr id="1" uniqueName="1">
      <xmlPr mapId="43" xpath="/ns1:Root/ns1:Prog/ns1:Achieved__P6_3" xmlDataType="string"/>
    </xmlCellPr>
  </singleXmlCell>
  <singleXmlCell id="632" r="N123" connectionId="0">
    <xmlCellPr id="1" uniqueName="1">
      <xmlPr mapId="43" xpath="/ns1:Root/ns1:Prog/ns1:Achieved__P7_3" xmlDataType="string"/>
    </xmlCellPr>
  </singleXmlCell>
  <singleXmlCell id="633" r="O123" connectionId="0">
    <xmlCellPr id="1" uniqueName="1">
      <xmlPr mapId="43" xpath="/ns1:Root/ns1:Prog/ns1:Achieved__P8_3" xmlDataType="string"/>
    </xmlCellPr>
  </singleXmlCell>
  <singleXmlCell id="634" r="P123" connectionId="0">
    <xmlCellPr id="1" uniqueName="1">
      <xmlPr mapId="43" xpath="/ns1:Root/ns1:Prog/ns1:Achieved__P9_3" xmlDataType="string"/>
    </xmlCellPr>
  </singleXmlCell>
  <singleXmlCell id="635" r="Q123" connectionId="0">
    <xmlCellPr id="1" uniqueName="1">
      <xmlPr mapId="43" xpath="/ns1:Root/ns1:Prog/ns1:Achieved__P10_3" xmlDataType="string"/>
    </xmlCellPr>
  </singleXmlCell>
  <singleXmlCell id="636" r="R123" connectionId="0">
    <xmlCellPr id="1" uniqueName="1">
      <xmlPr mapId="43" xpath="/ns1:Root/ns1:Prog/ns1:Achieved__P11_3" xmlDataType="string"/>
    </xmlCellPr>
  </singleXmlCell>
  <singleXmlCell id="637" r="S123" connectionId="0">
    <xmlCellPr id="1" uniqueName="1">
      <xmlPr mapId="43" xpath="/ns1:Root/ns1:Prog/ns1:Achieved__P12_3" xmlDataType="string"/>
    </xmlCellPr>
  </singleXmlCell>
  <singleXmlCell id="638" r="H124" connectionId="0">
    <xmlCellPr id="1" uniqueName="1">
      <xmlPr mapId="43" xpath="/ns1:Root/ns1:Prog/ns1:Target_P1_4" xmlDataType="string"/>
    </xmlCellPr>
  </singleXmlCell>
  <singleXmlCell id="639" r="I124" connectionId="0">
    <xmlCellPr id="1" uniqueName="1">
      <xmlPr mapId="43" xpath="/ns1:Root/ns1:Prog/ns1:Target_P2_4" xmlDataType="string"/>
    </xmlCellPr>
  </singleXmlCell>
  <singleXmlCell id="640" r="J124" connectionId="0">
    <xmlCellPr id="1" uniqueName="1">
      <xmlPr mapId="43" xpath="/ns1:Root/ns1:Prog/ns1:Target_P3_4" xmlDataType="string"/>
    </xmlCellPr>
  </singleXmlCell>
  <singleXmlCell id="641" r="K124" connectionId="0">
    <xmlCellPr id="1" uniqueName="1">
      <xmlPr mapId="43" xpath="/ns1:Root/ns1:Prog/ns1:Target_P4_4" xmlDataType="double"/>
    </xmlCellPr>
  </singleXmlCell>
  <singleXmlCell id="642" r="L124" connectionId="0">
    <xmlCellPr id="1" uniqueName="1">
      <xmlPr mapId="43" xpath="/ns1:Root/ns1:Prog/ns1:Target_P5_4" xmlDataType="string"/>
    </xmlCellPr>
  </singleXmlCell>
  <singleXmlCell id="643" r="M124" connectionId="0">
    <xmlCellPr id="1" uniqueName="1">
      <xmlPr mapId="43" xpath="/ns1:Root/ns1:Prog/ns1:Target_P6_4" xmlDataType="string"/>
    </xmlCellPr>
  </singleXmlCell>
  <singleXmlCell id="644" r="N124" connectionId="0">
    <xmlCellPr id="1" uniqueName="1">
      <xmlPr mapId="43" xpath="/ns1:Root/ns1:Prog/ns1:Target_P7_4" xmlDataType="string"/>
    </xmlCellPr>
  </singleXmlCell>
  <singleXmlCell id="645" r="O124" connectionId="0">
    <xmlCellPr id="1" uniqueName="1">
      <xmlPr mapId="43" xpath="/ns1:Root/ns1:Prog/ns1:Target_P8_4" xmlDataType="double"/>
    </xmlCellPr>
  </singleXmlCell>
  <singleXmlCell id="646" r="P124" connectionId="0">
    <xmlCellPr id="1" uniqueName="1">
      <xmlPr mapId="43" xpath="/ns1:Root/ns1:Prog/ns1:Target_P9_4" xmlDataType="string"/>
    </xmlCellPr>
  </singleXmlCell>
  <singleXmlCell id="647" r="Q124" connectionId="0">
    <xmlCellPr id="1" uniqueName="1">
      <xmlPr mapId="43" xpath="/ns1:Root/ns1:Prog/ns1:Target_P10_4" xmlDataType="string"/>
    </xmlCellPr>
  </singleXmlCell>
  <singleXmlCell id="648" r="R124" connectionId="0">
    <xmlCellPr id="1" uniqueName="1">
      <xmlPr mapId="43" xpath="/ns1:Root/ns1:Prog/ns1:Target_P11_4" xmlDataType="string"/>
    </xmlCellPr>
  </singleXmlCell>
  <singleXmlCell id="649" r="S124" connectionId="0">
    <xmlCellPr id="1" uniqueName="1">
      <xmlPr mapId="43" xpath="/ns1:Root/ns1:Prog/ns1:Target_P12_4" xmlDataType="double"/>
    </xmlCellPr>
  </singleXmlCell>
  <singleXmlCell id="650" r="H125" connectionId="0">
    <xmlCellPr id="1" uniqueName="1">
      <xmlPr mapId="43" xpath="/ns1:Root/ns1:Prog/ns1:Achieved__P1_4" xmlDataType="string"/>
    </xmlCellPr>
  </singleXmlCell>
  <singleXmlCell id="651" r="I125" connectionId="0">
    <xmlCellPr id="1" uniqueName="1">
      <xmlPr mapId="43" xpath="/ns1:Root/ns1:Prog/ns1:Achieved__P2_4" xmlDataType="string"/>
    </xmlCellPr>
  </singleXmlCell>
  <singleXmlCell id="652" r="J125" connectionId="0">
    <xmlCellPr id="1" uniqueName="1">
      <xmlPr mapId="43" xpath="/ns1:Root/ns1:Prog/ns1:Achieved__P3_4" xmlDataType="string"/>
    </xmlCellPr>
  </singleXmlCell>
  <singleXmlCell id="653" r="K125" connectionId="0">
    <xmlCellPr id="1" uniqueName="1">
      <xmlPr mapId="43" xpath="/ns1:Root/ns1:Prog/ns1:Achieved__P4_4" xmlDataType="double"/>
    </xmlCellPr>
  </singleXmlCell>
  <singleXmlCell id="654" r="L125" connectionId="0">
    <xmlCellPr id="1" uniqueName="1">
      <xmlPr mapId="43" xpath="/ns1:Root/ns1:Prog/ns1:Achieved__P5_4" xmlDataType="string"/>
    </xmlCellPr>
  </singleXmlCell>
  <singleXmlCell id="655" r="M125" connectionId="0">
    <xmlCellPr id="1" uniqueName="1">
      <xmlPr mapId="43" xpath="/ns1:Root/ns1:Prog/ns1:Achieved__P6_4" xmlDataType="string"/>
    </xmlCellPr>
  </singleXmlCell>
  <singleXmlCell id="656" r="N125" connectionId="0">
    <xmlCellPr id="1" uniqueName="1">
      <xmlPr mapId="43" xpath="/ns1:Root/ns1:Prog/ns1:Achieved__P7_4" xmlDataType="string"/>
    </xmlCellPr>
  </singleXmlCell>
  <singleXmlCell id="657" r="O125" connectionId="0">
    <xmlCellPr id="1" uniqueName="1">
      <xmlPr mapId="43" xpath="/ns1:Root/ns1:Prog/ns1:Achieved__P8_4" xmlDataType="string"/>
    </xmlCellPr>
  </singleXmlCell>
  <singleXmlCell id="658" r="P125" connectionId="0">
    <xmlCellPr id="1" uniqueName="1">
      <xmlPr mapId="43" xpath="/ns1:Root/ns1:Prog/ns1:Achieved__P9_4" xmlDataType="string"/>
    </xmlCellPr>
  </singleXmlCell>
  <singleXmlCell id="659" r="Q125" connectionId="0">
    <xmlCellPr id="1" uniqueName="1">
      <xmlPr mapId="43" xpath="/ns1:Root/ns1:Prog/ns1:Achieved__P10_4" xmlDataType="string"/>
    </xmlCellPr>
  </singleXmlCell>
  <singleXmlCell id="660" r="R125" connectionId="0">
    <xmlCellPr id="1" uniqueName="1">
      <xmlPr mapId="43" xpath="/ns1:Root/ns1:Prog/ns1:Achieved__P11_4" xmlDataType="string"/>
    </xmlCellPr>
  </singleXmlCell>
  <singleXmlCell id="661" r="S125" connectionId="0">
    <xmlCellPr id="1" uniqueName="1">
      <xmlPr mapId="43" xpath="/ns1:Root/ns1:Prog/ns1:Achieved__P12_4" xmlDataType="string"/>
    </xmlCellPr>
  </singleXmlCell>
  <singleXmlCell id="662" r="H126" connectionId="0">
    <xmlCellPr id="1" uniqueName="1">
      <xmlPr mapId="43" xpath="/ns1:Root/ns1:Prog/ns1:Target_P1_5" xmlDataType="double"/>
    </xmlCellPr>
  </singleXmlCell>
  <singleXmlCell id="663" r="I126" connectionId="0">
    <xmlCellPr id="1" uniqueName="1">
      <xmlPr mapId="43" xpath="/ns1:Root/ns1:Prog/ns1:Target_P2_5" xmlDataType="double"/>
    </xmlCellPr>
  </singleXmlCell>
  <singleXmlCell id="664" r="J126" connectionId="0">
    <xmlCellPr id="1" uniqueName="1">
      <xmlPr mapId="43" xpath="/ns1:Root/ns1:Prog/ns1:Target_P3_5" xmlDataType="double"/>
    </xmlCellPr>
  </singleXmlCell>
  <singleXmlCell id="665" r="K126" connectionId="0">
    <xmlCellPr id="1" uniqueName="1">
      <xmlPr mapId="43" xpath="/ns1:Root/ns1:Prog/ns1:Target_P4_5" xmlDataType="double"/>
    </xmlCellPr>
  </singleXmlCell>
  <singleXmlCell id="666" r="L126" connectionId="0">
    <xmlCellPr id="1" uniqueName="1">
      <xmlPr mapId="43" xpath="/ns1:Root/ns1:Prog/ns1:Target_P5_5" xmlDataType="double"/>
    </xmlCellPr>
  </singleXmlCell>
  <singleXmlCell id="667" r="M126" connectionId="0">
    <xmlCellPr id="1" uniqueName="1">
      <xmlPr mapId="43" xpath="/ns1:Root/ns1:Prog/ns1:Target_P6_5" xmlDataType="double"/>
    </xmlCellPr>
  </singleXmlCell>
  <singleXmlCell id="668" r="N126" connectionId="0">
    <xmlCellPr id="1" uniqueName="1">
      <xmlPr mapId="43" xpath="/ns1:Root/ns1:Prog/ns1:Target_P7_5" xmlDataType="double"/>
    </xmlCellPr>
  </singleXmlCell>
  <singleXmlCell id="669" r="O126" connectionId="0">
    <xmlCellPr id="1" uniqueName="1">
      <xmlPr mapId="43" xpath="/ns1:Root/ns1:Prog/ns1:Target_P8_5" xmlDataType="double"/>
    </xmlCellPr>
  </singleXmlCell>
  <singleXmlCell id="670" r="P126" connectionId="0">
    <xmlCellPr id="1" uniqueName="1">
      <xmlPr mapId="43" xpath="/ns1:Root/ns1:Prog/ns1:Target_P9_5" xmlDataType="double"/>
    </xmlCellPr>
  </singleXmlCell>
  <singleXmlCell id="671" r="Q126" connectionId="0">
    <xmlCellPr id="1" uniqueName="1">
      <xmlPr mapId="43" xpath="/ns1:Root/ns1:Prog/ns1:Target_P10_5" xmlDataType="double"/>
    </xmlCellPr>
  </singleXmlCell>
  <singleXmlCell id="672" r="R126" connectionId="0">
    <xmlCellPr id="1" uniqueName="1">
      <xmlPr mapId="43" xpath="/ns1:Root/ns1:Prog/ns1:Target_P11_5" xmlDataType="double"/>
    </xmlCellPr>
  </singleXmlCell>
  <singleXmlCell id="673" r="S126" connectionId="0">
    <xmlCellPr id="1" uniqueName="1">
      <xmlPr mapId="43" xpath="/ns1:Root/ns1:Prog/ns1:Target_P12_5" xmlDataType="double"/>
    </xmlCellPr>
  </singleXmlCell>
  <singleXmlCell id="674" r="H127" connectionId="0">
    <xmlCellPr id="1" uniqueName="1">
      <xmlPr mapId="43" xpath="/ns1:Root/ns1:Prog/ns1:Achieved__P1_5" xmlDataType="double"/>
    </xmlCellPr>
  </singleXmlCell>
  <singleXmlCell id="675" r="I127" connectionId="0">
    <xmlCellPr id="1" uniqueName="1">
      <xmlPr mapId="43" xpath="/ns1:Root/ns1:Prog/ns1:Achieved__P2_5" xmlDataType="double"/>
    </xmlCellPr>
  </singleXmlCell>
  <singleXmlCell id="676" r="J127" connectionId="0">
    <xmlCellPr id="1" uniqueName="1">
      <xmlPr mapId="43" xpath="/ns1:Root/ns1:Prog/ns1:Achieved__P3_5" xmlDataType="double"/>
    </xmlCellPr>
  </singleXmlCell>
  <singleXmlCell id="677" r="K127" connectionId="0">
    <xmlCellPr id="1" uniqueName="1">
      <xmlPr mapId="43" xpath="/ns1:Root/ns1:Prog/ns1:Achieved__P4_5" xmlDataType="double"/>
    </xmlCellPr>
  </singleXmlCell>
  <singleXmlCell id="678" r="L127" connectionId="0">
    <xmlCellPr id="1" uniqueName="1">
      <xmlPr mapId="43" xpath="/ns1:Root/ns1:Prog/ns1:Achieved__P5_5" xmlDataType="string"/>
    </xmlCellPr>
  </singleXmlCell>
  <singleXmlCell id="679" r="M127" connectionId="0">
    <xmlCellPr id="1" uniqueName="1">
      <xmlPr mapId="43" xpath="/ns1:Root/ns1:Prog/ns1:Achieved__P6_5" xmlDataType="string"/>
    </xmlCellPr>
  </singleXmlCell>
  <singleXmlCell id="680" r="N127" connectionId="0">
    <xmlCellPr id="1" uniqueName="1">
      <xmlPr mapId="43" xpath="/ns1:Root/ns1:Prog/ns1:Achieved__P7_5" xmlDataType="string"/>
    </xmlCellPr>
  </singleXmlCell>
  <singleXmlCell id="681" r="O127" connectionId="0">
    <xmlCellPr id="1" uniqueName="1">
      <xmlPr mapId="43" xpath="/ns1:Root/ns1:Prog/ns1:Achieved__P8_5" xmlDataType="string"/>
    </xmlCellPr>
  </singleXmlCell>
  <singleXmlCell id="682" r="P127" connectionId="0">
    <xmlCellPr id="1" uniqueName="1">
      <xmlPr mapId="43" xpath="/ns1:Root/ns1:Prog/ns1:Achieved__P9_5" xmlDataType="string"/>
    </xmlCellPr>
  </singleXmlCell>
  <singleXmlCell id="683" r="Q127" connectionId="0">
    <xmlCellPr id="1" uniqueName="1">
      <xmlPr mapId="43" xpath="/ns1:Root/ns1:Prog/ns1:Achieved__P10_5" xmlDataType="string"/>
    </xmlCellPr>
  </singleXmlCell>
  <singleXmlCell id="684" r="R127" connectionId="0">
    <xmlCellPr id="1" uniqueName="1">
      <xmlPr mapId="43" xpath="/ns1:Root/ns1:Prog/ns1:Achieved__P11_5" xmlDataType="string"/>
    </xmlCellPr>
  </singleXmlCell>
  <singleXmlCell id="685" r="S127" connectionId="0">
    <xmlCellPr id="1" uniqueName="1">
      <xmlPr mapId="43" xpath="/ns1:Root/ns1:Prog/ns1:Achieved__P12_5" xmlDataType="string"/>
    </xmlCellPr>
  </singleXmlCell>
  <singleXmlCell id="686" r="H128" connectionId="0">
    <xmlCellPr id="1" uniqueName="1">
      <xmlPr mapId="43" xpath="/ns1:Root/ns1:Prog/ns1:Target_P1_6" xmlDataType="double"/>
    </xmlCellPr>
  </singleXmlCell>
  <singleXmlCell id="687" r="I128" connectionId="0">
    <xmlCellPr id="1" uniqueName="1">
      <xmlPr mapId="43" xpath="/ns1:Root/ns1:Prog/ns1:Target_P2_6" xmlDataType="double"/>
    </xmlCellPr>
  </singleXmlCell>
  <singleXmlCell id="688" r="J128" connectionId="0">
    <xmlCellPr id="1" uniqueName="1">
      <xmlPr mapId="43" xpath="/ns1:Root/ns1:Prog/ns1:Target_P3_6" xmlDataType="double"/>
    </xmlCellPr>
  </singleXmlCell>
  <singleXmlCell id="689" r="K128" connectionId="0">
    <xmlCellPr id="1" uniqueName="1">
      <xmlPr mapId="43" xpath="/ns1:Root/ns1:Prog/ns1:Target_P4_6" xmlDataType="double"/>
    </xmlCellPr>
  </singleXmlCell>
  <singleXmlCell id="690" r="L128" connectionId="0">
    <xmlCellPr id="1" uniqueName="1">
      <xmlPr mapId="43" xpath="/ns1:Root/ns1:Prog/ns1:Target_P5_6" xmlDataType="double"/>
    </xmlCellPr>
  </singleXmlCell>
  <singleXmlCell id="691" r="M128" connectionId="0">
    <xmlCellPr id="1" uniqueName="1">
      <xmlPr mapId="43" xpath="/ns1:Root/ns1:Prog/ns1:Target_P6_6" xmlDataType="double"/>
    </xmlCellPr>
  </singleXmlCell>
  <singleXmlCell id="692" r="N128" connectionId="0">
    <xmlCellPr id="1" uniqueName="1">
      <xmlPr mapId="43" xpath="/ns1:Root/ns1:Prog/ns1:Target_P7_6" xmlDataType="double"/>
    </xmlCellPr>
  </singleXmlCell>
  <singleXmlCell id="693" r="O128" connectionId="0">
    <xmlCellPr id="1" uniqueName="1">
      <xmlPr mapId="43" xpath="/ns1:Root/ns1:Prog/ns1:Target_P8_6" xmlDataType="double"/>
    </xmlCellPr>
  </singleXmlCell>
  <singleXmlCell id="694" r="P128" connectionId="0">
    <xmlCellPr id="1" uniqueName="1">
      <xmlPr mapId="43" xpath="/ns1:Root/ns1:Prog/ns1:Target_P9_6" xmlDataType="double"/>
    </xmlCellPr>
  </singleXmlCell>
  <singleXmlCell id="695" r="Q128" connectionId="0">
    <xmlCellPr id="1" uniqueName="1">
      <xmlPr mapId="43" xpath="/ns1:Root/ns1:Prog/ns1:Target_P10_6" xmlDataType="double"/>
    </xmlCellPr>
  </singleXmlCell>
  <singleXmlCell id="696" r="R128" connectionId="0">
    <xmlCellPr id="1" uniqueName="1">
      <xmlPr mapId="43" xpath="/ns1:Root/ns1:Prog/ns1:Target_P11_6" xmlDataType="double"/>
    </xmlCellPr>
  </singleXmlCell>
  <singleXmlCell id="697" r="S128" connectionId="0">
    <xmlCellPr id="1" uniqueName="1">
      <xmlPr mapId="43" xpath="/ns1:Root/ns1:Prog/ns1:Target_P12_6" xmlDataType="double"/>
    </xmlCellPr>
  </singleXmlCell>
  <singleXmlCell id="698" r="H129" connectionId="0">
    <xmlCellPr id="1" uniqueName="1">
      <xmlPr mapId="43" xpath="/ns1:Root/ns1:Prog/ns1:Achieved__P1_6" xmlDataType="double"/>
    </xmlCellPr>
  </singleXmlCell>
  <singleXmlCell id="699" r="I129" connectionId="0">
    <xmlCellPr id="1" uniqueName="1">
      <xmlPr mapId="43" xpath="/ns1:Root/ns1:Prog/ns1:Achieved__P2_6" xmlDataType="double"/>
    </xmlCellPr>
  </singleXmlCell>
  <singleXmlCell id="700" r="J129" connectionId="0">
    <xmlCellPr id="1" uniqueName="1">
      <xmlPr mapId="43" xpath="/ns1:Root/ns1:Prog/ns1:Achieved__P3_6" xmlDataType="double"/>
    </xmlCellPr>
  </singleXmlCell>
  <singleXmlCell id="701" r="K129" connectionId="0">
    <xmlCellPr id="1" uniqueName="1">
      <xmlPr mapId="43" xpath="/ns1:Root/ns1:Prog/ns1:Achieved__P4_6" xmlDataType="double"/>
    </xmlCellPr>
  </singleXmlCell>
  <singleXmlCell id="702" r="L129" connectionId="0">
    <xmlCellPr id="1" uniqueName="1">
      <xmlPr mapId="43" xpath="/ns1:Root/ns1:Prog/ns1:Achieved__P5_6" xmlDataType="string"/>
    </xmlCellPr>
  </singleXmlCell>
  <singleXmlCell id="703" r="M129" connectionId="0">
    <xmlCellPr id="1" uniqueName="1">
      <xmlPr mapId="43" xpath="/ns1:Root/ns1:Prog/ns1:Achieved__P6_6" xmlDataType="string"/>
    </xmlCellPr>
  </singleXmlCell>
  <singleXmlCell id="704" r="N129" connectionId="0">
    <xmlCellPr id="1" uniqueName="1">
      <xmlPr mapId="43" xpath="/ns1:Root/ns1:Prog/ns1:Achieved__P7_6" xmlDataType="string"/>
    </xmlCellPr>
  </singleXmlCell>
  <singleXmlCell id="705" r="O129" connectionId="0">
    <xmlCellPr id="1" uniqueName="1">
      <xmlPr mapId="43" xpath="/ns1:Root/ns1:Prog/ns1:Achieved__P8_6" xmlDataType="string"/>
    </xmlCellPr>
  </singleXmlCell>
  <singleXmlCell id="706" r="P129" connectionId="0">
    <xmlCellPr id="1" uniqueName="1">
      <xmlPr mapId="43" xpath="/ns1:Root/ns1:Prog/ns1:Achieved__P9_6" xmlDataType="string"/>
    </xmlCellPr>
  </singleXmlCell>
  <singleXmlCell id="707" r="Q129" connectionId="0">
    <xmlCellPr id="1" uniqueName="1">
      <xmlPr mapId="43" xpath="/ns1:Root/ns1:Prog/ns1:Achieved__P10_6" xmlDataType="string"/>
    </xmlCellPr>
  </singleXmlCell>
  <singleXmlCell id="708" r="R129" connectionId="0">
    <xmlCellPr id="1" uniqueName="1">
      <xmlPr mapId="43" xpath="/ns1:Root/ns1:Prog/ns1:Achieved__P11_6" xmlDataType="string"/>
    </xmlCellPr>
  </singleXmlCell>
  <singleXmlCell id="709" r="S129" connectionId="0">
    <xmlCellPr id="1" uniqueName="1">
      <xmlPr mapId="43" xpath="/ns1:Root/ns1:Prog/ns1:Achieved__P12_6" xmlDataType="string"/>
    </xmlCellPr>
  </singleXmlCell>
  <singleXmlCell id="710" r="H130" connectionId="0">
    <xmlCellPr id="1" uniqueName="1">
      <xmlPr mapId="43" xpath="/ns1:Root/ns1:Prog/ns1:Target_P1_7" xmlDataType="double"/>
    </xmlCellPr>
  </singleXmlCell>
  <singleXmlCell id="711" r="I130" connectionId="0">
    <xmlCellPr id="1" uniqueName="1">
      <xmlPr mapId="43" xpath="/ns1:Root/ns1:Prog/ns1:Target_P2_7" xmlDataType="double"/>
    </xmlCellPr>
  </singleXmlCell>
  <singleXmlCell id="712" r="J130" connectionId="0">
    <xmlCellPr id="1" uniqueName="1">
      <xmlPr mapId="43" xpath="/ns1:Root/ns1:Prog/ns1:Target_P3_7" xmlDataType="double"/>
    </xmlCellPr>
  </singleXmlCell>
  <singleXmlCell id="713" r="K130" connectionId="0">
    <xmlCellPr id="1" uniqueName="1">
      <xmlPr mapId="43" xpath="/ns1:Root/ns1:Prog/ns1:Target_P4_7" xmlDataType="double"/>
    </xmlCellPr>
  </singleXmlCell>
  <singleXmlCell id="714" r="L130" connectionId="0">
    <xmlCellPr id="1" uniqueName="1">
      <xmlPr mapId="43" xpath="/ns1:Root/ns1:Prog/ns1:Target_P5_7" xmlDataType="double"/>
    </xmlCellPr>
  </singleXmlCell>
  <singleXmlCell id="715" r="M130" connectionId="0">
    <xmlCellPr id="1" uniqueName="1">
      <xmlPr mapId="43" xpath="/ns1:Root/ns1:Prog/ns1:Target_P6_7" xmlDataType="double"/>
    </xmlCellPr>
  </singleXmlCell>
  <singleXmlCell id="716" r="N130" connectionId="0">
    <xmlCellPr id="1" uniqueName="1">
      <xmlPr mapId="43" xpath="/ns1:Root/ns1:Prog/ns1:Target_P7_7" xmlDataType="double"/>
    </xmlCellPr>
  </singleXmlCell>
  <singleXmlCell id="717" r="O130" connectionId="0">
    <xmlCellPr id="1" uniqueName="1">
      <xmlPr mapId="43" xpath="/ns1:Root/ns1:Prog/ns1:Target_P8_7" xmlDataType="double"/>
    </xmlCellPr>
  </singleXmlCell>
  <singleXmlCell id="718" r="P130" connectionId="0">
    <xmlCellPr id="1" uniqueName="1">
      <xmlPr mapId="43" xpath="/ns1:Root/ns1:Prog/ns1:Target_P9_7" xmlDataType="double"/>
    </xmlCellPr>
  </singleXmlCell>
  <singleXmlCell id="719" r="Q130" connectionId="0">
    <xmlCellPr id="1" uniqueName="1">
      <xmlPr mapId="43" xpath="/ns1:Root/ns1:Prog/ns1:Target_P10_7" xmlDataType="double"/>
    </xmlCellPr>
  </singleXmlCell>
  <singleXmlCell id="720" r="R130" connectionId="0">
    <xmlCellPr id="1" uniqueName="1">
      <xmlPr mapId="43" xpath="/ns1:Root/ns1:Prog/ns1:Target_P11_7" xmlDataType="double"/>
    </xmlCellPr>
  </singleXmlCell>
  <singleXmlCell id="721" r="S130" connectionId="0">
    <xmlCellPr id="1" uniqueName="1">
      <xmlPr mapId="43" xpath="/ns1:Root/ns1:Prog/ns1:Target_P12_7" xmlDataType="double"/>
    </xmlCellPr>
  </singleXmlCell>
  <singleXmlCell id="722" r="H131" connectionId="0">
    <xmlCellPr id="1" uniqueName="1">
      <xmlPr mapId="43" xpath="/ns1:Root/ns1:Prog/ns1:Achieved__P1_7" xmlDataType="double"/>
    </xmlCellPr>
  </singleXmlCell>
  <singleXmlCell id="723" r="I131" connectionId="0">
    <xmlCellPr id="1" uniqueName="1">
      <xmlPr mapId="43" xpath="/ns1:Root/ns1:Prog/ns1:Achieved__P2_7" xmlDataType="double"/>
    </xmlCellPr>
  </singleXmlCell>
  <singleXmlCell id="724" r="J131" connectionId="0">
    <xmlCellPr id="1" uniqueName="1">
      <xmlPr mapId="43" xpath="/ns1:Root/ns1:Prog/ns1:Achieved__P3_7" xmlDataType="double"/>
    </xmlCellPr>
  </singleXmlCell>
  <singleXmlCell id="725" r="K131" connectionId="0">
    <xmlCellPr id="1" uniqueName="1">
      <xmlPr mapId="43" xpath="/ns1:Root/ns1:Prog/ns1:Achieved__P4_7" xmlDataType="double"/>
    </xmlCellPr>
  </singleXmlCell>
  <singleXmlCell id="726" r="L131" connectionId="0">
    <xmlCellPr id="1" uniqueName="1">
      <xmlPr mapId="43" xpath="/ns1:Root/ns1:Prog/ns1:Achieved__P5_7" xmlDataType="string"/>
    </xmlCellPr>
  </singleXmlCell>
  <singleXmlCell id="727" r="M131" connectionId="0">
    <xmlCellPr id="1" uniqueName="1">
      <xmlPr mapId="43" xpath="/ns1:Root/ns1:Prog/ns1:Achieved__P6_7" xmlDataType="string"/>
    </xmlCellPr>
  </singleXmlCell>
  <singleXmlCell id="728" r="N131" connectionId="0">
    <xmlCellPr id="1" uniqueName="1">
      <xmlPr mapId="43" xpath="/ns1:Root/ns1:Prog/ns1:Achieved__P7_7" xmlDataType="string"/>
    </xmlCellPr>
  </singleXmlCell>
  <singleXmlCell id="729" r="O131" connectionId="0">
    <xmlCellPr id="1" uniqueName="1">
      <xmlPr mapId="43" xpath="/ns1:Root/ns1:Prog/ns1:Achieved__P8_7" xmlDataType="string"/>
    </xmlCellPr>
  </singleXmlCell>
  <singleXmlCell id="730" r="P131" connectionId="0">
    <xmlCellPr id="1" uniqueName="1">
      <xmlPr mapId="43" xpath="/ns1:Root/ns1:Prog/ns1:Achieved__P9_7" xmlDataType="string"/>
    </xmlCellPr>
  </singleXmlCell>
  <singleXmlCell id="731" r="Q131" connectionId="0">
    <xmlCellPr id="1" uniqueName="1">
      <xmlPr mapId="43" xpath="/ns1:Root/ns1:Prog/ns1:Achieved__P10_7" xmlDataType="string"/>
    </xmlCellPr>
  </singleXmlCell>
  <singleXmlCell id="732" r="R131" connectionId="0">
    <xmlCellPr id="1" uniqueName="1">
      <xmlPr mapId="43" xpath="/ns1:Root/ns1:Prog/ns1:Achieved__P11_7" xmlDataType="string"/>
    </xmlCellPr>
  </singleXmlCell>
  <singleXmlCell id="733" r="S131" connectionId="0">
    <xmlCellPr id="1" uniqueName="1">
      <xmlPr mapId="43" xpath="/ns1:Root/ns1:Prog/ns1:Achieved__P12_7" xmlDataType="string"/>
    </xmlCellPr>
  </singleXmlCell>
  <singleXmlCell id="734" r="H132" connectionId="0">
    <xmlCellPr id="1" uniqueName="1">
      <xmlPr mapId="43" xpath="/ns1:Root/ns1:Prog/ns1:Target_P1_8" xmlDataType="string"/>
    </xmlCellPr>
  </singleXmlCell>
  <singleXmlCell id="735" r="I132" connectionId="0">
    <xmlCellPr id="1" uniqueName="1">
      <xmlPr mapId="43" xpath="/ns1:Root/ns1:Prog/ns1:Target_P2_8" xmlDataType="double"/>
    </xmlCellPr>
  </singleXmlCell>
  <singleXmlCell id="736" r="J132" connectionId="0">
    <xmlCellPr id="1" uniqueName="1">
      <xmlPr mapId="43" xpath="/ns1:Root/ns1:Prog/ns1:Target_P3_8" xmlDataType="string"/>
    </xmlCellPr>
  </singleXmlCell>
  <singleXmlCell id="737" r="K132" connectionId="0">
    <xmlCellPr id="1" uniqueName="1">
      <xmlPr mapId="43" xpath="/ns1:Root/ns1:Prog/ns1:Target_P4_8" xmlDataType="double"/>
    </xmlCellPr>
  </singleXmlCell>
  <singleXmlCell id="738" r="L132" connectionId="0">
    <xmlCellPr id="1" uniqueName="1">
      <xmlPr mapId="43" xpath="/ns1:Root/ns1:Prog/ns1:Target_P5_8" xmlDataType="string"/>
    </xmlCellPr>
  </singleXmlCell>
  <singleXmlCell id="739" r="M132" connectionId="0">
    <xmlCellPr id="1" uniqueName="1">
      <xmlPr mapId="43" xpath="/ns1:Root/ns1:Prog/ns1:Target_P6_8" xmlDataType="double"/>
    </xmlCellPr>
  </singleXmlCell>
  <singleXmlCell id="740" r="N132" connectionId="0">
    <xmlCellPr id="1" uniqueName="1">
      <xmlPr mapId="43" xpath="/ns1:Root/ns1:Prog/ns1:Target_P7_8" xmlDataType="string"/>
    </xmlCellPr>
  </singleXmlCell>
  <singleXmlCell id="741" r="O132" connectionId="0">
    <xmlCellPr id="1" uniqueName="1">
      <xmlPr mapId="43" xpath="/ns1:Root/ns1:Prog/ns1:Target_P8_8" xmlDataType="double"/>
    </xmlCellPr>
  </singleXmlCell>
  <singleXmlCell id="742" r="P132" connectionId="0">
    <xmlCellPr id="1" uniqueName="1">
      <xmlPr mapId="43" xpath="/ns1:Root/ns1:Prog/ns1:Target_P9_8" xmlDataType="double"/>
    </xmlCellPr>
  </singleXmlCell>
  <singleXmlCell id="743" r="Q132" connectionId="0">
    <xmlCellPr id="1" uniqueName="1">
      <xmlPr mapId="43" xpath="/ns1:Root/ns1:Prog/ns1:Target_P10_8" xmlDataType="double"/>
    </xmlCellPr>
  </singleXmlCell>
  <singleXmlCell id="744" r="R132" connectionId="0">
    <xmlCellPr id="1" uniqueName="1">
      <xmlPr mapId="43" xpath="/ns1:Root/ns1:Prog/ns1:Target_P11_8" xmlDataType="double"/>
    </xmlCellPr>
  </singleXmlCell>
  <singleXmlCell id="745" r="S132" connectionId="0">
    <xmlCellPr id="1" uniqueName="1">
      <xmlPr mapId="43" xpath="/ns1:Root/ns1:Prog/ns1:Target_P12_8" xmlDataType="double"/>
    </xmlCellPr>
  </singleXmlCell>
  <singleXmlCell id="746" r="H133" connectionId="0">
    <xmlCellPr id="1" uniqueName="1">
      <xmlPr mapId="43" xpath="/ns1:Root/ns1:Prog/ns1:Achieved__P1_8" xmlDataType="string"/>
    </xmlCellPr>
  </singleXmlCell>
  <singleXmlCell id="747" r="I133" connectionId="0">
    <xmlCellPr id="1" uniqueName="1">
      <xmlPr mapId="43" xpath="/ns1:Root/ns1:Prog/ns1:Achieved__P2_8" xmlDataType="string"/>
    </xmlCellPr>
  </singleXmlCell>
  <singleXmlCell id="748" r="J133" connectionId="0">
    <xmlCellPr id="1" uniqueName="1">
      <xmlPr mapId="43" xpath="/ns1:Root/ns1:Prog/ns1:Achieved__P3_8" xmlDataType="string"/>
    </xmlCellPr>
  </singleXmlCell>
  <singleXmlCell id="749" r="K133" connectionId="0">
    <xmlCellPr id="1" uniqueName="1">
      <xmlPr mapId="43" xpath="/ns1:Root/ns1:Prog/ns1:Achieved__P4_8" xmlDataType="string"/>
    </xmlCellPr>
  </singleXmlCell>
  <singleXmlCell id="750" r="L133" connectionId="0">
    <xmlCellPr id="1" uniqueName="1">
      <xmlPr mapId="43" xpath="/ns1:Root/ns1:Prog/ns1:Achieved__P5_8" xmlDataType="string"/>
    </xmlCellPr>
  </singleXmlCell>
  <singleXmlCell id="751" r="M133" connectionId="0">
    <xmlCellPr id="1" uniqueName="1">
      <xmlPr mapId="43" xpath="/ns1:Root/ns1:Prog/ns1:Achieved__P6_8" xmlDataType="string"/>
    </xmlCellPr>
  </singleXmlCell>
  <singleXmlCell id="752" r="N133" connectionId="0">
    <xmlCellPr id="1" uniqueName="1">
      <xmlPr mapId="43" xpath="/ns1:Root/ns1:Prog/ns1:Achieved__P7_8" xmlDataType="string"/>
    </xmlCellPr>
  </singleXmlCell>
  <singleXmlCell id="753" r="O133" connectionId="0">
    <xmlCellPr id="1" uniqueName="1">
      <xmlPr mapId="43" xpath="/ns1:Root/ns1:Prog/ns1:Achieved__P8_8" xmlDataType="string"/>
    </xmlCellPr>
  </singleXmlCell>
  <singleXmlCell id="754" r="P133" connectionId="0">
    <xmlCellPr id="1" uniqueName="1">
      <xmlPr mapId="43" xpath="/ns1:Root/ns1:Prog/ns1:Achieved__P9_8" xmlDataType="string"/>
    </xmlCellPr>
  </singleXmlCell>
  <singleXmlCell id="755" r="Q133" connectionId="0">
    <xmlCellPr id="1" uniqueName="1">
      <xmlPr mapId="43" xpath="/ns1:Root/ns1:Prog/ns1:Achieved__P10_8" xmlDataType="string"/>
    </xmlCellPr>
  </singleXmlCell>
  <singleXmlCell id="756" r="R133" connectionId="0">
    <xmlCellPr id="1" uniqueName="1">
      <xmlPr mapId="43" xpath="/ns1:Root/ns1:Prog/ns1:Achieved__P11_8" xmlDataType="string"/>
    </xmlCellPr>
  </singleXmlCell>
  <singleXmlCell id="757" r="S133" connectionId="0">
    <xmlCellPr id="1" uniqueName="1">
      <xmlPr mapId="43" xpath="/ns1:Root/ns1:Prog/ns1:Achieved__P12_8" xmlDataType="string"/>
    </xmlCellPr>
  </singleXmlCell>
  <singleXmlCell id="758" r="H134" connectionId="0">
    <xmlCellPr id="1" uniqueName="1">
      <xmlPr mapId="43" xpath="/ns1:Root/ns1:Prog/ns1:Target_P1_9" xmlDataType="double"/>
    </xmlCellPr>
  </singleXmlCell>
  <singleXmlCell id="759" r="I134" connectionId="0">
    <xmlCellPr id="1" uniqueName="1">
      <xmlPr mapId="43" xpath="/ns1:Root/ns1:Prog/ns1:Target_P2_9" xmlDataType="double"/>
    </xmlCellPr>
  </singleXmlCell>
  <singleXmlCell id="760" r="J134" connectionId="0">
    <xmlCellPr id="1" uniqueName="1">
      <xmlPr mapId="43" xpath="/ns1:Root/ns1:Prog/ns1:Target_P3_9" xmlDataType="double"/>
    </xmlCellPr>
  </singleXmlCell>
  <singleXmlCell id="761" r="K134" connectionId="0">
    <xmlCellPr id="1" uniqueName="1">
      <xmlPr mapId="43" xpath="/ns1:Root/ns1:Prog/ns1:Target_P4_9" xmlDataType="double"/>
    </xmlCellPr>
  </singleXmlCell>
  <singleXmlCell id="762" r="L134" connectionId="0">
    <xmlCellPr id="1" uniqueName="1">
      <xmlPr mapId="43" xpath="/ns1:Root/ns1:Prog/ns1:Target_P5_9" xmlDataType="double"/>
    </xmlCellPr>
  </singleXmlCell>
  <singleXmlCell id="763" r="M134" connectionId="0">
    <xmlCellPr id="1" uniqueName="1">
      <xmlPr mapId="43" xpath="/ns1:Root/ns1:Prog/ns1:Target_P6_9" xmlDataType="double"/>
    </xmlCellPr>
  </singleXmlCell>
  <singleXmlCell id="764" r="N134" connectionId="0">
    <xmlCellPr id="1" uniqueName="1">
      <xmlPr mapId="43" xpath="/ns1:Root/ns1:Prog/ns1:Target_P7_9" xmlDataType="double"/>
    </xmlCellPr>
  </singleXmlCell>
  <singleXmlCell id="765" r="O134" connectionId="0">
    <xmlCellPr id="1" uniqueName="1">
      <xmlPr mapId="43" xpath="/ns1:Root/ns1:Prog/ns1:Target_P8_9" xmlDataType="double"/>
    </xmlCellPr>
  </singleXmlCell>
  <singleXmlCell id="766" r="P134" connectionId="0">
    <xmlCellPr id="1" uniqueName="1">
      <xmlPr mapId="43" xpath="/ns1:Root/ns1:Prog/ns1:Target_P9_9" xmlDataType="double"/>
    </xmlCellPr>
  </singleXmlCell>
  <singleXmlCell id="767" r="Q134" connectionId="0">
    <xmlCellPr id="1" uniqueName="1">
      <xmlPr mapId="43" xpath="/ns1:Root/ns1:Prog/ns1:Target_P10_9" xmlDataType="double"/>
    </xmlCellPr>
  </singleXmlCell>
  <singleXmlCell id="768" r="R134" connectionId="0">
    <xmlCellPr id="1" uniqueName="1">
      <xmlPr mapId="43" xpath="/ns1:Root/ns1:Prog/ns1:Target_P11_9" xmlDataType="double"/>
    </xmlCellPr>
  </singleXmlCell>
  <singleXmlCell id="769" r="S134" connectionId="0">
    <xmlCellPr id="1" uniqueName="1">
      <xmlPr mapId="43" xpath="/ns1:Root/ns1:Prog/ns1:Target_P12_9" xmlDataType="double"/>
    </xmlCellPr>
  </singleXmlCell>
  <singleXmlCell id="770" r="H135" connectionId="0">
    <xmlCellPr id="1" uniqueName="1">
      <xmlPr mapId="43" xpath="/ns1:Root/ns1:Prog/ns1:Achieved__P1_9" xmlDataType="string"/>
    </xmlCellPr>
  </singleXmlCell>
  <singleXmlCell id="771" r="I135" connectionId="0">
    <xmlCellPr id="1" uniqueName="1">
      <xmlPr mapId="43" xpath="/ns1:Root/ns1:Prog/ns1:Achieved__P2_9" xmlDataType="double"/>
    </xmlCellPr>
  </singleXmlCell>
  <singleXmlCell id="772" r="J135" connectionId="0">
    <xmlCellPr id="1" uniqueName="1">
      <xmlPr mapId="43" xpath="/ns1:Root/ns1:Prog/ns1:Achieved__P3_9" xmlDataType="string"/>
    </xmlCellPr>
  </singleXmlCell>
  <singleXmlCell id="773" r="K135" connectionId="0">
    <xmlCellPr id="1" uniqueName="1">
      <xmlPr mapId="43" xpath="/ns1:Root/ns1:Prog/ns1:Achieved__P4_9" xmlDataType="double"/>
    </xmlCellPr>
  </singleXmlCell>
  <singleXmlCell id="774" r="L135" connectionId="0">
    <xmlCellPr id="1" uniqueName="1">
      <xmlPr mapId="43" xpath="/ns1:Root/ns1:Prog/ns1:Achieved__P5_9" xmlDataType="string"/>
    </xmlCellPr>
  </singleXmlCell>
  <singleXmlCell id="775" r="M135" connectionId="0">
    <xmlCellPr id="1" uniqueName="1">
      <xmlPr mapId="43" xpath="/ns1:Root/ns1:Prog/ns1:Achieved__P6_9" xmlDataType="string"/>
    </xmlCellPr>
  </singleXmlCell>
  <singleXmlCell id="776" r="N135" connectionId="0">
    <xmlCellPr id="1" uniqueName="1">
      <xmlPr mapId="43" xpath="/ns1:Root/ns1:Prog/ns1:Achieved__P7_9" xmlDataType="string"/>
    </xmlCellPr>
  </singleXmlCell>
  <singleXmlCell id="777" r="O135" connectionId="0">
    <xmlCellPr id="1" uniqueName="1">
      <xmlPr mapId="43" xpath="/ns1:Root/ns1:Prog/ns1:Achieved__P8_9" xmlDataType="string"/>
    </xmlCellPr>
  </singleXmlCell>
  <singleXmlCell id="778" r="P135" connectionId="0">
    <xmlCellPr id="1" uniqueName="1">
      <xmlPr mapId="43" xpath="/ns1:Root/ns1:Prog/ns1:Achieved__P9_9" xmlDataType="string"/>
    </xmlCellPr>
  </singleXmlCell>
  <singleXmlCell id="779" r="Q135" connectionId="0">
    <xmlCellPr id="1" uniqueName="1">
      <xmlPr mapId="43" xpath="/ns1:Root/ns1:Prog/ns1:Achieved__P10_9" xmlDataType="string"/>
    </xmlCellPr>
  </singleXmlCell>
  <singleXmlCell id="780" r="R135" connectionId="0">
    <xmlCellPr id="1" uniqueName="1">
      <xmlPr mapId="43" xpath="/ns1:Root/ns1:Prog/ns1:Achieved__P11_9" xmlDataType="string"/>
    </xmlCellPr>
  </singleXmlCell>
  <singleXmlCell id="781" r="S135" connectionId="0">
    <xmlCellPr id="1" uniqueName="1">
      <xmlPr mapId="43" xpath="/ns1:Root/ns1:Prog/ns1:Achieved__P12_9" xmlDataType="string"/>
    </xmlCellPr>
  </singleXmlCell>
  <singleXmlCell id="782" r="H136" connectionId="0">
    <xmlCellPr id="1" uniqueName="1">
      <xmlPr mapId="43" xpath="/ns1:Root/ns1:Prog/ns1:Target_P1" xmlDataType="string"/>
    </xmlCellPr>
  </singleXmlCell>
  <singleXmlCell id="783" r="I136" connectionId="0">
    <xmlCellPr id="1" uniqueName="1">
      <xmlPr mapId="43" xpath="/ns1:Root/ns1:Prog/ns1:Target_P2" xmlDataType="string"/>
    </xmlCellPr>
  </singleXmlCell>
  <singleXmlCell id="784" r="J136" connectionId="0">
    <xmlCellPr id="1" uniqueName="1">
      <xmlPr mapId="43" xpath="/ns1:Root/ns1:Prog/ns1:Target_P3" xmlDataType="string"/>
    </xmlCellPr>
  </singleXmlCell>
  <singleXmlCell id="785" r="K136" connectionId="0">
    <xmlCellPr id="1" uniqueName="1">
      <xmlPr mapId="43" xpath="/ns1:Root/ns1:Prog/ns1:Target_P4" xmlDataType="double"/>
    </xmlCellPr>
  </singleXmlCell>
  <singleXmlCell id="786" r="L136" connectionId="0">
    <xmlCellPr id="1" uniqueName="1">
      <xmlPr mapId="43" xpath="/ns1:Root/ns1:Prog/ns1:Target_P5" xmlDataType="string"/>
    </xmlCellPr>
  </singleXmlCell>
  <singleXmlCell id="787" r="M136" connectionId="0">
    <xmlCellPr id="1" uniqueName="1">
      <xmlPr mapId="43" xpath="/ns1:Root/ns1:Prog/ns1:Target_P6" xmlDataType="string"/>
    </xmlCellPr>
  </singleXmlCell>
  <singleXmlCell id="788" r="N136" connectionId="0">
    <xmlCellPr id="1" uniqueName="1">
      <xmlPr mapId="43" xpath="/ns1:Root/ns1:Prog/ns1:Target_P7" xmlDataType="string"/>
    </xmlCellPr>
  </singleXmlCell>
  <singleXmlCell id="789" r="O136" connectionId="0">
    <xmlCellPr id="1" uniqueName="1">
      <xmlPr mapId="43" xpath="/ns1:Root/ns1:Prog/ns1:Target_P8" xmlDataType="string"/>
    </xmlCellPr>
  </singleXmlCell>
  <singleXmlCell id="790" r="P136" connectionId="0">
    <xmlCellPr id="1" uniqueName="1">
      <xmlPr mapId="43" xpath="/ns1:Root/ns1:Prog/ns1:Target_P9" xmlDataType="string"/>
    </xmlCellPr>
  </singleXmlCell>
  <singleXmlCell id="791" r="Q136" connectionId="0">
    <xmlCellPr id="1" uniqueName="1">
      <xmlPr mapId="43" xpath="/ns1:Root/ns1:Prog/ns1:Target_P10" xmlDataType="string"/>
    </xmlCellPr>
  </singleXmlCell>
  <singleXmlCell id="792" r="R136" connectionId="0">
    <xmlCellPr id="1" uniqueName="1">
      <xmlPr mapId="43" xpath="/ns1:Root/ns1:Prog/ns1:Target_P11" xmlDataType="string"/>
    </xmlCellPr>
  </singleXmlCell>
  <singleXmlCell id="793" r="S136" connectionId="0">
    <xmlCellPr id="1" uniqueName="1">
      <xmlPr mapId="43" xpath="/ns1:Root/ns1:Prog/ns1:Target_P12" xmlDataType="string"/>
    </xmlCellPr>
  </singleXmlCell>
  <singleXmlCell id="794" r="H137" connectionId="0">
    <xmlCellPr id="1" uniqueName="1">
      <xmlPr mapId="43" xpath="/ns1:Root/ns1:Prog/ns1:Achieved__P1" xmlDataType="string"/>
    </xmlCellPr>
  </singleXmlCell>
  <singleXmlCell id="795" r="I137" connectionId="0">
    <xmlCellPr id="1" uniqueName="1">
      <xmlPr mapId="43" xpath="/ns1:Root/ns1:Prog/ns1:Achieved__P2" xmlDataType="string"/>
    </xmlCellPr>
  </singleXmlCell>
  <singleXmlCell id="796" r="J137" connectionId="0">
    <xmlCellPr id="1" uniqueName="1">
      <xmlPr mapId="43" xpath="/ns1:Root/ns1:Prog/ns1:Achieved__P3" xmlDataType="string"/>
    </xmlCellPr>
  </singleXmlCell>
  <singleXmlCell id="797" r="K137" connectionId="0">
    <xmlCellPr id="1" uniqueName="1">
      <xmlPr mapId="43" xpath="/ns1:Root/ns1:Prog/ns1:Achieved__P4" xmlDataType="string"/>
    </xmlCellPr>
  </singleXmlCell>
  <singleXmlCell id="798" r="L137" connectionId="0">
    <xmlCellPr id="1" uniqueName="1">
      <xmlPr mapId="43" xpath="/ns1:Root/ns1:Prog/ns1:Achieved__P5" xmlDataType="string"/>
    </xmlCellPr>
  </singleXmlCell>
  <singleXmlCell id="799" r="M137" connectionId="0">
    <xmlCellPr id="1" uniqueName="1">
      <xmlPr mapId="43" xpath="/ns1:Root/ns1:Prog/ns1:Achieved__P6" xmlDataType="string"/>
    </xmlCellPr>
  </singleXmlCell>
  <singleXmlCell id="800" r="N137" connectionId="0">
    <xmlCellPr id="1" uniqueName="1">
      <xmlPr mapId="43" xpath="/ns1:Root/ns1:Prog/ns1:Achieved__P7" xmlDataType="string"/>
    </xmlCellPr>
  </singleXmlCell>
  <singleXmlCell id="801" r="O137" connectionId="0">
    <xmlCellPr id="1" uniqueName="1">
      <xmlPr mapId="43" xpath="/ns1:Root/ns1:Prog/ns1:Achieved__P8" xmlDataType="string"/>
    </xmlCellPr>
  </singleXmlCell>
  <singleXmlCell id="802" r="P137" connectionId="0">
    <xmlCellPr id="1" uniqueName="1">
      <xmlPr mapId="43" xpath="/ns1:Root/ns1:Prog/ns1:Achieved__P9" xmlDataType="string"/>
    </xmlCellPr>
  </singleXmlCell>
  <singleXmlCell id="803" r="Q137" connectionId="0">
    <xmlCellPr id="1" uniqueName="1">
      <xmlPr mapId="43" xpath="/ns1:Root/ns1:Prog/ns1:Achieved__P10" xmlDataType="string"/>
    </xmlCellPr>
  </singleXmlCell>
  <singleXmlCell id="804" r="R137" connectionId="0">
    <xmlCellPr id="1" uniqueName="1">
      <xmlPr mapId="43" xpath="/ns1:Root/ns1:Prog/ns1:Achieved__P11" xmlDataType="string"/>
    </xmlCellPr>
  </singleXmlCell>
  <singleXmlCell id="805" r="S137" connectionId="0">
    <xmlCellPr id="1" uniqueName="1">
      <xmlPr mapId="43" xpath="/ns1:Root/ns1:Prog/ns1:Achieved__P12" xmlDataType="string"/>
    </xmlCellPr>
  </singleXmlCell>
  <singleXmlCell id="806" r="K120" connectionId="0">
    <xmlCellPr id="1" uniqueName="1">
      <xmlPr mapId="43" xpath="/ns1:Root/ns1:Prog/ns1:Target_P4_2" xmlDataType="double"/>
    </xmlCellPr>
  </singleXmlCell>
  <singleXmlCell id="807" r="B118" connectionId="0">
    <xmlCellPr id="1" uniqueName="1">
      <xmlPr mapId="43" xpath="/ns1:Root/ns1:P1" xmlDataType="string"/>
    </xmlCellPr>
  </singleXmlCell>
  <singleXmlCell id="808" r="E118" connectionId="0">
    <xmlCellPr id="1" uniqueName="1">
      <xmlPr mapId="43" xpath="/ns1:Root/ns1:P1_Code" xmlDataType="double"/>
    </xmlCellPr>
  </singleXmlCell>
  <singleXmlCell id="809" r="F118" connectionId="0">
    <xmlCellPr id="1" uniqueName="1">
      <xmlPr mapId="43" xpath="/ns1:Root/ns1:P1_Tied" xmlDataType="string"/>
    </xmlCellPr>
  </singleXmlCell>
  <singleXmlCell id="810" r="B120" connectionId="0">
    <xmlCellPr id="1" uniqueName="1">
      <xmlPr mapId="43" xpath="/ns1:Root/ns1:P2" xmlDataType="string"/>
    </xmlCellPr>
  </singleXmlCell>
  <singleXmlCell id="811" r="E120" connectionId="0">
    <xmlCellPr id="1" uniqueName="1">
      <xmlPr mapId="43" xpath="/ns1:Root/ns1:P2_Code" xmlDataType="double"/>
    </xmlCellPr>
  </singleXmlCell>
  <singleXmlCell id="812" r="F120" connectionId="0">
    <xmlCellPr id="1" uniqueName="1">
      <xmlPr mapId="43" xpath="/ns1:Root/ns1:P2_Tied" xmlDataType="string"/>
    </xmlCellPr>
  </singleXmlCell>
  <singleXmlCell id="813" r="B122" connectionId="0">
    <xmlCellPr id="1" uniqueName="1">
      <xmlPr mapId="43" xpath="/ns1:Root/ns1:P3" xmlDataType="string"/>
    </xmlCellPr>
  </singleXmlCell>
  <singleXmlCell id="814" r="E122" connectionId="0">
    <xmlCellPr id="1" uniqueName="1">
      <xmlPr mapId="43" xpath="/ns1:Root/ns1:P3_Code" xmlDataType="double"/>
    </xmlCellPr>
  </singleXmlCell>
  <singleXmlCell id="815" r="F122" connectionId="0">
    <xmlCellPr id="1" uniqueName="1">
      <xmlPr mapId="43" xpath="/ns1:Root/ns1:P3_Tied" xmlDataType="string"/>
    </xmlCellPr>
  </singleXmlCell>
  <singleXmlCell id="816" r="B124" connectionId="0">
    <xmlCellPr id="1" uniqueName="1">
      <xmlPr mapId="43" xpath="/ns1:Root/ns1:P4" xmlDataType="string"/>
    </xmlCellPr>
  </singleXmlCell>
  <singleXmlCell id="817" r="E124" connectionId="0">
    <xmlCellPr id="1" uniqueName="1">
      <xmlPr mapId="43" xpath="/ns1:Root/ns1:P4_Code" xmlDataType="double"/>
    </xmlCellPr>
  </singleXmlCell>
  <singleXmlCell id="818" r="F124" connectionId="0">
    <xmlCellPr id="1" uniqueName="1">
      <xmlPr mapId="43" xpath="/ns1:Root/ns1:P4_Tied" xmlDataType="string"/>
    </xmlCellPr>
  </singleXmlCell>
  <singleXmlCell id="819" r="B126" connectionId="0">
    <xmlCellPr id="1" uniqueName="1">
      <xmlPr mapId="43" xpath="/ns1:Root/ns1:P5" xmlDataType="string"/>
    </xmlCellPr>
  </singleXmlCell>
  <singleXmlCell id="820" r="E126" connectionId="0">
    <xmlCellPr id="1" uniqueName="1">
      <xmlPr mapId="43" xpath="/ns1:Root/ns1:P5_Code" xmlDataType="double"/>
    </xmlCellPr>
  </singleXmlCell>
  <singleXmlCell id="821" r="F126" connectionId="0">
    <xmlCellPr id="1" uniqueName="1">
      <xmlPr mapId="43" xpath="/ns1:Root/ns1:P5_Tied" xmlDataType="string"/>
    </xmlCellPr>
  </singleXmlCell>
  <singleXmlCell id="822" r="B128" connectionId="0">
    <xmlCellPr id="1" uniqueName="1">
      <xmlPr mapId="43" xpath="/ns1:Root/ns1:P6" xmlDataType="string"/>
    </xmlCellPr>
  </singleXmlCell>
  <singleXmlCell id="823" r="E128" connectionId="0">
    <xmlCellPr id="1" uniqueName="1">
      <xmlPr mapId="43" xpath="/ns1:Root/ns1:P6_Code" xmlDataType="double"/>
    </xmlCellPr>
  </singleXmlCell>
  <singleXmlCell id="824" r="F128" connectionId="0">
    <xmlCellPr id="1" uniqueName="1">
      <xmlPr mapId="43" xpath="/ns1:Root/ns1:P6_Tied" xmlDataType="string"/>
    </xmlCellPr>
  </singleXmlCell>
  <singleXmlCell id="825" r="B130" connectionId="0">
    <xmlCellPr id="1" uniqueName="1">
      <xmlPr mapId="43" xpath="/ns1:Root/ns1:P7" xmlDataType="string"/>
    </xmlCellPr>
  </singleXmlCell>
  <singleXmlCell id="826" r="E130" connectionId="0">
    <xmlCellPr id="1" uniqueName="1">
      <xmlPr mapId="43" xpath="/ns1:Root/ns1:P7_Code" xmlDataType="double"/>
    </xmlCellPr>
  </singleXmlCell>
  <singleXmlCell id="827" r="F130" connectionId="0">
    <xmlCellPr id="1" uniqueName="1">
      <xmlPr mapId="43" xpath="/ns1:Root/ns1:P7_Tied" xmlDataType="string"/>
    </xmlCellPr>
  </singleXmlCell>
  <singleXmlCell id="828" r="B132" connectionId="0">
    <xmlCellPr id="1" uniqueName="1">
      <xmlPr mapId="43" xpath="/ns1:Root/ns1:P8" xmlDataType="string"/>
    </xmlCellPr>
  </singleXmlCell>
  <singleXmlCell id="829" r="E132" connectionId="0">
    <xmlCellPr id="1" uniqueName="1">
      <xmlPr mapId="43" xpath="/ns1:Root/ns1:P8_Code" xmlDataType="double"/>
    </xmlCellPr>
  </singleXmlCell>
  <singleXmlCell id="830" r="F132" connectionId="0">
    <xmlCellPr id="1" uniqueName="1">
      <xmlPr mapId="43" xpath="/ns1:Root/ns1:P8_Tied" xmlDataType="string"/>
    </xmlCellPr>
  </singleXmlCell>
  <singleXmlCell id="831" r="B134" connectionId="0">
    <xmlCellPr id="1" uniqueName="1">
      <xmlPr mapId="43" xpath="/ns1:Root/ns1:P9" xmlDataType="string"/>
    </xmlCellPr>
  </singleXmlCell>
  <singleXmlCell id="832" r="E134" connectionId="0">
    <xmlCellPr id="1" uniqueName="1">
      <xmlPr mapId="43" xpath="/ns1:Root/ns1:P9_Code" xmlDataType="double"/>
    </xmlCellPr>
  </singleXmlCell>
  <singleXmlCell id="833" r="F134" connectionId="0">
    <xmlCellPr id="1" uniqueName="1">
      <xmlPr mapId="43" xpath="/ns1:Root/ns1:P9_Tied" xmlDataType="double"/>
    </xmlCellPr>
  </singleXmlCell>
  <singleXmlCell id="834" r="B136" connectionId="0">
    <xmlCellPr id="1" uniqueName="1">
      <xmlPr mapId="43" xpath="/ns1:Root/ns1:P10" xmlDataType="string"/>
    </xmlCellPr>
  </singleXmlCell>
  <singleXmlCell id="835" r="E136" connectionId="0">
    <xmlCellPr id="1" uniqueName="1">
      <xmlPr mapId="43" xpath="/ns1:Root/ns1:P10_Code" xmlDataType="double"/>
    </xmlCellPr>
  </singleXmlCell>
  <singleXmlCell id="836" r="F136" connectionId="0">
    <xmlCellPr id="1" uniqueName="1">
      <xmlPr mapId="43" xpath="/ns1:Root/ns1:P10_Tied" xmlDataType="string"/>
    </xmlCellPr>
  </singleXmlCell>
  <singleXmlCell id="837" r="D26" connectionId="0">
    <xmlCellPr id="1" uniqueName="1">
      <xmlPr mapId="43" xpath="/ns1:Root/ns1:Currency"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workbookViewId="0"/>
  </sheetViews>
  <sheetFormatPr defaultColWidth="11" defaultRowHeight="15"/>
  <cols>
    <col min="1" max="1" width="1.140625" customWidth="1"/>
    <col min="2" max="10" width="11.42578125" customWidth="1"/>
    <col min="11" max="11" width="1.7109375" customWidth="1"/>
  </cols>
  <sheetData>
    <row r="1" spans="2:15" ht="25.5" customHeight="1"/>
    <row r="2" spans="2:15" ht="36">
      <c r="B2" s="526" t="str">
        <f>+'Grant Detail'!B3:J3</f>
        <v>Dashboard:  Georgia - HIV / AIDS</v>
      </c>
      <c r="C2" s="526"/>
      <c r="D2" s="526"/>
      <c r="E2" s="526"/>
      <c r="F2" s="526"/>
      <c r="G2" s="526"/>
      <c r="H2" s="526"/>
      <c r="I2" s="526"/>
      <c r="J2" s="526"/>
      <c r="K2" s="526"/>
      <c r="L2" s="526"/>
      <c r="M2" s="1"/>
      <c r="N2" s="1"/>
      <c r="O2" s="1"/>
    </row>
    <row r="4" spans="2:15" ht="21">
      <c r="B4" s="527" t="str">
        <f>+IF('Data Entry'!G6="Please Select", "",'Data Entry'!G6) &amp;"  "&amp;+IF('Data Entry'!G8="Please Select", "", 'Data Entry'!G8&amp;",  ")&amp;+IF('Data Entry'!I8="Please Select","",'Data Entry'!I8)</f>
        <v>HIV / AIDS  NFM,  N/A</v>
      </c>
      <c r="C4" s="527"/>
      <c r="D4" s="527"/>
      <c r="E4" s="528"/>
      <c r="F4" s="229"/>
      <c r="G4" s="229"/>
      <c r="H4" s="350" t="str">
        <f>+'Data Entry'!B6&amp;" "&amp;+'Data Entry'!C6</f>
        <v>Grant No.: GEO-H-NCDC</v>
      </c>
      <c r="I4" s="350"/>
      <c r="J4" s="228"/>
      <c r="K4" s="229"/>
      <c r="L4" s="229"/>
    </row>
    <row r="22" spans="2:12" ht="26.25">
      <c r="B22" s="529" t="s">
        <v>405</v>
      </c>
      <c r="C22" s="530"/>
      <c r="D22" s="530"/>
      <c r="E22" s="530"/>
      <c r="F22" s="530"/>
      <c r="G22" s="530"/>
      <c r="H22" s="530"/>
      <c r="I22" s="530"/>
      <c r="J22" s="530"/>
      <c r="K22" s="530"/>
      <c r="L22" s="530"/>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&amp;L&amp;F&amp;C&amp;A&amp;R&amp;D</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zoomScalePageLayoutView="80" workbookViewId="0">
      <selection activeCell="G24" sqref="G24"/>
    </sheetView>
  </sheetViews>
  <sheetFormatPr defaultColWidth="11" defaultRowHeight="15"/>
  <cols>
    <col min="1" max="1" width="11.42578125" customWidth="1"/>
    <col min="2" max="2" width="16.140625" customWidth="1"/>
    <col min="3" max="3" width="14.7109375" customWidth="1"/>
    <col min="4" max="4" width="15.42578125" customWidth="1"/>
    <col min="5" max="6" width="11.42578125" customWidth="1"/>
    <col min="7" max="7" width="14.42578125" customWidth="1"/>
    <col min="8" max="8" width="35.42578125" customWidth="1"/>
    <col min="9" max="9" width="45.7109375" customWidth="1"/>
    <col min="10" max="10" width="33.42578125" customWidth="1"/>
    <col min="11" max="12" width="11.42578125" customWidth="1"/>
    <col min="13" max="13" width="28.42578125" customWidth="1"/>
    <col min="14" max="14" width="46.42578125" customWidth="1"/>
  </cols>
  <sheetData>
    <row r="2" spans="2:15" ht="25.5" customHeight="1"/>
    <row r="3" spans="2:15" ht="36">
      <c r="B3" s="962" t="str">
        <f>'Grant Detail'!B3:J3</f>
        <v>Dashboard:  Georgia - HIV / AIDS</v>
      </c>
      <c r="C3" s="962"/>
      <c r="D3" s="962"/>
      <c r="E3" s="962"/>
      <c r="F3" s="962"/>
      <c r="G3" s="962"/>
      <c r="H3" s="962"/>
      <c r="I3" s="1"/>
    </row>
    <row r="6" spans="2:15" ht="18.75">
      <c r="B6" s="949" t="s">
        <v>319</v>
      </c>
      <c r="C6" s="949"/>
      <c r="D6" s="949"/>
      <c r="E6" s="949"/>
      <c r="F6" s="949"/>
      <c r="G6" s="949"/>
      <c r="H6" s="949"/>
    </row>
    <row r="8" spans="2:15" ht="18.75">
      <c r="B8" s="62" t="s">
        <v>32</v>
      </c>
      <c r="C8" s="62" t="s">
        <v>35</v>
      </c>
      <c r="D8" s="62" t="s">
        <v>36</v>
      </c>
      <c r="E8" s="62" t="s">
        <v>41</v>
      </c>
      <c r="F8" s="62" t="s">
        <v>286</v>
      </c>
      <c r="G8" s="62" t="s">
        <v>265</v>
      </c>
      <c r="H8" s="62" t="s">
        <v>293</v>
      </c>
      <c r="I8" s="63" t="s">
        <v>87</v>
      </c>
      <c r="J8" s="63" t="s">
        <v>129</v>
      </c>
      <c r="M8" s="19"/>
      <c r="N8" s="19"/>
      <c r="O8" s="19"/>
    </row>
    <row r="9" spans="2:15">
      <c r="B9" s="86" t="s">
        <v>372</v>
      </c>
      <c r="C9" s="86" t="s">
        <v>372</v>
      </c>
      <c r="D9" s="86" t="s">
        <v>372</v>
      </c>
      <c r="E9" s="86" t="s">
        <v>372</v>
      </c>
      <c r="F9" s="86" t="s">
        <v>372</v>
      </c>
      <c r="G9" s="86" t="s">
        <v>372</v>
      </c>
      <c r="H9" s="86" t="s">
        <v>372</v>
      </c>
      <c r="I9" s="406" t="s">
        <v>372</v>
      </c>
      <c r="J9" s="86" t="s">
        <v>372</v>
      </c>
      <c r="M9" s="19"/>
      <c r="N9" s="19"/>
      <c r="O9" s="19"/>
    </row>
    <row r="10" spans="2:15">
      <c r="B10" s="57" t="s">
        <v>27</v>
      </c>
      <c r="C10" s="57" t="s">
        <v>18</v>
      </c>
      <c r="D10" s="57" t="s">
        <v>16</v>
      </c>
      <c r="E10" s="57" t="s">
        <v>17</v>
      </c>
      <c r="F10" s="57" t="s">
        <v>105</v>
      </c>
      <c r="G10" s="411" t="s">
        <v>43</v>
      </c>
      <c r="H10" s="60" t="s">
        <v>48</v>
      </c>
      <c r="I10" s="27" t="s">
        <v>299</v>
      </c>
      <c r="J10" s="86" t="s">
        <v>130</v>
      </c>
      <c r="M10" s="19"/>
      <c r="N10" s="19"/>
      <c r="O10" s="19"/>
    </row>
    <row r="11" spans="2:15">
      <c r="B11" s="57" t="s">
        <v>33</v>
      </c>
      <c r="C11" s="57" t="s">
        <v>13</v>
      </c>
      <c r="D11" s="57" t="s">
        <v>19</v>
      </c>
      <c r="E11" s="57" t="s">
        <v>15</v>
      </c>
      <c r="F11" s="57" t="s">
        <v>106</v>
      </c>
      <c r="G11" s="411" t="s">
        <v>44</v>
      </c>
      <c r="H11" s="60" t="s">
        <v>49</v>
      </c>
      <c r="I11" s="27" t="s">
        <v>300</v>
      </c>
      <c r="J11" s="86" t="s">
        <v>131</v>
      </c>
      <c r="M11" s="19"/>
      <c r="N11" s="19"/>
      <c r="O11" s="19"/>
    </row>
    <row r="12" spans="2:15">
      <c r="B12" s="57" t="s">
        <v>34</v>
      </c>
      <c r="D12" s="57" t="s">
        <v>22</v>
      </c>
      <c r="E12" s="57" t="s">
        <v>23</v>
      </c>
      <c r="F12" s="57" t="s">
        <v>107</v>
      </c>
      <c r="G12" s="411" t="s">
        <v>45</v>
      </c>
      <c r="H12" s="60" t="s">
        <v>50</v>
      </c>
      <c r="I12" s="27" t="s">
        <v>301</v>
      </c>
      <c r="J12" s="86" t="s">
        <v>132</v>
      </c>
      <c r="M12" s="195"/>
      <c r="N12" s="19"/>
      <c r="O12" s="19"/>
    </row>
    <row r="13" spans="2:15">
      <c r="B13" s="57" t="s">
        <v>83</v>
      </c>
      <c r="D13" s="57" t="s">
        <v>24</v>
      </c>
      <c r="E13" s="58"/>
      <c r="F13" s="57" t="s">
        <v>108</v>
      </c>
      <c r="G13" s="411" t="s">
        <v>46</v>
      </c>
      <c r="H13" s="60" t="s">
        <v>51</v>
      </c>
      <c r="I13" s="27" t="s">
        <v>302</v>
      </c>
      <c r="J13" s="86" t="s">
        <v>133</v>
      </c>
      <c r="M13" s="195"/>
      <c r="N13" s="19"/>
      <c r="O13" s="19"/>
    </row>
    <row r="14" spans="2:15">
      <c r="B14" s="57" t="s">
        <v>84</v>
      </c>
      <c r="D14" s="57" t="s">
        <v>37</v>
      </c>
      <c r="F14" s="57" t="s">
        <v>120</v>
      </c>
      <c r="G14" s="411" t="s">
        <v>47</v>
      </c>
      <c r="H14" s="60" t="s">
        <v>52</v>
      </c>
      <c r="I14" s="27" t="s">
        <v>271</v>
      </c>
      <c r="J14" s="86" t="s">
        <v>134</v>
      </c>
      <c r="M14" s="195"/>
      <c r="N14" s="19"/>
      <c r="O14" s="19"/>
    </row>
    <row r="15" spans="2:15">
      <c r="D15" s="57" t="s">
        <v>38</v>
      </c>
      <c r="F15" s="57" t="s">
        <v>121</v>
      </c>
      <c r="H15" s="60" t="s">
        <v>53</v>
      </c>
      <c r="I15" s="27" t="s">
        <v>70</v>
      </c>
      <c r="J15" s="86" t="s">
        <v>135</v>
      </c>
      <c r="M15" s="195"/>
      <c r="N15" s="19"/>
      <c r="O15" s="19"/>
    </row>
    <row r="16" spans="2:15">
      <c r="D16" s="57" t="s">
        <v>39</v>
      </c>
      <c r="F16" s="57" t="s">
        <v>122</v>
      </c>
      <c r="H16" s="60" t="s">
        <v>54</v>
      </c>
      <c r="I16" s="27" t="s">
        <v>71</v>
      </c>
      <c r="J16" s="86" t="s">
        <v>136</v>
      </c>
      <c r="M16" s="195"/>
      <c r="N16" s="19"/>
      <c r="O16" s="19"/>
    </row>
    <row r="17" spans="4:15">
      <c r="D17" s="57" t="s">
        <v>40</v>
      </c>
      <c r="F17" s="57" t="s">
        <v>123</v>
      </c>
      <c r="H17" s="60" t="s">
        <v>55</v>
      </c>
      <c r="I17" s="27" t="s">
        <v>72</v>
      </c>
      <c r="J17" s="86" t="s">
        <v>137</v>
      </c>
      <c r="M17" s="195"/>
      <c r="N17" s="19"/>
      <c r="O17" s="19"/>
    </row>
    <row r="18" spans="4:15">
      <c r="D18" s="57" t="s">
        <v>14</v>
      </c>
      <c r="F18" s="57" t="s">
        <v>124</v>
      </c>
      <c r="H18" s="60" t="s">
        <v>56</v>
      </c>
      <c r="I18" s="27" t="s">
        <v>73</v>
      </c>
      <c r="J18" s="86" t="s">
        <v>138</v>
      </c>
      <c r="M18" s="195"/>
      <c r="N18" s="19"/>
      <c r="O18" s="19"/>
    </row>
    <row r="19" spans="4:15">
      <c r="D19" s="410" t="s">
        <v>368</v>
      </c>
      <c r="F19" s="57" t="s">
        <v>125</v>
      </c>
      <c r="H19" s="60" t="s">
        <v>57</v>
      </c>
      <c r="I19" s="27" t="s">
        <v>74</v>
      </c>
      <c r="J19" s="86" t="s">
        <v>139</v>
      </c>
      <c r="M19" s="195"/>
      <c r="N19" s="19"/>
      <c r="O19" s="19"/>
    </row>
    <row r="20" spans="4:15">
      <c r="D20" s="59"/>
      <c r="F20" s="57" t="s">
        <v>126</v>
      </c>
      <c r="H20" s="60" t="s">
        <v>262</v>
      </c>
      <c r="I20" s="27" t="s">
        <v>75</v>
      </c>
      <c r="J20" s="86" t="s">
        <v>140</v>
      </c>
      <c r="M20" s="19"/>
      <c r="N20" s="19"/>
      <c r="O20" s="19"/>
    </row>
    <row r="21" spans="4:15">
      <c r="D21" s="61"/>
      <c r="F21" s="57" t="s">
        <v>287</v>
      </c>
      <c r="H21" s="61"/>
      <c r="I21" s="27" t="s">
        <v>77</v>
      </c>
      <c r="J21" s="86" t="s">
        <v>141</v>
      </c>
      <c r="M21" s="19"/>
      <c r="N21" s="19"/>
      <c r="O21" s="19"/>
    </row>
    <row r="22" spans="4:15">
      <c r="H22" s="61"/>
      <c r="I22" s="27" t="s">
        <v>78</v>
      </c>
      <c r="J22" s="86" t="s">
        <v>142</v>
      </c>
      <c r="M22" s="19"/>
      <c r="N22" s="19"/>
      <c r="O22" s="19"/>
    </row>
    <row r="23" spans="4:15">
      <c r="I23" s="27" t="s">
        <v>76</v>
      </c>
      <c r="J23" s="86" t="s">
        <v>143</v>
      </c>
      <c r="M23" s="19"/>
      <c r="N23" s="19"/>
      <c r="O23" s="19"/>
    </row>
    <row r="24" spans="4:15">
      <c r="I24" s="27" t="s">
        <v>310</v>
      </c>
      <c r="J24" s="86" t="s">
        <v>144</v>
      </c>
      <c r="M24" s="19"/>
      <c r="N24" s="19"/>
      <c r="O24" s="19"/>
    </row>
    <row r="25" spans="4:15">
      <c r="I25" s="45"/>
      <c r="J25" s="86" t="s">
        <v>145</v>
      </c>
    </row>
    <row r="26" spans="4:15">
      <c r="I26" s="27" t="s">
        <v>314</v>
      </c>
      <c r="J26" s="86" t="s">
        <v>146</v>
      </c>
    </row>
    <row r="27" spans="4:15">
      <c r="I27" s="27" t="s">
        <v>309</v>
      </c>
      <c r="J27" s="86" t="s">
        <v>147</v>
      </c>
    </row>
    <row r="28" spans="4:15">
      <c r="I28" s="45"/>
      <c r="J28" s="86" t="s">
        <v>148</v>
      </c>
    </row>
    <row r="29" spans="4:15">
      <c r="I29" s="45"/>
      <c r="J29" s="86" t="s">
        <v>149</v>
      </c>
    </row>
    <row r="30" spans="4:15">
      <c r="I30" s="45"/>
      <c r="J30" s="86" t="s">
        <v>150</v>
      </c>
    </row>
    <row r="31" spans="4:15">
      <c r="J31" s="86" t="s">
        <v>151</v>
      </c>
    </row>
    <row r="32" spans="4:15">
      <c r="J32" s="86" t="s">
        <v>152</v>
      </c>
    </row>
    <row r="33" spans="10:10">
      <c r="J33" s="86" t="s">
        <v>153</v>
      </c>
    </row>
    <row r="34" spans="10:10">
      <c r="J34" s="86" t="s">
        <v>154</v>
      </c>
    </row>
    <row r="35" spans="10:10">
      <c r="J35" s="86" t="s">
        <v>155</v>
      </c>
    </row>
    <row r="36" spans="10:10">
      <c r="J36" s="86" t="s">
        <v>155</v>
      </c>
    </row>
    <row r="37" spans="10:10">
      <c r="J37" s="86" t="s">
        <v>156</v>
      </c>
    </row>
    <row r="38" spans="10:10">
      <c r="J38" s="86" t="s">
        <v>157</v>
      </c>
    </row>
    <row r="39" spans="10:10">
      <c r="J39" s="86" t="s">
        <v>158</v>
      </c>
    </row>
    <row r="40" spans="10:10">
      <c r="J40" s="86" t="s">
        <v>159</v>
      </c>
    </row>
    <row r="41" spans="10:10">
      <c r="J41" s="86" t="s">
        <v>160</v>
      </c>
    </row>
    <row r="42" spans="10:10">
      <c r="J42" s="86" t="s">
        <v>161</v>
      </c>
    </row>
    <row r="43" spans="10:10">
      <c r="J43" s="86" t="s">
        <v>162</v>
      </c>
    </row>
    <row r="44" spans="10:10">
      <c r="J44" s="86" t="s">
        <v>163</v>
      </c>
    </row>
    <row r="45" spans="10:10">
      <c r="J45" s="86" t="s">
        <v>164</v>
      </c>
    </row>
    <row r="46" spans="10:10">
      <c r="J46" s="86" t="s">
        <v>165</v>
      </c>
    </row>
    <row r="47" spans="10:10">
      <c r="J47" s="86" t="s">
        <v>166</v>
      </c>
    </row>
    <row r="48" spans="10:10">
      <c r="J48" s="86" t="s">
        <v>167</v>
      </c>
    </row>
    <row r="49" spans="10:10">
      <c r="J49" s="86" t="s">
        <v>168</v>
      </c>
    </row>
    <row r="50" spans="10:10">
      <c r="J50" s="86" t="s">
        <v>169</v>
      </c>
    </row>
    <row r="51" spans="10:10">
      <c r="J51" s="86" t="s">
        <v>170</v>
      </c>
    </row>
    <row r="52" spans="10:10">
      <c r="J52" s="86" t="s">
        <v>171</v>
      </c>
    </row>
    <row r="53" spans="10:10">
      <c r="J53" s="86" t="s">
        <v>172</v>
      </c>
    </row>
    <row r="54" spans="10:10">
      <c r="J54" s="86" t="s">
        <v>173</v>
      </c>
    </row>
    <row r="55" spans="10:10">
      <c r="J55" s="86" t="s">
        <v>174</v>
      </c>
    </row>
    <row r="56" spans="10:10">
      <c r="J56" s="86" t="s">
        <v>175</v>
      </c>
    </row>
    <row r="57" spans="10:10">
      <c r="J57" s="86" t="s">
        <v>176</v>
      </c>
    </row>
    <row r="58" spans="10:10">
      <c r="J58" s="86" t="s">
        <v>177</v>
      </c>
    </row>
    <row r="59" spans="10:10">
      <c r="J59" s="86" t="s">
        <v>178</v>
      </c>
    </row>
    <row r="60" spans="10:10">
      <c r="J60" s="86" t="s">
        <v>179</v>
      </c>
    </row>
    <row r="61" spans="10:10">
      <c r="J61" s="86" t="s">
        <v>180</v>
      </c>
    </row>
    <row r="62" spans="10:10">
      <c r="J62" s="86" t="s">
        <v>181</v>
      </c>
    </row>
    <row r="63" spans="10:10">
      <c r="J63" s="86" t="s">
        <v>182</v>
      </c>
    </row>
    <row r="64" spans="10:10">
      <c r="J64" s="86" t="s">
        <v>183</v>
      </c>
    </row>
    <row r="65" spans="10:10">
      <c r="J65" s="86" t="s">
        <v>184</v>
      </c>
    </row>
    <row r="66" spans="10:10">
      <c r="J66" s="86" t="s">
        <v>185</v>
      </c>
    </row>
    <row r="67" spans="10:10">
      <c r="J67" s="86" t="s">
        <v>186</v>
      </c>
    </row>
    <row r="68" spans="10:10">
      <c r="J68" s="86" t="s">
        <v>187</v>
      </c>
    </row>
    <row r="69" spans="10:10">
      <c r="J69" s="86" t="s">
        <v>188</v>
      </c>
    </row>
    <row r="70" spans="10:10">
      <c r="J70" s="86" t="s">
        <v>189</v>
      </c>
    </row>
    <row r="71" spans="10:10">
      <c r="J71" s="86" t="s">
        <v>190</v>
      </c>
    </row>
    <row r="72" spans="10:10">
      <c r="J72" s="86" t="s">
        <v>191</v>
      </c>
    </row>
    <row r="73" spans="10:10">
      <c r="J73" s="86" t="s">
        <v>192</v>
      </c>
    </row>
    <row r="74" spans="10:10">
      <c r="J74" s="86" t="s">
        <v>193</v>
      </c>
    </row>
    <row r="75" spans="10:10">
      <c r="J75" s="86" t="s">
        <v>194</v>
      </c>
    </row>
    <row r="76" spans="10:10">
      <c r="J76" s="86" t="s">
        <v>195</v>
      </c>
    </row>
    <row r="77" spans="10:10">
      <c r="J77" s="86" t="s">
        <v>196</v>
      </c>
    </row>
    <row r="78" spans="10:10">
      <c r="J78" s="86" t="s">
        <v>197</v>
      </c>
    </row>
    <row r="79" spans="10:10">
      <c r="J79" s="86" t="s">
        <v>198</v>
      </c>
    </row>
    <row r="80" spans="10:10">
      <c r="J80" s="86" t="s">
        <v>199</v>
      </c>
    </row>
    <row r="81" spans="10:10">
      <c r="J81" s="86" t="s">
        <v>200</v>
      </c>
    </row>
    <row r="82" spans="10:10">
      <c r="J82" s="86" t="s">
        <v>201</v>
      </c>
    </row>
    <row r="83" spans="10:10">
      <c r="J83" s="86" t="s">
        <v>202</v>
      </c>
    </row>
    <row r="84" spans="10:10">
      <c r="J84" s="86" t="s">
        <v>203</v>
      </c>
    </row>
    <row r="85" spans="10:10">
      <c r="J85" s="86" t="s">
        <v>204</v>
      </c>
    </row>
    <row r="86" spans="10:10">
      <c r="J86" s="86" t="s">
        <v>205</v>
      </c>
    </row>
    <row r="87" spans="10:10">
      <c r="J87" s="86" t="s">
        <v>206</v>
      </c>
    </row>
    <row r="88" spans="10:10">
      <c r="J88" s="86" t="s">
        <v>207</v>
      </c>
    </row>
    <row r="89" spans="10:10">
      <c r="J89" s="86" t="s">
        <v>208</v>
      </c>
    </row>
    <row r="90" spans="10:10">
      <c r="J90" s="86" t="s">
        <v>209</v>
      </c>
    </row>
    <row r="91" spans="10:10">
      <c r="J91" s="86" t="s">
        <v>210</v>
      </c>
    </row>
    <row r="92" spans="10:10">
      <c r="J92" s="86" t="s">
        <v>211</v>
      </c>
    </row>
    <row r="93" spans="10:10">
      <c r="J93" s="86" t="s">
        <v>212</v>
      </c>
    </row>
    <row r="94" spans="10:10">
      <c r="J94" s="86" t="s">
        <v>213</v>
      </c>
    </row>
    <row r="95" spans="10:10">
      <c r="J95" s="86" t="s">
        <v>214</v>
      </c>
    </row>
    <row r="96" spans="10:10">
      <c r="J96" s="86" t="s">
        <v>215</v>
      </c>
    </row>
    <row r="97" spans="10:10">
      <c r="J97" s="86" t="s">
        <v>216</v>
      </c>
    </row>
    <row r="98" spans="10:10">
      <c r="J98" s="86" t="s">
        <v>217</v>
      </c>
    </row>
    <row r="99" spans="10:10">
      <c r="J99" s="86" t="s">
        <v>218</v>
      </c>
    </row>
    <row r="100" spans="10:10">
      <c r="J100" s="86" t="s">
        <v>219</v>
      </c>
    </row>
    <row r="101" spans="10:10">
      <c r="J101" s="86" t="s">
        <v>220</v>
      </c>
    </row>
    <row r="102" spans="10:10">
      <c r="J102" s="86" t="s">
        <v>221</v>
      </c>
    </row>
    <row r="103" spans="10:10">
      <c r="J103" s="86" t="s">
        <v>222</v>
      </c>
    </row>
    <row r="104" spans="10:10">
      <c r="J104" s="86" t="s">
        <v>223</v>
      </c>
    </row>
    <row r="105" spans="10:10">
      <c r="J105" s="86" t="s">
        <v>224</v>
      </c>
    </row>
    <row r="106" spans="10:10">
      <c r="J106" s="86" t="s">
        <v>225</v>
      </c>
    </row>
    <row r="107" spans="10:10">
      <c r="J107" s="86" t="s">
        <v>226</v>
      </c>
    </row>
    <row r="108" spans="10:10">
      <c r="J108" s="86" t="s">
        <v>227</v>
      </c>
    </row>
    <row r="109" spans="10:10">
      <c r="J109" s="86" t="s">
        <v>228</v>
      </c>
    </row>
    <row r="110" spans="10:10">
      <c r="J110" s="86" t="s">
        <v>229</v>
      </c>
    </row>
    <row r="111" spans="10:10">
      <c r="J111" s="86" t="s">
        <v>80</v>
      </c>
    </row>
    <row r="112" spans="10:10">
      <c r="J112" s="86" t="s">
        <v>230</v>
      </c>
    </row>
    <row r="113" spans="10:10">
      <c r="J113" s="86" t="s">
        <v>231</v>
      </c>
    </row>
    <row r="114" spans="10:10">
      <c r="J114" s="86" t="s">
        <v>232</v>
      </c>
    </row>
    <row r="115" spans="10:10">
      <c r="J115" s="86" t="s">
        <v>233</v>
      </c>
    </row>
    <row r="116" spans="10:10">
      <c r="J116" s="86" t="s">
        <v>234</v>
      </c>
    </row>
    <row r="117" spans="10:10">
      <c r="J117" s="86" t="s">
        <v>235</v>
      </c>
    </row>
    <row r="118" spans="10:10">
      <c r="J118" s="86" t="s">
        <v>236</v>
      </c>
    </row>
    <row r="119" spans="10:10">
      <c r="J119" s="86" t="s">
        <v>237</v>
      </c>
    </row>
    <row r="120" spans="10:10">
      <c r="J120" s="86" t="s">
        <v>238</v>
      </c>
    </row>
    <row r="121" spans="10:10">
      <c r="J121" s="86" t="s">
        <v>239</v>
      </c>
    </row>
    <row r="122" spans="10:10">
      <c r="J122" s="86" t="s">
        <v>240</v>
      </c>
    </row>
    <row r="123" spans="10:10">
      <c r="J123" s="86" t="s">
        <v>241</v>
      </c>
    </row>
    <row r="124" spans="10:10">
      <c r="J124" s="86" t="s">
        <v>242</v>
      </c>
    </row>
    <row r="125" spans="10:10">
      <c r="J125" s="86" t="s">
        <v>243</v>
      </c>
    </row>
    <row r="126" spans="10:10">
      <c r="J126" s="86" t="s">
        <v>244</v>
      </c>
    </row>
    <row r="127" spans="10:10">
      <c r="J127" s="86" t="s">
        <v>245</v>
      </c>
    </row>
    <row r="128" spans="10:10">
      <c r="J128" s="86" t="s">
        <v>246</v>
      </c>
    </row>
    <row r="129" spans="10:10">
      <c r="J129" s="86" t="s">
        <v>247</v>
      </c>
    </row>
    <row r="130" spans="10:10">
      <c r="J130" s="86" t="s">
        <v>248</v>
      </c>
    </row>
    <row r="131" spans="10:10">
      <c r="J131" s="86" t="s">
        <v>249</v>
      </c>
    </row>
    <row r="132" spans="10:10">
      <c r="J132" s="86" t="s">
        <v>250</v>
      </c>
    </row>
    <row r="133" spans="10:10">
      <c r="J133" s="86" t="s">
        <v>251</v>
      </c>
    </row>
    <row r="134" spans="10:10">
      <c r="J134" s="86" t="s">
        <v>252</v>
      </c>
    </row>
    <row r="135" spans="10:10">
      <c r="J135" s="86" t="s">
        <v>253</v>
      </c>
    </row>
    <row r="136" spans="10:10">
      <c r="J136" s="86" t="s">
        <v>254</v>
      </c>
    </row>
    <row r="137" spans="10:10">
      <c r="J137" s="86" t="s">
        <v>255</v>
      </c>
    </row>
    <row r="138" spans="10:10">
      <c r="J138" s="86" t="s">
        <v>256</v>
      </c>
    </row>
    <row r="139" spans="10:10">
      <c r="J139" s="86" t="s">
        <v>257</v>
      </c>
    </row>
    <row r="140" spans="10:10">
      <c r="J140" s="86" t="s">
        <v>258</v>
      </c>
    </row>
    <row r="141" spans="10:10">
      <c r="J141" s="86" t="s">
        <v>259</v>
      </c>
    </row>
    <row r="142" spans="10:10">
      <c r="J142" s="86" t="s">
        <v>260</v>
      </c>
    </row>
    <row r="143" spans="10:10">
      <c r="J143" s="86" t="s">
        <v>261</v>
      </c>
    </row>
    <row r="144" spans="10:10">
      <c r="J144" s="404"/>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headerFooter>
    <oddFooter>&amp;L&amp;"Calibri,Italic"&amp;8&amp;F: &amp;A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3"/>
  <sheetViews>
    <sheetView showGridLines="0" zoomScale="70" zoomScaleNormal="70" zoomScalePageLayoutView="70" workbookViewId="0">
      <pane ySplit="2" topLeftCell="A21" activePane="bottomLeft" state="frozen"/>
      <selection activeCell="E22" sqref="E22"/>
      <selection pane="bottomLeft"/>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13.140625" customWidth="1"/>
    <col min="13" max="13" width="49.42578125" customWidth="1"/>
    <col min="14" max="14" width="2.42578125" style="36" customWidth="1"/>
    <col min="15" max="15" width="3" style="36" customWidth="1"/>
    <col min="16" max="16" width="2.42578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617" t="str">
        <f>+"Dashboard: "&amp;" "&amp;+IF('Data Entry'!C4="Please Select","",'Data Entry'!C4&amp;" - ")&amp;+IF('Data Entry'!G6="Please Select","",'Data Entry'!G6)</f>
        <v>Dashboard:  Georgia - HIV / AIDS</v>
      </c>
      <c r="C2" s="617"/>
      <c r="D2" s="617"/>
      <c r="E2" s="617"/>
      <c r="F2" s="617"/>
      <c r="G2" s="617"/>
      <c r="H2" s="617"/>
      <c r="I2" s="617"/>
      <c r="J2" s="617"/>
      <c r="K2" s="617"/>
      <c r="L2" s="617"/>
      <c r="M2" s="617"/>
    </row>
    <row r="3" spans="1:15" ht="15.75" customHeight="1">
      <c r="A3" s="3"/>
      <c r="B3" s="220"/>
      <c r="C3" s="220"/>
      <c r="D3" s="220"/>
      <c r="E3" s="220"/>
      <c r="F3" s="220"/>
      <c r="G3" s="220"/>
      <c r="H3" s="220"/>
      <c r="I3" s="220"/>
      <c r="J3" s="220"/>
      <c r="K3" s="221"/>
      <c r="L3" s="221"/>
      <c r="M3" s="3"/>
    </row>
    <row r="5" spans="1:15" ht="23.25">
      <c r="B5" s="601" t="s">
        <v>283</v>
      </c>
      <c r="C5" s="601"/>
      <c r="D5" s="601"/>
      <c r="E5" s="601"/>
      <c r="F5" s="601"/>
      <c r="G5" s="601"/>
      <c r="H5" s="601"/>
      <c r="I5" s="601"/>
      <c r="J5" s="601"/>
      <c r="K5" s="601"/>
      <c r="L5" s="601"/>
      <c r="M5" s="601"/>
      <c r="N5" s="601"/>
      <c r="O5" s="601"/>
    </row>
    <row r="7" spans="1:15" ht="21">
      <c r="B7" s="618" t="s">
        <v>272</v>
      </c>
      <c r="C7" s="619"/>
      <c r="D7" s="620"/>
      <c r="E7" s="618" t="s">
        <v>273</v>
      </c>
      <c r="F7" s="619"/>
      <c r="G7" s="619"/>
      <c r="H7" s="619"/>
      <c r="I7" s="620"/>
      <c r="J7" s="618" t="s">
        <v>274</v>
      </c>
      <c r="K7" s="619"/>
      <c r="L7" s="620"/>
      <c r="M7" s="618" t="s">
        <v>347</v>
      </c>
      <c r="N7" s="619"/>
      <c r="O7" s="620"/>
    </row>
    <row r="8" spans="1:15" ht="92.25" customHeight="1">
      <c r="B8" s="546" t="str">
        <f>+'Data Entry'!B27</f>
        <v>F1: Budget and disbursements by Global Fund</v>
      </c>
      <c r="C8" s="629"/>
      <c r="D8" s="630"/>
      <c r="E8" s="621" t="s">
        <v>393</v>
      </c>
      <c r="F8" s="622"/>
      <c r="G8" s="622"/>
      <c r="H8" s="622"/>
      <c r="I8" s="623"/>
      <c r="J8" s="563" t="s">
        <v>348</v>
      </c>
      <c r="K8" s="564"/>
      <c r="L8" s="565"/>
      <c r="M8" s="563" t="s">
        <v>394</v>
      </c>
      <c r="N8" s="564"/>
      <c r="O8" s="565"/>
    </row>
    <row r="9" spans="1:15" ht="117.75" customHeight="1">
      <c r="B9" s="546" t="str">
        <f>+'Data Entry'!B36</f>
        <v>F2: Budget and actual expenditures by Grant Objective</v>
      </c>
      <c r="C9" s="629"/>
      <c r="D9" s="630"/>
      <c r="E9" s="578" t="s">
        <v>356</v>
      </c>
      <c r="F9" s="579"/>
      <c r="G9" s="579"/>
      <c r="H9" s="579"/>
      <c r="I9" s="580"/>
      <c r="J9" s="563" t="s">
        <v>350</v>
      </c>
      <c r="K9" s="564"/>
      <c r="L9" s="565"/>
      <c r="M9" s="563" t="s">
        <v>394</v>
      </c>
      <c r="N9" s="564"/>
      <c r="O9" s="565"/>
    </row>
    <row r="10" spans="1:15" ht="152.25" customHeight="1">
      <c r="B10" s="624" t="str">
        <f>+'Data Entry'!B49</f>
        <v>F3: Disbursements and expenditures</v>
      </c>
      <c r="C10" s="627"/>
      <c r="D10" s="628"/>
      <c r="E10" s="578" t="s">
        <v>395</v>
      </c>
      <c r="F10" s="579"/>
      <c r="G10" s="579"/>
      <c r="H10" s="579"/>
      <c r="I10" s="580"/>
      <c r="J10" s="563" t="s">
        <v>357</v>
      </c>
      <c r="K10" s="564"/>
      <c r="L10" s="565"/>
      <c r="M10" s="563" t="s">
        <v>349</v>
      </c>
      <c r="N10" s="564"/>
      <c r="O10" s="565"/>
    </row>
    <row r="11" spans="1:15" ht="279.75" customHeight="1">
      <c r="B11" s="624" t="str">
        <f>+'Data Entry'!B58</f>
        <v>F4: Latest PR reporting and disbursement cycle</v>
      </c>
      <c r="C11" s="625"/>
      <c r="D11" s="626"/>
      <c r="E11" s="578" t="s">
        <v>406</v>
      </c>
      <c r="F11" s="579"/>
      <c r="G11" s="579"/>
      <c r="H11" s="579"/>
      <c r="I11" s="580"/>
      <c r="J11" s="563" t="s">
        <v>358</v>
      </c>
      <c r="K11" s="564"/>
      <c r="L11" s="565"/>
      <c r="M11" s="563" t="s">
        <v>277</v>
      </c>
      <c r="N11" s="564"/>
      <c r="O11" s="565"/>
    </row>
    <row r="12" spans="1:15" s="19" customFormat="1">
      <c r="B12" s="631"/>
      <c r="C12" s="631"/>
      <c r="D12" s="631"/>
      <c r="E12" s="632"/>
      <c r="F12" s="632"/>
      <c r="G12" s="632"/>
      <c r="H12" s="632"/>
      <c r="I12" s="632"/>
      <c r="J12" s="632"/>
      <c r="K12" s="632"/>
      <c r="L12" s="632"/>
      <c r="M12" s="632"/>
      <c r="N12" s="632"/>
      <c r="O12" s="632"/>
    </row>
    <row r="13" spans="1:15" s="19" customFormat="1">
      <c r="B13" s="588"/>
      <c r="C13" s="588"/>
      <c r="D13" s="588"/>
      <c r="E13" s="589"/>
      <c r="F13" s="589"/>
      <c r="G13" s="589"/>
      <c r="H13" s="589"/>
      <c r="I13" s="589"/>
      <c r="J13" s="589"/>
      <c r="K13" s="589"/>
      <c r="L13" s="589"/>
      <c r="M13" s="589"/>
      <c r="N13" s="589"/>
      <c r="O13" s="589"/>
    </row>
    <row r="14" spans="1:15" s="19" customFormat="1">
      <c r="B14" s="588"/>
      <c r="C14" s="588"/>
      <c r="D14" s="588"/>
      <c r="E14" s="589"/>
      <c r="F14" s="589"/>
      <c r="G14" s="589"/>
      <c r="H14" s="589"/>
      <c r="I14" s="589"/>
      <c r="J14" s="589"/>
      <c r="K14" s="589"/>
      <c r="L14" s="589"/>
      <c r="M14" s="589"/>
      <c r="N14" s="589"/>
      <c r="O14" s="589"/>
    </row>
    <row r="15" spans="1:15" s="19" customFormat="1">
      <c r="B15" s="588"/>
      <c r="C15" s="588"/>
      <c r="D15" s="588"/>
      <c r="E15" s="589"/>
      <c r="F15" s="589"/>
      <c r="G15" s="589"/>
      <c r="H15" s="589"/>
      <c r="I15" s="589"/>
      <c r="J15" s="589"/>
      <c r="K15" s="589"/>
      <c r="L15" s="589"/>
      <c r="M15" s="589"/>
      <c r="N15" s="589"/>
      <c r="O15" s="589"/>
    </row>
    <row r="16" spans="1:15" ht="23.25">
      <c r="B16" s="601" t="s">
        <v>284</v>
      </c>
      <c r="C16" s="601"/>
      <c r="D16" s="601"/>
      <c r="E16" s="601"/>
      <c r="F16" s="601"/>
      <c r="G16" s="601"/>
      <c r="H16" s="601"/>
      <c r="I16" s="601"/>
      <c r="J16" s="601"/>
      <c r="K16" s="601"/>
      <c r="L16" s="601"/>
      <c r="M16" s="601"/>
      <c r="N16" s="601"/>
      <c r="O16" s="601"/>
    </row>
    <row r="18" spans="1:15" ht="21">
      <c r="B18" s="633" t="s">
        <v>272</v>
      </c>
      <c r="C18" s="634"/>
      <c r="D18" s="635"/>
      <c r="E18" s="633" t="s">
        <v>273</v>
      </c>
      <c r="F18" s="634"/>
      <c r="G18" s="634"/>
      <c r="H18" s="634"/>
      <c r="I18" s="635"/>
      <c r="J18" s="633" t="s">
        <v>274</v>
      </c>
      <c r="K18" s="634"/>
      <c r="L18" s="635"/>
      <c r="M18" s="633" t="s">
        <v>275</v>
      </c>
      <c r="N18" s="634"/>
      <c r="O18" s="635"/>
    </row>
    <row r="19" spans="1:15" ht="114" customHeight="1">
      <c r="B19" s="546" t="str">
        <f>+'Data Entry'!B69</f>
        <v>M1: Status of Conditions Precedent (CPs) and Time Bound Actions (TBAs)</v>
      </c>
      <c r="C19" s="547"/>
      <c r="D19" s="548"/>
      <c r="E19" s="578" t="s">
        <v>282</v>
      </c>
      <c r="F19" s="579"/>
      <c r="G19" s="579"/>
      <c r="H19" s="579"/>
      <c r="I19" s="580"/>
      <c r="J19" s="563" t="s">
        <v>351</v>
      </c>
      <c r="K19" s="564"/>
      <c r="L19" s="565"/>
      <c r="M19" s="563" t="s">
        <v>352</v>
      </c>
      <c r="N19" s="564"/>
      <c r="O19" s="565"/>
    </row>
    <row r="20" spans="1:15" ht="102.75" customHeight="1">
      <c r="B20" s="546" t="str">
        <f>+'Data Entry'!B76</f>
        <v>M2: Status of key PR management positions</v>
      </c>
      <c r="C20" s="547"/>
      <c r="D20" s="548"/>
      <c r="E20" s="578" t="s">
        <v>396</v>
      </c>
      <c r="F20" s="579"/>
      <c r="G20" s="579"/>
      <c r="H20" s="579"/>
      <c r="I20" s="580"/>
      <c r="J20" s="563" t="s">
        <v>279</v>
      </c>
      <c r="K20" s="564"/>
      <c r="L20" s="565"/>
      <c r="M20" s="563" t="s">
        <v>278</v>
      </c>
      <c r="N20" s="564"/>
      <c r="O20" s="565"/>
    </row>
    <row r="21" spans="1:15" ht="111.75" customHeight="1">
      <c r="B21" s="546" t="str">
        <f>+'Data Entry'!B81</f>
        <v xml:space="preserve">M3: Contractual arrangements (SRs) </v>
      </c>
      <c r="C21" s="547"/>
      <c r="D21" s="548"/>
      <c r="E21" s="581" t="s">
        <v>0</v>
      </c>
      <c r="F21" s="579"/>
      <c r="G21" s="579"/>
      <c r="H21" s="579"/>
      <c r="I21" s="580"/>
      <c r="J21" s="563" t="s">
        <v>353</v>
      </c>
      <c r="K21" s="564"/>
      <c r="L21" s="565"/>
      <c r="M21" s="563" t="s">
        <v>354</v>
      </c>
      <c r="N21" s="564"/>
      <c r="O21" s="565"/>
    </row>
    <row r="22" spans="1:15" ht="74.25" customHeight="1">
      <c r="B22" s="546" t="str">
        <f>+'Data Entry'!B86</f>
        <v>M4: Number of complete reports received on time</v>
      </c>
      <c r="C22" s="547"/>
      <c r="D22" s="548"/>
      <c r="E22" s="581" t="s">
        <v>407</v>
      </c>
      <c r="F22" s="590"/>
      <c r="G22" s="590"/>
      <c r="H22" s="590"/>
      <c r="I22" s="591"/>
      <c r="J22" s="563" t="s">
        <v>359</v>
      </c>
      <c r="K22" s="564"/>
      <c r="L22" s="565"/>
      <c r="M22" s="563" t="s">
        <v>280</v>
      </c>
      <c r="N22" s="564"/>
      <c r="O22" s="565"/>
    </row>
    <row r="23" spans="1:15" ht="207.75" customHeight="1">
      <c r="B23" s="582" t="str">
        <f>+'Data Entry'!B92</f>
        <v>M5: Budget and Procurement of health products, health equipment, medicines and pharmaceuticals</v>
      </c>
      <c r="C23" s="583"/>
      <c r="D23" s="584"/>
      <c r="E23" s="592" t="s">
        <v>360</v>
      </c>
      <c r="F23" s="593"/>
      <c r="G23" s="593"/>
      <c r="H23" s="593"/>
      <c r="I23" s="594"/>
      <c r="J23" s="572" t="s">
        <v>276</v>
      </c>
      <c r="K23" s="573"/>
      <c r="L23" s="574"/>
      <c r="M23" s="572" t="s">
        <v>281</v>
      </c>
      <c r="N23" s="573"/>
      <c r="O23" s="574"/>
    </row>
    <row r="24" spans="1:15" ht="114.75" customHeight="1">
      <c r="B24" s="585"/>
      <c r="C24" s="586"/>
      <c r="D24" s="587"/>
      <c r="E24" s="595" t="s">
        <v>355</v>
      </c>
      <c r="F24" s="596"/>
      <c r="G24" s="596"/>
      <c r="H24" s="596"/>
      <c r="I24" s="597"/>
      <c r="J24" s="575"/>
      <c r="K24" s="576"/>
      <c r="L24" s="577"/>
      <c r="M24" s="575"/>
      <c r="N24" s="576"/>
      <c r="O24" s="577"/>
    </row>
    <row r="25" spans="1:15" ht="409.5" customHeight="1">
      <c r="B25" s="546" t="str">
        <f>+'Data Entry'!B105</f>
        <v>M6: Difference between current and safety stock</v>
      </c>
      <c r="C25" s="547"/>
      <c r="D25" s="548"/>
      <c r="E25" s="557" t="s">
        <v>408</v>
      </c>
      <c r="F25" s="558"/>
      <c r="G25" s="558"/>
      <c r="H25" s="558"/>
      <c r="I25" s="559"/>
      <c r="J25" s="569" t="s">
        <v>361</v>
      </c>
      <c r="K25" s="570"/>
      <c r="L25" s="571"/>
      <c r="M25" s="566" t="s">
        <v>366</v>
      </c>
      <c r="N25" s="567"/>
      <c r="O25" s="568"/>
    </row>
    <row r="29" spans="1:15" ht="18.75">
      <c r="B29" s="255"/>
    </row>
    <row r="30" spans="1:15" ht="23.25">
      <c r="B30" s="601" t="s">
        <v>297</v>
      </c>
      <c r="C30" s="601"/>
      <c r="D30" s="601"/>
      <c r="E30" s="601"/>
      <c r="F30" s="601"/>
      <c r="G30" s="601"/>
      <c r="H30" s="601"/>
      <c r="I30" s="601"/>
      <c r="J30" s="601"/>
      <c r="K30" s="601"/>
      <c r="L30" s="601"/>
      <c r="M30" s="601"/>
      <c r="N30" s="601"/>
      <c r="O30" s="601"/>
    </row>
    <row r="32" spans="1:15" ht="28.5" customHeight="1">
      <c r="A32" s="246"/>
      <c r="B32" s="602" t="s">
        <v>345</v>
      </c>
      <c r="C32" s="603"/>
      <c r="D32" s="604"/>
      <c r="E32" s="605" t="s">
        <v>303</v>
      </c>
      <c r="F32" s="606"/>
      <c r="G32" s="606"/>
      <c r="H32" s="606"/>
      <c r="I32" s="607"/>
      <c r="J32" s="605" t="s">
        <v>274</v>
      </c>
      <c r="K32" s="606"/>
      <c r="L32" s="607"/>
      <c r="M32" s="605" t="s">
        <v>275</v>
      </c>
      <c r="N32" s="606"/>
      <c r="O32" s="607"/>
    </row>
    <row r="33" spans="1:15" ht="47.25" customHeight="1">
      <c r="A33" s="247"/>
      <c r="B33" s="549"/>
      <c r="C33" s="550"/>
      <c r="D33" s="551"/>
      <c r="E33" s="537"/>
      <c r="F33" s="538"/>
      <c r="G33" s="538"/>
      <c r="H33" s="538"/>
      <c r="I33" s="539"/>
      <c r="J33" s="543"/>
      <c r="K33" s="544"/>
      <c r="L33" s="545"/>
      <c r="M33" s="543"/>
      <c r="N33" s="544"/>
      <c r="O33" s="545"/>
    </row>
    <row r="34" spans="1:15" ht="59.25" customHeight="1">
      <c r="A34" s="247"/>
      <c r="B34" s="549"/>
      <c r="C34" s="550"/>
      <c r="D34" s="551"/>
      <c r="E34" s="537"/>
      <c r="F34" s="538"/>
      <c r="G34" s="538"/>
      <c r="H34" s="538"/>
      <c r="I34" s="539"/>
      <c r="J34" s="543"/>
      <c r="K34" s="544"/>
      <c r="L34" s="545"/>
      <c r="M34" s="543"/>
      <c r="N34" s="544"/>
      <c r="O34" s="545"/>
    </row>
    <row r="35" spans="1:15" ht="57.75" customHeight="1">
      <c r="A35" s="247"/>
      <c r="B35" s="549"/>
      <c r="C35" s="550"/>
      <c r="D35" s="551"/>
      <c r="E35" s="543"/>
      <c r="F35" s="544"/>
      <c r="G35" s="544"/>
      <c r="H35" s="544"/>
      <c r="I35" s="545"/>
      <c r="J35" s="543"/>
      <c r="K35" s="544"/>
      <c r="L35" s="545"/>
      <c r="M35" s="543"/>
      <c r="N35" s="544"/>
      <c r="O35" s="545"/>
    </row>
    <row r="36" spans="1:15" ht="9.75" customHeight="1">
      <c r="A36" s="247"/>
      <c r="B36" s="554"/>
      <c r="C36" s="555"/>
      <c r="D36" s="556"/>
      <c r="E36" s="248"/>
      <c r="F36" s="249"/>
      <c r="G36" s="249"/>
      <c r="H36" s="249"/>
      <c r="I36" s="250"/>
      <c r="J36" s="268"/>
      <c r="K36" s="269"/>
      <c r="L36" s="270"/>
      <c r="M36" s="268"/>
      <c r="N36" s="269"/>
      <c r="O36" s="270"/>
    </row>
    <row r="37" spans="1:15" ht="46.5" customHeight="1">
      <c r="A37" s="247"/>
      <c r="B37" s="549"/>
      <c r="C37" s="550"/>
      <c r="D37" s="551"/>
      <c r="E37" s="543"/>
      <c r="F37" s="552"/>
      <c r="G37" s="552"/>
      <c r="H37" s="552"/>
      <c r="I37" s="553"/>
      <c r="J37" s="263"/>
      <c r="K37" s="264"/>
      <c r="L37" s="265"/>
      <c r="M37" s="263"/>
      <c r="N37" s="264"/>
      <c r="O37" s="265"/>
    </row>
    <row r="38" spans="1:15" ht="69" customHeight="1">
      <c r="A38" s="247"/>
      <c r="B38" s="549"/>
      <c r="C38" s="550"/>
      <c r="D38" s="551"/>
      <c r="E38" s="537"/>
      <c r="F38" s="538"/>
      <c r="G38" s="538"/>
      <c r="H38" s="538"/>
      <c r="I38" s="539"/>
      <c r="J38" s="543"/>
      <c r="K38" s="544"/>
      <c r="L38" s="545"/>
      <c r="M38" s="543"/>
      <c r="N38" s="544"/>
      <c r="O38" s="545"/>
    </row>
    <row r="39" spans="1:15" ht="64.5" customHeight="1">
      <c r="A39" s="247"/>
      <c r="B39" s="549"/>
      <c r="C39" s="550"/>
      <c r="D39" s="551"/>
      <c r="E39" s="543"/>
      <c r="F39" s="544"/>
      <c r="G39" s="544"/>
      <c r="H39" s="544"/>
      <c r="I39" s="545"/>
      <c r="J39" s="263"/>
      <c r="K39" s="264"/>
      <c r="L39" s="265"/>
      <c r="M39" s="263"/>
      <c r="N39" s="264"/>
      <c r="O39" s="265"/>
    </row>
    <row r="40" spans="1:15" ht="45" customHeight="1">
      <c r="A40" s="247"/>
      <c r="B40" s="534"/>
      <c r="C40" s="535"/>
      <c r="D40" s="536"/>
      <c r="E40" s="560"/>
      <c r="F40" s="561"/>
      <c r="G40" s="561"/>
      <c r="H40" s="561"/>
      <c r="I40" s="562"/>
      <c r="J40" s="543"/>
      <c r="K40" s="544"/>
      <c r="L40" s="545"/>
      <c r="M40" s="543"/>
      <c r="N40" s="544"/>
      <c r="O40" s="545"/>
    </row>
    <row r="41" spans="1:15" ht="62.25" customHeight="1">
      <c r="A41" s="247"/>
      <c r="B41" s="531"/>
      <c r="C41" s="532"/>
      <c r="D41" s="533"/>
      <c r="E41" s="537"/>
      <c r="F41" s="538"/>
      <c r="G41" s="538"/>
      <c r="H41" s="538"/>
      <c r="I41" s="539"/>
      <c r="J41" s="543"/>
      <c r="K41" s="544"/>
      <c r="L41" s="545"/>
      <c r="M41" s="543"/>
      <c r="N41" s="544"/>
      <c r="O41" s="545"/>
    </row>
    <row r="42" spans="1:15" ht="84" customHeight="1">
      <c r="A42" s="247"/>
      <c r="B42" s="531"/>
      <c r="C42" s="532"/>
      <c r="D42" s="533"/>
      <c r="E42" s="543"/>
      <c r="F42" s="544"/>
      <c r="G42" s="544"/>
      <c r="H42" s="544"/>
      <c r="I42" s="545"/>
      <c r="J42" s="263"/>
      <c r="K42" s="264"/>
      <c r="L42" s="265"/>
      <c r="M42" s="263"/>
      <c r="N42" s="264"/>
      <c r="O42" s="265"/>
    </row>
    <row r="43" spans="1:15" ht="45" customHeight="1">
      <c r="A43" s="247"/>
      <c r="B43" s="531"/>
      <c r="C43" s="532"/>
      <c r="D43" s="533"/>
      <c r="E43" s="537"/>
      <c r="F43" s="538"/>
      <c r="G43" s="538"/>
      <c r="H43" s="538"/>
      <c r="I43" s="539"/>
      <c r="J43" s="543"/>
      <c r="K43" s="544"/>
      <c r="L43" s="545"/>
      <c r="M43" s="263"/>
      <c r="N43" s="264"/>
      <c r="O43" s="265"/>
    </row>
    <row r="44" spans="1:15" ht="64.5" customHeight="1">
      <c r="A44" s="247"/>
      <c r="B44" s="534"/>
      <c r="C44" s="535"/>
      <c r="D44" s="536"/>
      <c r="E44" s="537"/>
      <c r="F44" s="538"/>
      <c r="G44" s="538"/>
      <c r="H44" s="538"/>
      <c r="I44" s="539"/>
      <c r="J44" s="543"/>
      <c r="K44" s="544"/>
      <c r="L44" s="545"/>
      <c r="M44" s="263"/>
      <c r="N44" s="264"/>
      <c r="O44" s="265"/>
    </row>
    <row r="45" spans="1:15" ht="49.5" customHeight="1">
      <c r="B45" s="534"/>
      <c r="C45" s="535"/>
      <c r="D45" s="536"/>
      <c r="E45" s="537"/>
      <c r="F45" s="538"/>
      <c r="G45" s="538"/>
      <c r="H45" s="538"/>
      <c r="I45" s="539"/>
      <c r="J45" s="543"/>
      <c r="K45" s="544"/>
      <c r="L45" s="545"/>
      <c r="M45" s="263"/>
      <c r="N45" s="264"/>
      <c r="O45" s="265"/>
    </row>
    <row r="46" spans="1:15" ht="30" customHeight="1">
      <c r="B46" s="540"/>
      <c r="C46" s="541"/>
      <c r="D46" s="542"/>
      <c r="E46" s="251"/>
      <c r="F46" s="252"/>
      <c r="G46" s="252"/>
      <c r="H46" s="252"/>
      <c r="I46" s="253"/>
      <c r="J46" s="263"/>
      <c r="K46" s="264"/>
      <c r="L46" s="265"/>
      <c r="M46" s="263"/>
      <c r="N46" s="264"/>
      <c r="O46" s="265"/>
    </row>
    <row r="47" spans="1:15" ht="44.25" customHeight="1">
      <c r="B47" s="611" t="s">
        <v>298</v>
      </c>
      <c r="C47" s="612"/>
      <c r="D47" s="613"/>
      <c r="E47" s="614" t="s">
        <v>273</v>
      </c>
      <c r="F47" s="615"/>
      <c r="G47" s="615"/>
      <c r="H47" s="615"/>
      <c r="I47" s="616"/>
      <c r="J47" s="614" t="s">
        <v>274</v>
      </c>
      <c r="K47" s="615"/>
      <c r="L47" s="616"/>
      <c r="M47" s="614" t="s">
        <v>275</v>
      </c>
      <c r="N47" s="615"/>
      <c r="O47" s="616"/>
    </row>
    <row r="48" spans="1:15" ht="33.75" customHeight="1">
      <c r="B48" s="242"/>
      <c r="C48" s="243"/>
      <c r="D48" s="243"/>
      <c r="E48" s="236"/>
      <c r="F48" s="238"/>
      <c r="G48" s="238"/>
      <c r="H48" s="238"/>
      <c r="I48" s="238"/>
      <c r="J48" s="236"/>
      <c r="K48" s="236"/>
      <c r="L48" s="237"/>
      <c r="M48" s="235"/>
      <c r="N48" s="236"/>
      <c r="O48" s="237"/>
    </row>
    <row r="49" spans="2:15" ht="15.75" customHeight="1">
      <c r="B49" s="608" t="s">
        <v>295</v>
      </c>
      <c r="C49" s="609"/>
      <c r="D49" s="609"/>
      <c r="E49" s="609"/>
      <c r="F49" s="609"/>
      <c r="G49" s="609"/>
      <c r="H49" s="609"/>
      <c r="I49" s="609"/>
      <c r="J49" s="609"/>
      <c r="K49" s="609"/>
      <c r="L49" s="610"/>
      <c r="M49" s="598" t="s">
        <v>285</v>
      </c>
      <c r="N49" s="599"/>
      <c r="O49" s="600"/>
    </row>
    <row r="50" spans="2:15">
      <c r="D50" s="222"/>
    </row>
    <row r="52" spans="2:15">
      <c r="D52" s="222"/>
    </row>
    <row r="53" spans="2:15">
      <c r="D53" s="222"/>
    </row>
  </sheetData>
  <mergeCells count="120">
    <mergeCell ref="B12:D12"/>
    <mergeCell ref="J11:L11"/>
    <mergeCell ref="M11:O11"/>
    <mergeCell ref="J12:L12"/>
    <mergeCell ref="M12:O12"/>
    <mergeCell ref="E12:I12"/>
    <mergeCell ref="M19:O19"/>
    <mergeCell ref="M15:O15"/>
    <mergeCell ref="M13:O13"/>
    <mergeCell ref="M18:O18"/>
    <mergeCell ref="J14:L14"/>
    <mergeCell ref="E15:I15"/>
    <mergeCell ref="E19:I19"/>
    <mergeCell ref="J19:L19"/>
    <mergeCell ref="E18:I18"/>
    <mergeCell ref="J18:L18"/>
    <mergeCell ref="B18:D18"/>
    <mergeCell ref="B15:D15"/>
    <mergeCell ref="B13:D13"/>
    <mergeCell ref="B16:O16"/>
    <mergeCell ref="J15:L15"/>
    <mergeCell ref="E13:I13"/>
    <mergeCell ref="J13:L13"/>
    <mergeCell ref="M14:O14"/>
    <mergeCell ref="B2:M2"/>
    <mergeCell ref="B5:O5"/>
    <mergeCell ref="M8:O8"/>
    <mergeCell ref="J8:L8"/>
    <mergeCell ref="E7:I7"/>
    <mergeCell ref="B7:D7"/>
    <mergeCell ref="E8:I8"/>
    <mergeCell ref="B11:D11"/>
    <mergeCell ref="B10:D10"/>
    <mergeCell ref="E11:I11"/>
    <mergeCell ref="E10:I10"/>
    <mergeCell ref="J10:L10"/>
    <mergeCell ref="J7:L7"/>
    <mergeCell ref="M7:O7"/>
    <mergeCell ref="M10:O10"/>
    <mergeCell ref="B8:D8"/>
    <mergeCell ref="M9:O9"/>
    <mergeCell ref="B9:D9"/>
    <mergeCell ref="E9:I9"/>
    <mergeCell ref="J9:L9"/>
    <mergeCell ref="M49:O49"/>
    <mergeCell ref="B30:O30"/>
    <mergeCell ref="B32:D32"/>
    <mergeCell ref="E32:I32"/>
    <mergeCell ref="J32:L32"/>
    <mergeCell ref="M32:O32"/>
    <mergeCell ref="B49:L49"/>
    <mergeCell ref="B47:D47"/>
    <mergeCell ref="E47:I47"/>
    <mergeCell ref="J47:L47"/>
    <mergeCell ref="M47:O47"/>
    <mergeCell ref="J41:L41"/>
    <mergeCell ref="M41:O41"/>
    <mergeCell ref="M35:O35"/>
    <mergeCell ref="M33:O33"/>
    <mergeCell ref="M34:O34"/>
    <mergeCell ref="J33:L33"/>
    <mergeCell ref="J34:L34"/>
    <mergeCell ref="B35:D35"/>
    <mergeCell ref="J35:L35"/>
    <mergeCell ref="B38:D38"/>
    <mergeCell ref="E42:I42"/>
    <mergeCell ref="E43:I43"/>
    <mergeCell ref="B42:D42"/>
    <mergeCell ref="B20:D20"/>
    <mergeCell ref="E20:I20"/>
    <mergeCell ref="B21:D21"/>
    <mergeCell ref="E21:I21"/>
    <mergeCell ref="B22:D22"/>
    <mergeCell ref="B23:D24"/>
    <mergeCell ref="B14:D14"/>
    <mergeCell ref="E14:I14"/>
    <mergeCell ref="B19:D19"/>
    <mergeCell ref="E22:I22"/>
    <mergeCell ref="E23:I23"/>
    <mergeCell ref="E24:I24"/>
    <mergeCell ref="J20:L20"/>
    <mergeCell ref="M20:O20"/>
    <mergeCell ref="M25:O25"/>
    <mergeCell ref="J25:L25"/>
    <mergeCell ref="J21:L21"/>
    <mergeCell ref="M21:O21"/>
    <mergeCell ref="J23:L24"/>
    <mergeCell ref="M22:O22"/>
    <mergeCell ref="M23:O24"/>
    <mergeCell ref="J22:L22"/>
    <mergeCell ref="B25:D25"/>
    <mergeCell ref="B33:D33"/>
    <mergeCell ref="B34:D34"/>
    <mergeCell ref="E37:I37"/>
    <mergeCell ref="E35:I35"/>
    <mergeCell ref="J40:L40"/>
    <mergeCell ref="M40:O40"/>
    <mergeCell ref="B39:D39"/>
    <mergeCell ref="M38:O38"/>
    <mergeCell ref="E39:I39"/>
    <mergeCell ref="B37:D37"/>
    <mergeCell ref="E38:I38"/>
    <mergeCell ref="J38:L38"/>
    <mergeCell ref="B36:D36"/>
    <mergeCell ref="E33:I33"/>
    <mergeCell ref="E34:I34"/>
    <mergeCell ref="E25:I25"/>
    <mergeCell ref="E40:I40"/>
    <mergeCell ref="B41:D41"/>
    <mergeCell ref="B40:D40"/>
    <mergeCell ref="E41:I41"/>
    <mergeCell ref="B46:D46"/>
    <mergeCell ref="J43:L43"/>
    <mergeCell ref="J44:L44"/>
    <mergeCell ref="J45:L45"/>
    <mergeCell ref="E44:I44"/>
    <mergeCell ref="B44:D44"/>
    <mergeCell ref="B45:D45"/>
    <mergeCell ref="E45:I45"/>
    <mergeCell ref="B43:D43"/>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&amp;L&amp;F&amp;C&amp;A&amp;RV1.0          &amp;D</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52"/>
  <sheetViews>
    <sheetView showGridLines="0" tabSelected="1" topLeftCell="A73" zoomScale="90" zoomScaleNormal="90" zoomScalePageLayoutView="90" workbookViewId="0">
      <selection activeCell="G102" sqref="G102"/>
    </sheetView>
  </sheetViews>
  <sheetFormatPr defaultColWidth="11" defaultRowHeight="15"/>
  <cols>
    <col min="1" max="1" width="2.7109375" customWidth="1"/>
    <col min="2" max="2" width="46.140625" customWidth="1"/>
    <col min="3" max="3" width="36" customWidth="1"/>
    <col min="4" max="4" width="19.140625" customWidth="1"/>
    <col min="5" max="5" width="16.42578125" customWidth="1"/>
    <col min="6" max="6" width="17.42578125" customWidth="1"/>
    <col min="7" max="7" width="16.42578125" customWidth="1"/>
    <col min="8" max="8" width="17.42578125" customWidth="1"/>
    <col min="9" max="9" width="16.28515625" customWidth="1"/>
    <col min="10" max="10" width="16.85546875" customWidth="1"/>
    <col min="11" max="11" width="16" customWidth="1"/>
    <col min="12" max="12" width="15.28515625" customWidth="1"/>
    <col min="13" max="13" width="15.42578125" customWidth="1"/>
    <col min="14" max="14" width="14.28515625" style="36" customWidth="1"/>
    <col min="15" max="15" width="15.42578125" style="36"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style="36" customWidth="1"/>
    <col min="35" max="35" width="3.28515625" style="36" customWidth="1"/>
    <col min="36" max="36" width="2.28515625" style="36" customWidth="1"/>
    <col min="37" max="37" width="40.7109375" customWidth="1"/>
    <col min="38" max="38" width="15.42578125" customWidth="1"/>
  </cols>
  <sheetData>
    <row r="1" spans="1:13" ht="29.25" customHeight="1">
      <c r="A1" s="3"/>
      <c r="B1" s="3"/>
      <c r="C1" s="3"/>
      <c r="D1" s="3"/>
      <c r="E1" s="3"/>
      <c r="F1" s="3"/>
      <c r="G1" s="3"/>
      <c r="H1" s="3"/>
      <c r="I1" s="3"/>
      <c r="J1" s="3"/>
      <c r="K1" s="3"/>
      <c r="L1" s="3"/>
      <c r="M1" s="3"/>
    </row>
    <row r="2" spans="1:13" ht="15.75" customHeight="1">
      <c r="A2" s="3"/>
      <c r="B2" s="667" t="s">
        <v>373</v>
      </c>
      <c r="C2" s="667"/>
      <c r="D2" s="667"/>
      <c r="E2" s="667"/>
      <c r="F2" s="667"/>
      <c r="G2" s="667"/>
      <c r="H2" s="667"/>
      <c r="I2" s="667"/>
      <c r="J2" s="667"/>
      <c r="K2" s="285"/>
      <c r="L2" s="285"/>
      <c r="M2" s="285"/>
    </row>
    <row r="3" spans="1:13" ht="4.5" customHeight="1">
      <c r="A3" s="3"/>
      <c r="B3" s="3"/>
      <c r="C3" s="3"/>
      <c r="D3" s="3"/>
      <c r="E3" s="3"/>
      <c r="F3" s="3"/>
      <c r="G3" s="3"/>
      <c r="H3" s="3"/>
      <c r="I3" s="3"/>
      <c r="J3" s="3"/>
      <c r="K3" s="3"/>
      <c r="L3" s="3"/>
      <c r="M3" s="3"/>
    </row>
    <row r="4" spans="1:13">
      <c r="A4" s="3"/>
      <c r="B4" s="283" t="s">
        <v>25</v>
      </c>
      <c r="C4" s="658" t="s">
        <v>176</v>
      </c>
      <c r="D4" s="659"/>
      <c r="E4" s="657" t="s">
        <v>11</v>
      </c>
      <c r="F4" s="657"/>
      <c r="G4" s="668" t="s">
        <v>445</v>
      </c>
      <c r="H4" s="669"/>
      <c r="I4" s="669"/>
      <c r="J4" s="670"/>
      <c r="K4" s="3"/>
      <c r="L4" s="3"/>
      <c r="M4" s="3"/>
    </row>
    <row r="5" spans="1:13" ht="3" customHeight="1">
      <c r="A5" s="3"/>
      <c r="B5" s="283"/>
      <c r="C5" s="3"/>
      <c r="D5" s="3"/>
      <c r="E5" s="286"/>
      <c r="F5" s="286"/>
      <c r="G5" s="3"/>
      <c r="H5" s="3"/>
      <c r="I5" s="3"/>
      <c r="J5" s="3"/>
      <c r="K5" s="3"/>
      <c r="L5" s="3"/>
      <c r="M5" s="3"/>
    </row>
    <row r="6" spans="1:13">
      <c r="A6" s="3"/>
      <c r="B6" s="283" t="s">
        <v>116</v>
      </c>
      <c r="C6" s="658" t="s">
        <v>413</v>
      </c>
      <c r="D6" s="659"/>
      <c r="E6" s="657" t="s">
        <v>26</v>
      </c>
      <c r="F6" s="657"/>
      <c r="G6" s="314" t="s">
        <v>27</v>
      </c>
      <c r="H6" s="283" t="s">
        <v>321</v>
      </c>
      <c r="I6" s="672">
        <v>18462163</v>
      </c>
      <c r="J6" s="673"/>
      <c r="K6" s="3"/>
      <c r="L6" s="3"/>
      <c r="M6" s="3"/>
    </row>
    <row r="7" spans="1:13" ht="3" customHeight="1">
      <c r="A7" s="3"/>
      <c r="B7" s="283"/>
      <c r="C7" s="3"/>
      <c r="D7" s="3"/>
      <c r="E7" s="286"/>
      <c r="F7" s="286"/>
      <c r="G7" s="3"/>
      <c r="H7" s="283"/>
      <c r="I7" s="3"/>
      <c r="J7" s="3"/>
      <c r="K7" s="3"/>
      <c r="L7" s="3"/>
      <c r="M7" s="3"/>
    </row>
    <row r="8" spans="1:13">
      <c r="A8" s="3"/>
      <c r="B8" s="283" t="s">
        <v>268</v>
      </c>
      <c r="C8" s="658" t="s">
        <v>414</v>
      </c>
      <c r="D8" s="659"/>
      <c r="E8" s="287"/>
      <c r="F8" s="282" t="s">
        <v>323</v>
      </c>
      <c r="G8" s="451" t="s">
        <v>444</v>
      </c>
      <c r="H8" s="282" t="s">
        <v>322</v>
      </c>
      <c r="I8" s="676" t="s">
        <v>443</v>
      </c>
      <c r="J8" s="677"/>
      <c r="K8" s="3"/>
      <c r="L8" s="3"/>
      <c r="M8" s="3"/>
    </row>
    <row r="9" spans="1:13" ht="3" customHeight="1">
      <c r="A9" s="3"/>
      <c r="B9" s="286"/>
      <c r="C9" s="3"/>
      <c r="D9" s="3"/>
      <c r="E9" s="286"/>
      <c r="F9" s="286"/>
      <c r="G9" s="3"/>
      <c r="H9" s="3"/>
      <c r="I9" s="3"/>
      <c r="J9" s="3"/>
      <c r="K9" s="3"/>
      <c r="L9" s="3"/>
      <c r="M9" s="3"/>
    </row>
    <row r="10" spans="1:13">
      <c r="A10" s="3"/>
      <c r="B10" s="283" t="s">
        <v>402</v>
      </c>
      <c r="C10" s="678">
        <v>42552</v>
      </c>
      <c r="D10" s="679"/>
      <c r="E10" s="671" t="s">
        <v>30</v>
      </c>
      <c r="F10" s="663"/>
      <c r="G10" s="658" t="s">
        <v>262</v>
      </c>
      <c r="H10" s="675"/>
      <c r="I10" s="675"/>
      <c r="J10" s="659"/>
      <c r="K10" s="3"/>
      <c r="L10" s="3"/>
      <c r="M10" s="3"/>
    </row>
    <row r="11" spans="1:13" ht="5.25" customHeight="1">
      <c r="A11" s="3"/>
      <c r="B11" s="3"/>
      <c r="C11" s="3"/>
      <c r="D11" s="3"/>
      <c r="E11" s="3"/>
      <c r="F11" s="3"/>
      <c r="G11" s="3"/>
      <c r="H11" s="3"/>
      <c r="I11" s="3"/>
      <c r="J11" s="3"/>
      <c r="K11" s="3"/>
      <c r="L11" s="3"/>
      <c r="M11" s="3"/>
    </row>
    <row r="12" spans="1:13" ht="15" customHeight="1">
      <c r="A12" s="3"/>
      <c r="B12" s="283" t="s">
        <v>28</v>
      </c>
      <c r="C12" s="656" t="s">
        <v>44</v>
      </c>
      <c r="D12" s="656"/>
      <c r="E12" s="671" t="s">
        <v>289</v>
      </c>
      <c r="F12" s="657"/>
      <c r="G12" s="674" t="s">
        <v>460</v>
      </c>
      <c r="H12" s="674"/>
      <c r="I12" s="674"/>
      <c r="J12" s="674"/>
      <c r="K12" s="3"/>
      <c r="L12" s="3"/>
      <c r="M12" s="3"/>
    </row>
    <row r="13" spans="1:13" ht="5.25" customHeight="1">
      <c r="A13" s="3"/>
      <c r="B13" s="3"/>
      <c r="C13" s="3"/>
      <c r="D13" s="3"/>
      <c r="E13" s="3"/>
      <c r="F13" s="3"/>
      <c r="G13" s="3"/>
      <c r="H13" s="3"/>
      <c r="I13" s="3"/>
      <c r="J13" s="3"/>
      <c r="K13" s="3"/>
      <c r="L13" s="3"/>
      <c r="M13" s="3"/>
    </row>
    <row r="14" spans="1:13" ht="15.75" customHeight="1">
      <c r="A14" s="3"/>
      <c r="B14" s="667" t="s">
        <v>2</v>
      </c>
      <c r="C14" s="667"/>
      <c r="D14" s="667"/>
      <c r="E14" s="667"/>
      <c r="F14" s="667"/>
      <c r="G14" s="667"/>
      <c r="H14" s="667"/>
      <c r="I14" s="667"/>
      <c r="J14" s="667"/>
      <c r="K14" s="3"/>
      <c r="L14" s="3"/>
      <c r="M14" s="3"/>
    </row>
    <row r="15" spans="1:13" ht="3" customHeight="1">
      <c r="A15" s="3"/>
      <c r="B15" s="3"/>
      <c r="C15" s="3"/>
      <c r="D15" s="3"/>
      <c r="E15" s="3"/>
      <c r="F15" s="3"/>
      <c r="G15" s="3"/>
      <c r="H15" s="3"/>
      <c r="I15" s="3"/>
      <c r="J15" s="3"/>
      <c r="K15" s="3"/>
      <c r="L15" s="3"/>
      <c r="M15" s="3"/>
    </row>
    <row r="16" spans="1:13">
      <c r="A16" s="3"/>
      <c r="B16" s="283" t="s">
        <v>20</v>
      </c>
      <c r="C16" s="398" t="s">
        <v>120</v>
      </c>
      <c r="D16" s="282" t="s">
        <v>324</v>
      </c>
      <c r="E16" s="288">
        <v>42917</v>
      </c>
      <c r="F16" s="284" t="s">
        <v>8</v>
      </c>
      <c r="G16" s="288">
        <v>43008</v>
      </c>
      <c r="H16" s="671" t="s">
        <v>325</v>
      </c>
      <c r="I16" s="663"/>
      <c r="J16" s="452">
        <v>43028</v>
      </c>
      <c r="K16" s="3"/>
      <c r="L16" s="3"/>
      <c r="M16" s="3"/>
    </row>
    <row r="17" spans="1:35" ht="3" customHeight="1">
      <c r="A17" s="3"/>
      <c r="B17" s="3"/>
      <c r="C17" s="3"/>
      <c r="D17" s="3"/>
      <c r="E17" s="3"/>
      <c r="F17" s="3"/>
      <c r="G17" s="3"/>
      <c r="H17" s="3"/>
      <c r="I17" s="3"/>
      <c r="J17" s="3"/>
      <c r="K17" s="3"/>
      <c r="L17" s="3"/>
      <c r="M17" s="3"/>
    </row>
    <row r="18" spans="1:35">
      <c r="A18" s="3"/>
      <c r="B18" s="662" t="s">
        <v>31</v>
      </c>
      <c r="C18" s="663"/>
      <c r="D18" s="664" t="s">
        <v>415</v>
      </c>
      <c r="E18" s="664"/>
      <c r="F18" s="664"/>
      <c r="G18" s="289"/>
      <c r="H18" s="289"/>
      <c r="I18" s="289"/>
      <c r="J18" s="289"/>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67" t="s">
        <v>362</v>
      </c>
      <c r="C21" s="667"/>
      <c r="D21" s="667"/>
      <c r="E21" s="667"/>
      <c r="F21" s="667"/>
      <c r="G21" s="667"/>
      <c r="H21" s="667"/>
      <c r="I21" s="667"/>
      <c r="J21" s="667"/>
      <c r="K21" s="3"/>
      <c r="L21" s="3"/>
      <c r="M21" s="3"/>
    </row>
    <row r="22" spans="1:35">
      <c r="A22" s="3"/>
      <c r="B22" s="286" t="s">
        <v>3</v>
      </c>
      <c r="C22" s="3"/>
      <c r="D22" s="3"/>
      <c r="E22" s="290"/>
      <c r="F22" s="290"/>
      <c r="G22" s="3"/>
      <c r="H22" s="3"/>
      <c r="I22" s="290"/>
      <c r="J22" s="290"/>
      <c r="K22" s="3"/>
      <c r="L22" s="3"/>
      <c r="M22" s="3"/>
    </row>
    <row r="23" spans="1:35" ht="3" customHeight="1">
      <c r="A23" s="3"/>
      <c r="B23" s="3"/>
      <c r="C23" s="3"/>
      <c r="D23" s="3"/>
      <c r="E23" s="3"/>
      <c r="F23" s="3"/>
      <c r="G23" s="3"/>
      <c r="H23" s="3"/>
      <c r="I23" s="3"/>
      <c r="J23" s="3"/>
      <c r="K23" s="3"/>
      <c r="L23" s="3"/>
      <c r="M23" s="3"/>
    </row>
    <row r="24" spans="1:35" ht="15.75" thickBot="1">
      <c r="A24" s="3"/>
      <c r="B24" s="283" t="s">
        <v>398</v>
      </c>
      <c r="C24" s="389"/>
      <c r="D24" s="657" t="s">
        <v>399</v>
      </c>
      <c r="E24" s="657"/>
      <c r="F24" s="390"/>
      <c r="G24" s="657" t="s">
        <v>400</v>
      </c>
      <c r="H24" s="657"/>
      <c r="I24" s="720"/>
      <c r="J24" s="721"/>
      <c r="K24" s="3"/>
      <c r="L24" s="3"/>
      <c r="M24" s="3"/>
      <c r="N24" s="20"/>
    </row>
    <row r="25" spans="1:35" ht="19.5" thickBot="1">
      <c r="A25" s="3"/>
      <c r="B25" s="87" t="s">
        <v>398</v>
      </c>
      <c r="C25" s="88"/>
      <c r="D25" s="88"/>
      <c r="E25" s="88"/>
      <c r="F25" s="88"/>
      <c r="G25" s="88"/>
      <c r="H25" s="271"/>
      <c r="I25" s="89"/>
      <c r="J25" s="89"/>
      <c r="K25" s="271" t="s">
        <v>326</v>
      </c>
      <c r="L25" s="88"/>
      <c r="M25" s="88"/>
      <c r="N25" s="399"/>
      <c r="O25" s="40"/>
      <c r="AI25" s="44"/>
    </row>
    <row r="26" spans="1:35">
      <c r="A26" s="3"/>
      <c r="B26" s="710" t="s">
        <v>369</v>
      </c>
      <c r="C26" s="711"/>
      <c r="D26" s="409" t="s">
        <v>18</v>
      </c>
      <c r="E26" s="91"/>
      <c r="F26" s="91"/>
      <c r="G26" s="91"/>
      <c r="H26" s="91"/>
      <c r="I26" s="91"/>
      <c r="J26" s="92"/>
      <c r="K26" s="91"/>
      <c r="L26" s="91"/>
      <c r="M26" s="91"/>
      <c r="N26" s="40"/>
      <c r="O26" s="40"/>
      <c r="AI26" s="44"/>
    </row>
    <row r="27" spans="1:35" ht="18.75">
      <c r="A27" s="3"/>
      <c r="B27" s="90" t="s">
        <v>379</v>
      </c>
      <c r="C27" s="91"/>
      <c r="D27" s="91"/>
      <c r="E27" s="91"/>
      <c r="F27" s="91"/>
      <c r="G27" s="91"/>
      <c r="H27" s="91"/>
      <c r="I27" s="91"/>
      <c r="J27" s="92"/>
      <c r="K27" s="91"/>
      <c r="L27" s="91"/>
      <c r="M27" s="91"/>
      <c r="N27" s="40"/>
      <c r="O27" s="40"/>
      <c r="AI27" s="44"/>
    </row>
    <row r="28" spans="1:35" ht="15.75" thickBot="1">
      <c r="A28" s="3"/>
      <c r="B28" s="3"/>
      <c r="C28" s="3"/>
      <c r="D28" s="3"/>
      <c r="E28" s="3"/>
      <c r="F28" s="3"/>
      <c r="G28" s="3"/>
      <c r="H28" s="3"/>
      <c r="I28" s="3"/>
      <c r="J28" s="3"/>
      <c r="K28" s="3"/>
      <c r="L28" s="3"/>
      <c r="M28" s="3"/>
    </row>
    <row r="29" spans="1:35" ht="15.75" thickBot="1">
      <c r="A29" s="3"/>
      <c r="B29" s="637" t="s">
        <v>59</v>
      </c>
      <c r="C29" s="638"/>
      <c r="D29" s="638"/>
      <c r="E29" s="638"/>
      <c r="F29" s="638"/>
      <c r="G29" s="638"/>
      <c r="H29" s="638"/>
      <c r="I29" s="638"/>
      <c r="J29" s="638"/>
      <c r="K29" s="638"/>
      <c r="L29" s="638"/>
      <c r="M29" s="638"/>
      <c r="N29" s="639"/>
      <c r="P29" s="207"/>
      <c r="Q29" s="208"/>
      <c r="R29" s="209">
        <f>+C33</f>
        <v>2566060.5206649359</v>
      </c>
      <c r="S29" s="207"/>
    </row>
    <row r="30" spans="1:35">
      <c r="A30" s="3"/>
      <c r="B30" s="93" t="s">
        <v>267</v>
      </c>
      <c r="C30" s="368" t="s">
        <v>105</v>
      </c>
      <c r="D30" s="368" t="s">
        <v>106</v>
      </c>
      <c r="E30" s="368" t="s">
        <v>107</v>
      </c>
      <c r="F30" s="368" t="s">
        <v>108</v>
      </c>
      <c r="G30" s="368" t="s">
        <v>120</v>
      </c>
      <c r="H30" s="368" t="s">
        <v>121</v>
      </c>
      <c r="I30" s="368" t="s">
        <v>122</v>
      </c>
      <c r="J30" s="368" t="s">
        <v>123</v>
      </c>
      <c r="K30" s="368" t="s">
        <v>124</v>
      </c>
      <c r="L30" s="368" t="s">
        <v>125</v>
      </c>
      <c r="M30" s="368" t="s">
        <v>126</v>
      </c>
      <c r="N30" s="369" t="s">
        <v>287</v>
      </c>
      <c r="O30" s="370" t="s">
        <v>4</v>
      </c>
      <c r="P30" s="207"/>
      <c r="Q30" s="208"/>
      <c r="R30" s="209">
        <f>+D33</f>
        <v>4646843.1347466186</v>
      </c>
      <c r="S30" s="207"/>
    </row>
    <row r="31" spans="1:35">
      <c r="A31" s="3"/>
      <c r="B31" s="279" t="str">
        <f>CONCATENATE("Budget (in ",'Data Entry'!$D$26,")")</f>
        <v>Budget (in $)</v>
      </c>
      <c r="C31" s="380">
        <v>2566060.5206649359</v>
      </c>
      <c r="D31" s="379">
        <v>2080782.6140816831</v>
      </c>
      <c r="E31" s="379">
        <v>1194323.617963203</v>
      </c>
      <c r="F31" s="379">
        <v>2692690.7387130852</v>
      </c>
      <c r="G31" s="379">
        <v>2083062.970859054</v>
      </c>
      <c r="H31" s="379">
        <v>1112385.8327939734</v>
      </c>
      <c r="I31" s="379">
        <v>857624.84596905019</v>
      </c>
      <c r="J31" s="379">
        <v>2067591.4070877179</v>
      </c>
      <c r="K31" s="379">
        <v>1101427.635364691</v>
      </c>
      <c r="L31" s="379">
        <v>860466.89199783921</v>
      </c>
      <c r="M31" s="379">
        <v>1026776.3460958237</v>
      </c>
      <c r="N31" s="379">
        <v>818969.75864555466</v>
      </c>
      <c r="O31" s="727">
        <f>+SUM(C35:N35)</f>
        <v>0.77173148928714308</v>
      </c>
      <c r="P31" s="207"/>
      <c r="Q31" s="208"/>
      <c r="R31" s="209">
        <f>+E33</f>
        <v>5841166.7527098218</v>
      </c>
      <c r="S31" s="207"/>
    </row>
    <row r="32" spans="1:35">
      <c r="A32" s="3"/>
      <c r="B32" s="93" t="str">
        <f>CONCATENATE("Disbursements by GF (in ", $D$26,")")</f>
        <v>Disbursements by GF (in $)</v>
      </c>
      <c r="C32" s="380">
        <f>1284254+627977.72</f>
        <v>1912231.72</v>
      </c>
      <c r="D32" s="380">
        <v>2063549.52</v>
      </c>
      <c r="E32" s="380">
        <f>46228.15+1194324+8961.78</f>
        <v>1249513.93</v>
      </c>
      <c r="F32" s="379">
        <f>139128.72+2179909</f>
        <v>2319037.7200000002</v>
      </c>
      <c r="G32" s="380">
        <f>160958.98+296740.97+191379</f>
        <v>649078.94999999995</v>
      </c>
      <c r="H32" s="380"/>
      <c r="I32" s="379"/>
      <c r="J32" s="379"/>
      <c r="K32" s="379"/>
      <c r="L32" s="379"/>
      <c r="M32" s="379"/>
      <c r="N32" s="379"/>
      <c r="O32" s="728"/>
      <c r="P32" s="207"/>
      <c r="Q32" s="208"/>
      <c r="R32" s="209">
        <f>+F33</f>
        <v>8533857.4914229065</v>
      </c>
      <c r="S32" s="207"/>
    </row>
    <row r="33" spans="1:35">
      <c r="A33" s="3"/>
      <c r="B33" s="94" t="s">
        <v>385</v>
      </c>
      <c r="C33" s="381">
        <f>+C31</f>
        <v>2566060.5206649359</v>
      </c>
      <c r="D33" s="381">
        <f>IF(AND(D31=0,D32=0),0,+C33+D31)</f>
        <v>4646843.1347466186</v>
      </c>
      <c r="E33" s="381">
        <f t="shared" ref="E33:N33" si="0">IF(AND(E31=0,E32=0),0,+D33+E31)</f>
        <v>5841166.7527098218</v>
      </c>
      <c r="F33" s="381">
        <f t="shared" si="0"/>
        <v>8533857.4914229065</v>
      </c>
      <c r="G33" s="381">
        <f t="shared" si="0"/>
        <v>10616920.462281961</v>
      </c>
      <c r="H33" s="381">
        <f t="shared" si="0"/>
        <v>11729306.295075934</v>
      </c>
      <c r="I33" s="381">
        <f t="shared" si="0"/>
        <v>12586931.141044986</v>
      </c>
      <c r="J33" s="381">
        <f t="shared" si="0"/>
        <v>14654522.548132703</v>
      </c>
      <c r="K33" s="381">
        <f t="shared" si="0"/>
        <v>15755950.183497394</v>
      </c>
      <c r="L33" s="381">
        <f t="shared" si="0"/>
        <v>16616417.075495232</v>
      </c>
      <c r="M33" s="381">
        <f t="shared" si="0"/>
        <v>17643193.421591055</v>
      </c>
      <c r="N33" s="381">
        <f t="shared" si="0"/>
        <v>18462163.180236608</v>
      </c>
      <c r="O33" s="728"/>
      <c r="P33" s="362"/>
      <c r="Q33" s="208"/>
      <c r="R33" s="209">
        <f>+G33</f>
        <v>10616920.462281961</v>
      </c>
      <c r="S33" s="207"/>
    </row>
    <row r="34" spans="1:35" ht="15.75" thickBot="1">
      <c r="A34" s="3"/>
      <c r="B34" s="95" t="s">
        <v>386</v>
      </c>
      <c r="C34" s="382">
        <f>+C32</f>
        <v>1912231.72</v>
      </c>
      <c r="D34" s="382">
        <f>IF(AND(D31=0,D32=0),0,+C34+D32)</f>
        <v>3975781.24</v>
      </c>
      <c r="E34" s="382">
        <f t="shared" ref="E34:N34" si="1">IF(AND(E31=0,E32=0),0,+D34+E32)</f>
        <v>5225295.17</v>
      </c>
      <c r="F34" s="382">
        <f t="shared" si="1"/>
        <v>7544332.8900000006</v>
      </c>
      <c r="G34" s="382">
        <f>IF(AND(G31=0,G32=0),0,+F34+G32)</f>
        <v>8193411.8400000008</v>
      </c>
      <c r="H34" s="382">
        <f t="shared" si="1"/>
        <v>8193411.8400000008</v>
      </c>
      <c r="I34" s="382">
        <f t="shared" si="1"/>
        <v>8193411.8400000008</v>
      </c>
      <c r="J34" s="382">
        <f t="shared" si="1"/>
        <v>8193411.8400000008</v>
      </c>
      <c r="K34" s="382">
        <f t="shared" si="1"/>
        <v>8193411.8400000008</v>
      </c>
      <c r="L34" s="382">
        <f t="shared" si="1"/>
        <v>8193411.8400000008</v>
      </c>
      <c r="M34" s="382">
        <f t="shared" si="1"/>
        <v>8193411.8400000008</v>
      </c>
      <c r="N34" s="382">
        <f t="shared" si="1"/>
        <v>8193411.8400000008</v>
      </c>
      <c r="O34" s="729"/>
      <c r="P34" s="362"/>
      <c r="Q34" s="208"/>
      <c r="R34" s="209">
        <f>+H33</f>
        <v>11729306.295075934</v>
      </c>
      <c r="S34" s="207"/>
    </row>
    <row r="35" spans="1:35">
      <c r="A35" s="3"/>
      <c r="B35" s="3"/>
      <c r="C35" s="342">
        <f>+IF(AND(C30=$C$16,C33&lt;&gt;0),C34/C33,0)</f>
        <v>0</v>
      </c>
      <c r="D35" s="342">
        <f t="shared" ref="D35:N35" si="2">+IF(AND(D30=$C$16,D33&lt;&gt;0),D34/D33,0)</f>
        <v>0</v>
      </c>
      <c r="E35" s="342">
        <f t="shared" si="2"/>
        <v>0</v>
      </c>
      <c r="F35" s="342">
        <f t="shared" si="2"/>
        <v>0</v>
      </c>
      <c r="G35" s="342">
        <f t="shared" si="2"/>
        <v>0.77173148928714308</v>
      </c>
      <c r="H35" s="342">
        <f t="shared" si="2"/>
        <v>0</v>
      </c>
      <c r="I35" s="342">
        <f t="shared" si="2"/>
        <v>0</v>
      </c>
      <c r="J35" s="342">
        <f t="shared" si="2"/>
        <v>0</v>
      </c>
      <c r="K35" s="342">
        <f t="shared" si="2"/>
        <v>0</v>
      </c>
      <c r="L35" s="342">
        <f t="shared" si="2"/>
        <v>0</v>
      </c>
      <c r="M35" s="342">
        <f t="shared" si="2"/>
        <v>0</v>
      </c>
      <c r="N35" s="342">
        <f t="shared" si="2"/>
        <v>0</v>
      </c>
      <c r="O35" s="291"/>
      <c r="P35" s="210"/>
      <c r="Q35" s="211"/>
      <c r="R35" s="209">
        <f>+I33</f>
        <v>12586931.141044986</v>
      </c>
      <c r="S35" s="207"/>
    </row>
    <row r="36" spans="1:35" ht="18.75">
      <c r="A36" s="3"/>
      <c r="B36" s="90" t="s">
        <v>378</v>
      </c>
      <c r="C36" s="3"/>
      <c r="D36" s="3"/>
      <c r="E36" s="356"/>
      <c r="F36" s="3"/>
      <c r="G36" s="262"/>
      <c r="H36" s="3"/>
      <c r="I36" s="3"/>
      <c r="J36" s="3"/>
      <c r="K36" s="3"/>
      <c r="L36" s="3"/>
      <c r="M36" s="3"/>
      <c r="N36" s="41"/>
      <c r="O36" s="41"/>
      <c r="AI36" s="20"/>
    </row>
    <row r="37" spans="1:35" ht="15.75" thickBot="1">
      <c r="A37" s="3"/>
      <c r="B37" s="3"/>
      <c r="C37" s="3"/>
      <c r="D37" s="3"/>
      <c r="E37" s="3"/>
      <c r="F37" s="3"/>
      <c r="G37" s="3"/>
      <c r="H37" s="3"/>
      <c r="I37" s="3"/>
      <c r="J37" s="3"/>
      <c r="K37" s="3"/>
      <c r="L37" s="3"/>
      <c r="M37" s="3"/>
      <c r="N37" s="39"/>
      <c r="O37" s="39"/>
    </row>
    <row r="38" spans="1:35" ht="30" customHeight="1">
      <c r="A38" s="3"/>
      <c r="B38" s="391" t="s">
        <v>401</v>
      </c>
      <c r="C38" s="392" t="str">
        <f>CONCATENATE("Cumulative Budget (in ",'Data Entry'!$D$26,")")</f>
        <v>Cumulative Budget (in $)</v>
      </c>
      <c r="D38" s="393" t="str">
        <f>CONCATENATE("Cumulative Expenditures (in ",'Data Entry'!$D$26,")")</f>
        <v>Cumulative Expenditures (in $)</v>
      </c>
      <c r="G38" s="3"/>
      <c r="H38" s="3"/>
      <c r="I38" s="3"/>
      <c r="J38" s="101"/>
      <c r="K38" s="42"/>
      <c r="N38"/>
      <c r="O38"/>
      <c r="AE38" s="20"/>
      <c r="AF38" s="36"/>
    </row>
    <row r="39" spans="1:35" ht="30" customHeight="1">
      <c r="A39" s="3"/>
      <c r="B39" s="394" t="s">
        <v>419</v>
      </c>
      <c r="C39" s="476">
        <v>968243.00335090328</v>
      </c>
      <c r="D39" s="477">
        <v>524014.16742057516</v>
      </c>
      <c r="G39" s="363"/>
      <c r="H39" s="3"/>
      <c r="I39" s="3"/>
      <c r="J39" s="102"/>
      <c r="K39" s="43"/>
      <c r="N39"/>
      <c r="O39"/>
      <c r="AE39" s="20"/>
      <c r="AF39" s="36"/>
    </row>
    <row r="40" spans="1:35" ht="27" customHeight="1">
      <c r="A40" s="3"/>
      <c r="B40" s="394" t="s">
        <v>420</v>
      </c>
      <c r="C40" s="476">
        <v>577412.1900074014</v>
      </c>
      <c r="D40" s="477">
        <v>339728.5989107503</v>
      </c>
      <c r="G40" s="363"/>
      <c r="H40" s="3"/>
      <c r="I40" s="3"/>
      <c r="J40" s="3"/>
      <c r="K40" s="43"/>
      <c r="N40"/>
      <c r="O40"/>
      <c r="AE40" s="20"/>
      <c r="AF40" s="36"/>
    </row>
    <row r="41" spans="1:35" ht="29.1" customHeight="1">
      <c r="A41" s="3"/>
      <c r="B41" s="394" t="s">
        <v>421</v>
      </c>
      <c r="C41" s="476">
        <v>3365776.4533869829</v>
      </c>
      <c r="D41" s="477">
        <v>2518934.4056300716</v>
      </c>
      <c r="G41" s="3"/>
      <c r="H41" s="3"/>
      <c r="I41" s="3"/>
      <c r="J41" s="3"/>
      <c r="K41" s="43"/>
      <c r="N41"/>
      <c r="O41"/>
      <c r="AE41" s="20"/>
      <c r="AF41" s="36"/>
    </row>
    <row r="42" spans="1:35" ht="30" customHeight="1">
      <c r="A42" s="3"/>
      <c r="B42" s="394" t="s">
        <v>422</v>
      </c>
      <c r="C42" s="476">
        <v>130468.44695358949</v>
      </c>
      <c r="D42" s="477">
        <v>67231.511186032585</v>
      </c>
      <c r="G42" s="3"/>
      <c r="H42" s="3"/>
      <c r="I42" s="3"/>
      <c r="J42" s="3"/>
      <c r="K42" s="20"/>
      <c r="N42"/>
      <c r="O42"/>
      <c r="AE42" s="20"/>
      <c r="AF42" s="36"/>
    </row>
    <row r="43" spans="1:35">
      <c r="A43" s="3"/>
      <c r="B43" s="395" t="s">
        <v>423</v>
      </c>
      <c r="C43" s="476">
        <v>4371584.9702418484</v>
      </c>
      <c r="D43" s="477">
        <v>2449220.0949332062</v>
      </c>
      <c r="G43" s="3"/>
      <c r="H43" s="3"/>
      <c r="I43" s="3"/>
      <c r="J43" s="3"/>
      <c r="K43" s="20"/>
      <c r="N43"/>
      <c r="O43"/>
      <c r="AE43" s="20"/>
      <c r="AF43" s="36"/>
    </row>
    <row r="44" spans="1:35">
      <c r="A44" s="3"/>
      <c r="B44" s="395" t="s">
        <v>424</v>
      </c>
      <c r="C44" s="476">
        <v>504064.41281371715</v>
      </c>
      <c r="D44" s="477">
        <v>262543.45830213046</v>
      </c>
      <c r="G44" s="3"/>
      <c r="H44" s="3"/>
      <c r="I44" s="3"/>
      <c r="J44" s="3"/>
      <c r="K44" s="20"/>
      <c r="N44"/>
      <c r="O44"/>
      <c r="AE44" s="20"/>
      <c r="AF44" s="36"/>
    </row>
    <row r="45" spans="1:35">
      <c r="A45" s="3"/>
      <c r="B45" s="395" t="s">
        <v>425</v>
      </c>
      <c r="C45" s="476">
        <v>301440.50288569002</v>
      </c>
      <c r="D45" s="477">
        <v>173757.21691416673</v>
      </c>
      <c r="G45" s="15"/>
      <c r="H45" s="15"/>
      <c r="I45" s="15"/>
      <c r="J45" s="15"/>
      <c r="K45" s="20"/>
      <c r="N45"/>
      <c r="O45"/>
      <c r="AE45" s="36"/>
      <c r="AF45" s="36"/>
    </row>
    <row r="46" spans="1:35" ht="15.75" thickBot="1">
      <c r="A46" s="3"/>
      <c r="B46" s="396" t="s">
        <v>426</v>
      </c>
      <c r="C46" s="476">
        <v>397930.48264182894</v>
      </c>
      <c r="D46" s="477">
        <v>420052.63772623369</v>
      </c>
      <c r="G46" s="15"/>
      <c r="H46" s="15"/>
      <c r="I46" s="15"/>
      <c r="J46" s="15"/>
      <c r="K46" s="20"/>
      <c r="N46"/>
      <c r="O46"/>
      <c r="AE46" s="36"/>
      <c r="AF46" s="36"/>
    </row>
    <row r="47" spans="1:35" ht="15.75" thickBot="1">
      <c r="A47" s="3"/>
      <c r="B47" s="397" t="s">
        <v>58</v>
      </c>
      <c r="C47" s="478">
        <f>SUM(C39:C46)</f>
        <v>10616920.462281963</v>
      </c>
      <c r="D47" s="478">
        <f>SUM(D39:D46)</f>
        <v>6755482.0910231657</v>
      </c>
      <c r="E47" s="291"/>
      <c r="F47" s="733" t="str">
        <f ca="1">+IF((ROUND(C47,0)=ROUND(OFFSET(B33,0,RIGHT('Data Entry'!$C$16,LEN('Data Entry'!$C$16)-1),1,1),0)),"OK: Data match","Warning: Data does not match")</f>
        <v>OK: Data match</v>
      </c>
      <c r="G47" s="734"/>
      <c r="H47" s="734"/>
      <c r="I47" s="735"/>
      <c r="J47" s="201"/>
      <c r="K47" s="201"/>
      <c r="L47" s="201"/>
      <c r="M47" s="210"/>
      <c r="N47" s="211"/>
      <c r="O47" s="209"/>
      <c r="P47" s="207"/>
      <c r="AE47" s="36"/>
      <c r="AF47" s="36"/>
    </row>
    <row r="48" spans="1:35">
      <c r="A48" s="3"/>
      <c r="B48" s="3"/>
      <c r="C48" s="201"/>
      <c r="D48" s="201"/>
      <c r="E48" s="274"/>
      <c r="F48" s="201"/>
      <c r="G48" s="201"/>
      <c r="H48" s="201"/>
      <c r="I48" s="201"/>
      <c r="J48" s="201"/>
      <c r="K48" s="201"/>
      <c r="L48" s="201"/>
      <c r="M48" s="201"/>
      <c r="N48" s="201"/>
      <c r="O48" s="201"/>
      <c r="P48" s="210"/>
      <c r="Q48" s="211"/>
      <c r="R48" s="209"/>
      <c r="S48" s="207"/>
    </row>
    <row r="49" spans="1:35" ht="18.75">
      <c r="A49" s="3"/>
      <c r="B49" s="90" t="s">
        <v>377</v>
      </c>
      <c r="C49" s="3"/>
      <c r="D49" s="3"/>
      <c r="E49" s="3"/>
      <c r="F49" s="3"/>
      <c r="G49" s="3"/>
      <c r="H49" s="3"/>
      <c r="I49" s="3"/>
      <c r="J49" s="3"/>
      <c r="K49" s="3"/>
      <c r="L49" s="3"/>
      <c r="M49" s="3"/>
      <c r="P49" s="207"/>
      <c r="Q49" s="208"/>
      <c r="R49" s="209">
        <f>+J33</f>
        <v>14654522.548132703</v>
      </c>
      <c r="S49" s="207"/>
    </row>
    <row r="50" spans="1:35" ht="15.75" thickBot="1">
      <c r="A50" s="3"/>
      <c r="B50" s="3"/>
      <c r="C50" s="3"/>
      <c r="D50" s="3"/>
      <c r="E50" s="3"/>
      <c r="F50" s="201"/>
      <c r="G50" s="3"/>
      <c r="H50" s="3"/>
      <c r="I50" s="3"/>
      <c r="J50" s="3"/>
      <c r="K50" s="3"/>
      <c r="L50" s="3"/>
      <c r="M50" s="3"/>
      <c r="P50" s="207"/>
      <c r="Q50" s="208"/>
      <c r="R50" s="209">
        <f>+K33</f>
        <v>15755950.183497394</v>
      </c>
      <c r="S50" s="207"/>
    </row>
    <row r="51" spans="1:35" ht="35.25" customHeight="1">
      <c r="A51" s="3"/>
      <c r="B51" s="296"/>
      <c r="C51" s="297" t="s">
        <v>375</v>
      </c>
      <c r="D51" s="297" t="s">
        <v>376</v>
      </c>
      <c r="E51" s="405" t="str">
        <f>CONCATENATE("Total Spent and Disbursement (in ",D26,")")</f>
        <v>Total Spent and Disbursement (in $)</v>
      </c>
      <c r="F51" s="3"/>
      <c r="G51" s="300"/>
      <c r="H51" s="293"/>
      <c r="I51" s="280"/>
      <c r="J51" s="280"/>
      <c r="K51" s="280"/>
      <c r="L51" s="280"/>
      <c r="M51" s="22"/>
      <c r="N51" s="22"/>
      <c r="O51" s="207"/>
      <c r="P51" s="208"/>
      <c r="Q51" s="209">
        <f>+M33</f>
        <v>17643193.421591055</v>
      </c>
      <c r="R51" s="207"/>
      <c r="AH51" s="20"/>
    </row>
    <row r="52" spans="1:35">
      <c r="A52" s="3"/>
      <c r="B52" s="294" t="s">
        <v>311</v>
      </c>
      <c r="C52" s="383">
        <f>C32+D32+E32+F32</f>
        <v>7544332.8900000006</v>
      </c>
      <c r="D52" s="384">
        <f>G32</f>
        <v>649078.94999999995</v>
      </c>
      <c r="E52" s="385">
        <f>+D52+C52</f>
        <v>8193411.8400000008</v>
      </c>
      <c r="F52" s="3"/>
      <c r="G52" s="97"/>
      <c r="H52" s="298"/>
      <c r="I52" s="96"/>
      <c r="J52" s="204"/>
      <c r="K52" s="205"/>
      <c r="L52" s="98"/>
      <c r="M52" s="37"/>
      <c r="N52" s="37"/>
      <c r="O52" s="207"/>
      <c r="P52" s="207"/>
      <c r="Q52" s="207"/>
      <c r="R52" s="207"/>
      <c r="AH52" s="20"/>
    </row>
    <row r="53" spans="1:35">
      <c r="A53" s="3"/>
      <c r="B53" s="294" t="s">
        <v>290</v>
      </c>
      <c r="C53" s="384">
        <f>703487.022184008+324022+486657.600967515+502177</f>
        <v>2016343.6231515231</v>
      </c>
      <c r="D53" s="384">
        <f>381964+46228+296741</f>
        <v>724933</v>
      </c>
      <c r="E53" s="385">
        <f>+D53+C53</f>
        <v>2741276.6231515231</v>
      </c>
      <c r="F53" s="3"/>
      <c r="G53" s="256"/>
      <c r="H53" s="298"/>
      <c r="I53" s="96"/>
      <c r="J53" s="204"/>
      <c r="K53" s="204"/>
      <c r="L53" s="98"/>
      <c r="M53" s="38"/>
      <c r="N53" s="38"/>
      <c r="O53" s="207"/>
      <c r="P53" s="207"/>
      <c r="Q53" s="207"/>
      <c r="R53" s="207"/>
      <c r="AH53" s="20"/>
    </row>
    <row r="54" spans="1:35">
      <c r="A54" s="3"/>
      <c r="B54" s="294" t="s">
        <v>269</v>
      </c>
      <c r="C54" s="383">
        <f>507991.098523064+830667+889412.602206352+996498</f>
        <v>3224568.7007294162</v>
      </c>
      <c r="D54" s="384">
        <f>835865-46228</f>
        <v>789637</v>
      </c>
      <c r="E54" s="385">
        <f>+D54+C54</f>
        <v>4014205.7007294162</v>
      </c>
      <c r="F54" s="201"/>
      <c r="G54" s="97"/>
      <c r="H54" s="298"/>
      <c r="I54" s="96"/>
      <c r="J54" s="204"/>
      <c r="K54" s="205"/>
      <c r="L54" s="98"/>
      <c r="M54" s="37"/>
      <c r="N54" s="37"/>
      <c r="O54"/>
      <c r="AH54" s="20"/>
    </row>
    <row r="55" spans="1:35" ht="15.75" thickBot="1">
      <c r="A55" s="3"/>
      <c r="B55" s="295" t="s">
        <v>270</v>
      </c>
      <c r="C55" s="383">
        <f>764021.040635127+802958+900675.008677189+986602.37</f>
        <v>3454256.419312316</v>
      </c>
      <c r="D55" s="384">
        <v>744878.81</v>
      </c>
      <c r="E55" s="386">
        <f>+D55+C55</f>
        <v>4199135.2293123156</v>
      </c>
      <c r="F55" s="3"/>
      <c r="G55" s="257"/>
      <c r="H55" s="299"/>
      <c r="I55" s="99"/>
      <c r="J55" s="99"/>
      <c r="K55" s="99"/>
      <c r="L55" s="98"/>
      <c r="M55" s="38"/>
      <c r="N55" s="38"/>
      <c r="O55"/>
      <c r="AH55" s="20"/>
    </row>
    <row r="56" spans="1:35" ht="15.75" customHeight="1">
      <c r="A56" s="3"/>
      <c r="B56" s="3"/>
      <c r="C56" s="3"/>
      <c r="D56" s="3"/>
      <c r="E56" s="3"/>
      <c r="F56" s="3"/>
      <c r="G56" s="3"/>
      <c r="H56" s="3"/>
      <c r="I56" s="3"/>
      <c r="J56" s="3"/>
      <c r="K56" s="3"/>
      <c r="L56" s="3"/>
      <c r="M56" s="3"/>
      <c r="AI56" s="20"/>
    </row>
    <row r="57" spans="1:35">
      <c r="A57" s="3"/>
      <c r="B57" s="3"/>
      <c r="C57" s="3"/>
      <c r="D57" s="278"/>
      <c r="E57" s="3"/>
      <c r="F57" s="3"/>
      <c r="G57" s="3"/>
      <c r="H57" s="3"/>
      <c r="I57" s="3"/>
      <c r="J57" s="3"/>
      <c r="K57" s="3"/>
      <c r="L57" s="3"/>
      <c r="M57" s="3"/>
    </row>
    <row r="58" spans="1:35" ht="18.75">
      <c r="A58" s="3"/>
      <c r="B58" s="90" t="s">
        <v>380</v>
      </c>
      <c r="C58" s="3"/>
      <c r="D58" s="3"/>
      <c r="E58" s="3"/>
      <c r="F58" s="3"/>
      <c r="G58" s="3"/>
      <c r="H58" s="3"/>
      <c r="I58" s="3"/>
      <c r="J58" s="3"/>
      <c r="K58" s="3"/>
      <c r="L58" s="3"/>
      <c r="M58" s="3"/>
    </row>
    <row r="59" spans="1:35" ht="15.75" thickBot="1">
      <c r="A59" s="3"/>
      <c r="B59" s="3"/>
      <c r="C59" s="3"/>
      <c r="D59" s="3"/>
      <c r="E59" s="3"/>
      <c r="F59" s="3"/>
      <c r="G59" s="3"/>
      <c r="H59" s="3"/>
      <c r="I59" s="3"/>
      <c r="J59" s="3"/>
      <c r="K59" s="3"/>
      <c r="L59" s="3"/>
      <c r="M59" s="3"/>
    </row>
    <row r="60" spans="1:35">
      <c r="A60" s="3"/>
      <c r="B60" s="646" t="s">
        <v>346</v>
      </c>
      <c r="C60" s="647"/>
      <c r="D60" s="648"/>
      <c r="E60" s="3"/>
      <c r="F60" s="3"/>
      <c r="G60" s="3"/>
      <c r="H60" s="3"/>
      <c r="I60" s="3"/>
      <c r="J60" s="3"/>
      <c r="K60" s="3"/>
      <c r="L60" s="3"/>
      <c r="M60" s="36"/>
      <c r="O60"/>
    </row>
    <row r="61" spans="1:35">
      <c r="A61" s="3"/>
      <c r="B61" s="103"/>
      <c r="C61" s="302" t="s">
        <v>60</v>
      </c>
      <c r="D61" s="303" t="s">
        <v>61</v>
      </c>
      <c r="E61" s="3"/>
      <c r="F61" s="3"/>
      <c r="G61" s="3"/>
      <c r="H61" s="3"/>
      <c r="I61" s="3"/>
      <c r="J61" s="3"/>
      <c r="K61" s="3"/>
      <c r="L61" s="3"/>
      <c r="M61" s="36"/>
      <c r="O61"/>
    </row>
    <row r="62" spans="1:35">
      <c r="A62" s="3"/>
      <c r="B62" s="104" t="s">
        <v>1</v>
      </c>
      <c r="C62" s="364">
        <v>95</v>
      </c>
      <c r="D62" s="365" t="s">
        <v>443</v>
      </c>
      <c r="E62" s="3"/>
      <c r="F62" s="3"/>
      <c r="G62" s="3"/>
      <c r="H62" s="3"/>
      <c r="I62" s="3"/>
      <c r="J62" s="3"/>
      <c r="K62" s="3"/>
      <c r="L62" s="3"/>
      <c r="M62" s="36"/>
      <c r="O62"/>
    </row>
    <row r="63" spans="1:35">
      <c r="A63" s="3"/>
      <c r="B63" s="301" t="s">
        <v>363</v>
      </c>
      <c r="C63" s="364">
        <v>45</v>
      </c>
      <c r="D63" s="365" t="s">
        <v>443</v>
      </c>
      <c r="E63" s="3"/>
      <c r="F63" s="3"/>
      <c r="G63" s="3"/>
      <c r="H63" s="298"/>
      <c r="I63" s="298"/>
      <c r="J63" s="3"/>
      <c r="K63" s="3"/>
      <c r="L63" s="3"/>
      <c r="M63" s="36"/>
      <c r="O63"/>
    </row>
    <row r="64" spans="1:35" ht="15.75" thickBot="1">
      <c r="A64" s="3"/>
      <c r="B64" s="105" t="s">
        <v>364</v>
      </c>
      <c r="C64" s="366">
        <v>5</v>
      </c>
      <c r="D64" s="367">
        <v>3</v>
      </c>
      <c r="E64" s="3"/>
      <c r="F64" s="3"/>
      <c r="G64" s="3"/>
      <c r="H64" s="298"/>
      <c r="I64" s="298"/>
      <c r="J64" s="3"/>
      <c r="K64" s="3"/>
      <c r="L64" s="3"/>
      <c r="M64" s="36"/>
      <c r="O64"/>
    </row>
    <row r="65" spans="1:30">
      <c r="A65" s="3"/>
      <c r="B65" s="3"/>
      <c r="C65" s="3"/>
      <c r="D65" s="3"/>
      <c r="E65" s="3"/>
      <c r="F65" s="3"/>
      <c r="G65" s="3"/>
      <c r="H65" s="3"/>
      <c r="I65" s="3"/>
      <c r="J65" s="3"/>
      <c r="K65" s="3"/>
      <c r="L65" s="3"/>
      <c r="M65" s="3"/>
    </row>
    <row r="66" spans="1:30" ht="15.75" thickBot="1">
      <c r="A66" s="3"/>
      <c r="B66" s="3"/>
      <c r="C66" s="3"/>
      <c r="D66" s="3"/>
      <c r="E66" s="3"/>
      <c r="F66" s="3"/>
      <c r="G66" s="3"/>
      <c r="H66" s="3"/>
      <c r="I66" s="3"/>
      <c r="J66" s="3"/>
      <c r="K66" s="3"/>
      <c r="L66" s="401"/>
      <c r="M66" s="3"/>
      <c r="AC66" s="19"/>
      <c r="AD66" s="19"/>
    </row>
    <row r="67" spans="1:30" ht="19.5" thickBot="1">
      <c r="A67" s="3"/>
      <c r="B67" s="106" t="s">
        <v>263</v>
      </c>
      <c r="C67" s="107"/>
      <c r="D67" s="107"/>
      <c r="E67" s="107"/>
      <c r="F67" s="107"/>
      <c r="G67" s="107"/>
      <c r="H67" s="325" t="s">
        <v>304</v>
      </c>
      <c r="I67" s="107"/>
      <c r="J67" s="108"/>
      <c r="K67" s="108"/>
      <c r="L67" s="402"/>
      <c r="M67" s="403"/>
      <c r="N67" s="84"/>
      <c r="O67" s="84"/>
      <c r="P67" s="84"/>
      <c r="S67" s="44"/>
      <c r="AC67" s="19"/>
      <c r="AD67" s="19"/>
    </row>
    <row r="68" spans="1:30" ht="18.75">
      <c r="A68" s="3"/>
      <c r="B68" s="110"/>
      <c r="C68" s="109"/>
      <c r="D68" s="109"/>
      <c r="E68" s="109"/>
      <c r="F68" s="109"/>
      <c r="G68" s="109"/>
      <c r="H68" s="109"/>
      <c r="I68" s="109"/>
      <c r="J68" s="109"/>
      <c r="K68" s="111"/>
      <c r="L68" s="111"/>
      <c r="M68" s="109"/>
      <c r="N68" s="84"/>
      <c r="O68" s="84"/>
      <c r="P68" s="84"/>
      <c r="S68" s="44"/>
      <c r="AC68" s="19"/>
      <c r="AD68" s="19"/>
    </row>
    <row r="69" spans="1:30" ht="18.75">
      <c r="A69" s="3"/>
      <c r="B69" s="110" t="s">
        <v>381</v>
      </c>
      <c r="C69" s="109"/>
      <c r="D69" s="109"/>
      <c r="E69" s="109"/>
      <c r="F69" s="109"/>
      <c r="G69" s="109"/>
      <c r="H69" s="109"/>
      <c r="I69" s="109"/>
      <c r="J69" s="109"/>
      <c r="K69" s="111"/>
      <c r="L69" s="111"/>
      <c r="M69" s="109"/>
      <c r="N69" s="84"/>
      <c r="O69" s="84"/>
      <c r="P69" s="84"/>
      <c r="S69" s="44"/>
      <c r="AC69" s="19"/>
      <c r="AD69" s="19"/>
    </row>
    <row r="70" spans="1:30" ht="15.75" thickBot="1">
      <c r="A70" s="3"/>
      <c r="B70" s="2"/>
      <c r="C70" s="112"/>
      <c r="D70" s="112"/>
      <c r="E70" s="112"/>
      <c r="F70" s="112"/>
      <c r="G70" s="112"/>
      <c r="H70" s="2"/>
      <c r="I70" s="112"/>
      <c r="J70" s="2"/>
      <c r="K70" s="2"/>
      <c r="L70" s="2"/>
      <c r="M70" s="2"/>
      <c r="N70" s="20"/>
      <c r="O70" s="19"/>
      <c r="P70" s="19"/>
      <c r="Q70" s="19"/>
      <c r="R70" s="19"/>
      <c r="S70" s="19"/>
      <c r="AD70" s="19"/>
    </row>
    <row r="71" spans="1:30" ht="30">
      <c r="A71" s="3"/>
      <c r="B71" s="708"/>
      <c r="C71" s="709"/>
      <c r="D71" s="114" t="s">
        <v>117</v>
      </c>
      <c r="E71" s="115" t="s">
        <v>296</v>
      </c>
      <c r="F71" s="115" t="s">
        <v>118</v>
      </c>
      <c r="G71" s="116" t="s">
        <v>58</v>
      </c>
      <c r="H71" s="311"/>
      <c r="I71" s="312"/>
      <c r="J71" s="15"/>
      <c r="K71" s="2"/>
      <c r="L71" s="2"/>
      <c r="M71" s="2"/>
      <c r="N71" s="20"/>
      <c r="O71" s="19"/>
      <c r="P71" s="19"/>
      <c r="Q71" s="19"/>
      <c r="R71" s="19"/>
      <c r="S71" s="19"/>
    </row>
    <row r="72" spans="1:30">
      <c r="A72" s="3"/>
      <c r="B72" s="660" t="s">
        <v>455</v>
      </c>
      <c r="C72" s="661"/>
      <c r="D72" s="259">
        <v>4</v>
      </c>
      <c r="E72" s="259">
        <v>4</v>
      </c>
      <c r="F72" s="259">
        <v>0</v>
      </c>
      <c r="G72" s="117">
        <f>SUM(D72:F72)</f>
        <v>8</v>
      </c>
      <c r="H72" s="292"/>
      <c r="I72" s="310"/>
      <c r="J72" s="310"/>
      <c r="K72" s="2"/>
      <c r="L72" s="2"/>
      <c r="M72" s="2"/>
      <c r="N72" s="20"/>
      <c r="O72" s="19"/>
      <c r="P72" s="19"/>
      <c r="Q72" s="19"/>
      <c r="R72" s="19"/>
      <c r="S72" s="19"/>
    </row>
    <row r="73" spans="1:30" ht="15.75" thickBot="1">
      <c r="A73" s="3"/>
      <c r="B73" s="722"/>
      <c r="C73" s="723"/>
      <c r="D73" s="260"/>
      <c r="E73" s="260"/>
      <c r="F73" s="260"/>
      <c r="G73" s="118"/>
      <c r="H73" s="292"/>
      <c r="I73" s="15"/>
      <c r="J73" s="15"/>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Q74" s="19"/>
      <c r="R74" s="19"/>
      <c r="S74" s="19"/>
    </row>
    <row r="75" spans="1:30">
      <c r="A75" s="3"/>
      <c r="B75" s="2"/>
      <c r="C75" s="2"/>
      <c r="D75" s="2"/>
      <c r="E75" s="2"/>
      <c r="F75" s="2"/>
      <c r="G75" s="2"/>
      <c r="H75" s="2"/>
      <c r="I75" s="2"/>
      <c r="J75" s="2"/>
      <c r="K75" s="2"/>
      <c r="L75" s="2"/>
      <c r="M75" s="2"/>
      <c r="N75" s="19"/>
      <c r="O75" s="19"/>
      <c r="P75" s="19"/>
      <c r="S75" s="19"/>
    </row>
    <row r="76" spans="1:30" ht="18.75">
      <c r="A76" s="3"/>
      <c r="B76" s="110" t="s">
        <v>382</v>
      </c>
      <c r="C76" s="2"/>
      <c r="D76" s="2"/>
      <c r="E76" s="2"/>
      <c r="F76" s="2"/>
      <c r="G76" s="2"/>
      <c r="H76" s="2"/>
      <c r="I76" s="2"/>
      <c r="J76" s="2"/>
      <c r="K76" s="2"/>
      <c r="L76" s="2"/>
      <c r="M76" s="2"/>
      <c r="N76" s="19"/>
      <c r="O76" s="19"/>
      <c r="P76" s="19"/>
      <c r="S76" s="19"/>
    </row>
    <row r="77" spans="1:30" ht="15.75" thickBot="1">
      <c r="A77" s="3"/>
      <c r="B77" s="2"/>
      <c r="C77" s="2"/>
      <c r="D77" s="2"/>
      <c r="E77" s="2"/>
      <c r="F77" s="2"/>
      <c r="G77" s="2"/>
      <c r="H77" s="2"/>
      <c r="I77" s="2"/>
      <c r="J77" s="2"/>
      <c r="K77" s="2"/>
      <c r="L77" s="2"/>
      <c r="M77" s="2"/>
      <c r="N77" s="19"/>
      <c r="O77" s="19"/>
      <c r="P77" s="19"/>
      <c r="S77" s="19"/>
    </row>
    <row r="78" spans="1:30">
      <c r="A78" s="3"/>
      <c r="B78" s="119"/>
      <c r="C78" s="113" t="s">
        <v>63</v>
      </c>
      <c r="D78" s="113" t="s">
        <v>81</v>
      </c>
      <c r="E78" s="120" t="s">
        <v>64</v>
      </c>
      <c r="F78" s="15"/>
      <c r="G78" s="15"/>
      <c r="H78" s="15"/>
      <c r="I78" s="312"/>
      <c r="J78" s="2"/>
      <c r="K78" s="2"/>
      <c r="L78" s="2"/>
      <c r="M78" s="2"/>
      <c r="N78" s="19"/>
      <c r="O78" s="19"/>
      <c r="P78" s="19"/>
      <c r="S78" s="19"/>
    </row>
    <row r="79" spans="1:30" ht="15.75" thickBot="1">
      <c r="A79" s="3"/>
      <c r="B79" s="479" t="s">
        <v>312</v>
      </c>
      <c r="C79" s="357">
        <v>16</v>
      </c>
      <c r="D79" s="357">
        <v>16</v>
      </c>
      <c r="E79" s="358">
        <f>+C79-D79</f>
        <v>0</v>
      </c>
      <c r="F79" s="267"/>
      <c r="G79" s="275"/>
      <c r="H79" s="15"/>
      <c r="I79" s="310"/>
      <c r="J79" s="2"/>
      <c r="K79" s="2"/>
      <c r="L79" s="2"/>
      <c r="M79" s="2"/>
      <c r="N79" s="19"/>
      <c r="O79" s="19"/>
      <c r="P79" s="19"/>
      <c r="S79" s="19"/>
    </row>
    <row r="80" spans="1:30">
      <c r="A80" s="3"/>
      <c r="B80" s="2"/>
      <c r="C80" s="2"/>
      <c r="D80" s="2"/>
      <c r="E80" s="2"/>
      <c r="F80" s="2"/>
      <c r="G80" s="2"/>
      <c r="H80" s="2"/>
      <c r="I80" s="2"/>
      <c r="J80" s="2"/>
      <c r="K80" s="2"/>
      <c r="L80" s="2"/>
      <c r="M80" s="2"/>
      <c r="N80" s="19"/>
      <c r="O80" s="19"/>
      <c r="P80" s="19"/>
      <c r="S80" s="19"/>
    </row>
    <row r="81" spans="1:36" ht="18.75">
      <c r="A81" s="3"/>
      <c r="B81" s="110" t="s">
        <v>387</v>
      </c>
      <c r="C81" s="2"/>
      <c r="D81" s="2"/>
      <c r="E81" s="2"/>
      <c r="F81" s="2"/>
      <c r="G81" s="2"/>
      <c r="H81" s="2"/>
      <c r="I81" s="2"/>
      <c r="J81" s="15"/>
      <c r="K81" s="15"/>
      <c r="L81" s="2"/>
      <c r="M81" s="2"/>
      <c r="N81" s="19"/>
      <c r="O81" s="19"/>
      <c r="P81" s="19"/>
      <c r="S81" s="19"/>
    </row>
    <row r="82" spans="1:36" ht="15.75" thickBot="1">
      <c r="A82" s="3"/>
      <c r="B82" s="2"/>
      <c r="C82" s="2"/>
      <c r="D82" s="2"/>
      <c r="E82" s="2"/>
      <c r="F82" s="2"/>
      <c r="G82" s="2"/>
      <c r="H82" s="2"/>
      <c r="I82" s="2"/>
      <c r="J82" s="15"/>
      <c r="K82" s="15"/>
      <c r="L82" s="2"/>
      <c r="M82" s="2"/>
      <c r="N82" s="19"/>
      <c r="O82" s="19"/>
      <c r="P82" s="19"/>
      <c r="S82" s="19"/>
    </row>
    <row r="83" spans="1:36" ht="30">
      <c r="A83" s="3"/>
      <c r="B83" s="119"/>
      <c r="C83" s="113" t="s">
        <v>291</v>
      </c>
      <c r="D83" s="113" t="s">
        <v>67</v>
      </c>
      <c r="E83" s="113" t="s">
        <v>82</v>
      </c>
      <c r="F83" s="113" t="s">
        <v>68</v>
      </c>
      <c r="G83" s="149" t="s">
        <v>119</v>
      </c>
      <c r="H83" s="509"/>
      <c r="I83" s="510" t="s">
        <v>454</v>
      </c>
      <c r="J83" s="511"/>
      <c r="K83" s="511"/>
      <c r="L83" s="512" t="s">
        <v>454</v>
      </c>
      <c r="M83" s="512"/>
      <c r="N83" s="513"/>
      <c r="O83" s="19"/>
      <c r="P83" s="19"/>
      <c r="S83" s="19"/>
    </row>
    <row r="84" spans="1:36" ht="15.75" thickBot="1">
      <c r="A84" s="3"/>
      <c r="B84" s="479" t="s">
        <v>127</v>
      </c>
      <c r="C84" s="357">
        <v>7</v>
      </c>
      <c r="D84" s="357">
        <v>7</v>
      </c>
      <c r="E84" s="357">
        <v>7</v>
      </c>
      <c r="F84" s="357">
        <v>7</v>
      </c>
      <c r="G84" s="359">
        <v>7</v>
      </c>
      <c r="H84" s="514" t="s">
        <v>447</v>
      </c>
      <c r="I84" s="515" t="s">
        <v>448</v>
      </c>
      <c r="J84" s="511" t="s">
        <v>449</v>
      </c>
      <c r="K84" s="512" t="s">
        <v>450</v>
      </c>
      <c r="L84" s="512" t="s">
        <v>451</v>
      </c>
      <c r="M84" s="511" t="s">
        <v>452</v>
      </c>
      <c r="N84" s="511" t="s">
        <v>453</v>
      </c>
      <c r="O84" s="19"/>
      <c r="P84" s="19"/>
      <c r="S84" s="19"/>
    </row>
    <row r="85" spans="1:36">
      <c r="A85" s="3"/>
      <c r="B85" s="2"/>
      <c r="C85" s="2"/>
      <c r="D85" s="2"/>
      <c r="E85" s="2"/>
      <c r="F85" s="2"/>
      <c r="G85" s="2"/>
      <c r="H85" s="2"/>
      <c r="I85" s="15"/>
      <c r="J85" s="15"/>
      <c r="K85" s="2"/>
      <c r="L85" s="2"/>
      <c r="M85" s="2"/>
      <c r="N85" s="19"/>
      <c r="O85" s="19"/>
      <c r="P85" s="19"/>
      <c r="S85" s="19"/>
    </row>
    <row r="86" spans="1:36" ht="18.75">
      <c r="A86" s="3"/>
      <c r="B86" s="110" t="s">
        <v>383</v>
      </c>
      <c r="C86" s="2"/>
      <c r="D86" s="2"/>
      <c r="E86" s="2"/>
      <c r="F86" s="2"/>
      <c r="G86" s="2"/>
      <c r="H86" s="2"/>
      <c r="I86" s="15"/>
      <c r="J86" s="2"/>
      <c r="K86" s="2"/>
      <c r="L86" s="2"/>
      <c r="M86" s="2"/>
      <c r="N86" s="19"/>
      <c r="O86" s="19"/>
      <c r="P86" s="19"/>
      <c r="S86" s="19"/>
    </row>
    <row r="87" spans="1:36" ht="15.75" thickBot="1">
      <c r="A87" s="3"/>
      <c r="B87" s="2"/>
      <c r="C87" s="2"/>
      <c r="D87" s="2"/>
      <c r="E87" s="2"/>
      <c r="F87" s="2"/>
      <c r="G87" s="2"/>
      <c r="H87" s="2"/>
      <c r="I87" s="2"/>
      <c r="J87" s="2"/>
      <c r="K87" s="2"/>
      <c r="L87" s="2"/>
      <c r="M87" s="2"/>
      <c r="N87" s="19"/>
      <c r="O87" s="19"/>
      <c r="P87" s="19"/>
      <c r="S87" s="19"/>
    </row>
    <row r="88" spans="1:36">
      <c r="A88" s="3"/>
      <c r="B88" s="119"/>
      <c r="C88" s="121" t="s">
        <v>65</v>
      </c>
      <c r="D88" s="121" t="s">
        <v>66</v>
      </c>
      <c r="E88" s="122" t="s">
        <v>288</v>
      </c>
      <c r="F88" s="2"/>
      <c r="G88" s="2"/>
      <c r="H88" s="2"/>
      <c r="I88" s="2"/>
      <c r="J88" s="19"/>
      <c r="K88" s="19"/>
      <c r="L88" s="19"/>
      <c r="N88"/>
      <c r="O88" s="19"/>
      <c r="AG88" s="36"/>
      <c r="AJ88"/>
    </row>
    <row r="89" spans="1:36">
      <c r="A89" s="3"/>
      <c r="B89" s="480" t="s">
        <v>388</v>
      </c>
      <c r="C89" s="259">
        <v>165</v>
      </c>
      <c r="D89" s="261">
        <v>165</v>
      </c>
      <c r="E89" s="313">
        <f>C89-D89</f>
        <v>0</v>
      </c>
      <c r="F89" s="2"/>
      <c r="G89" s="2"/>
      <c r="H89" s="2"/>
      <c r="I89" s="2"/>
      <c r="J89" s="19"/>
      <c r="K89" s="19"/>
      <c r="L89" s="19"/>
      <c r="N89"/>
      <c r="O89" s="19"/>
      <c r="AG89" s="36"/>
      <c r="AJ89"/>
    </row>
    <row r="90" spans="1:36" ht="15.75" thickBot="1">
      <c r="A90" s="3"/>
      <c r="B90" s="481" t="s">
        <v>389</v>
      </c>
      <c r="C90" s="490">
        <f>7*3</f>
        <v>21</v>
      </c>
      <c r="D90" s="491">
        <f>C90</f>
        <v>21</v>
      </c>
      <c r="E90" s="492">
        <f>C90-D90</f>
        <v>0</v>
      </c>
      <c r="F90" s="2"/>
      <c r="G90" s="2"/>
      <c r="H90" s="2"/>
      <c r="I90" s="2"/>
      <c r="J90" s="19"/>
      <c r="K90" s="19"/>
      <c r="L90" s="19"/>
      <c r="N90"/>
      <c r="O90" s="19"/>
      <c r="AG90" s="36"/>
      <c r="AJ90"/>
    </row>
    <row r="91" spans="1:36">
      <c r="A91" s="3"/>
      <c r="B91" s="2"/>
      <c r="C91" s="2"/>
      <c r="D91" s="2"/>
      <c r="E91" s="2"/>
      <c r="F91" s="2"/>
      <c r="G91" s="2"/>
      <c r="H91" s="2"/>
      <c r="I91" s="2"/>
      <c r="J91" s="2"/>
      <c r="K91" s="2"/>
      <c r="L91" s="2"/>
      <c r="M91" s="2"/>
      <c r="N91" s="19"/>
      <c r="O91" s="19"/>
      <c r="P91" s="19"/>
      <c r="S91" s="19"/>
    </row>
    <row r="92" spans="1:36" ht="18.75">
      <c r="A92" s="3"/>
      <c r="B92" s="110" t="s">
        <v>390</v>
      </c>
      <c r="C92" s="2"/>
      <c r="D92" s="2"/>
      <c r="E92" s="2"/>
      <c r="F92" s="2"/>
      <c r="G92" s="2"/>
      <c r="H92" s="2"/>
      <c r="I92" s="2"/>
      <c r="J92" s="2"/>
      <c r="K92" s="2"/>
      <c r="L92" s="2"/>
      <c r="M92" s="2"/>
      <c r="N92" s="19"/>
      <c r="O92" s="19"/>
      <c r="P92" s="19"/>
      <c r="S92" s="19"/>
    </row>
    <row r="93" spans="1:36" ht="15.75" thickBot="1">
      <c r="A93" s="3"/>
      <c r="B93" s="2"/>
      <c r="C93" s="2"/>
      <c r="D93" s="2"/>
      <c r="E93" s="2"/>
      <c r="F93" s="2"/>
      <c r="G93" s="2"/>
      <c r="H93" s="2"/>
      <c r="I93" s="15"/>
      <c r="J93" s="15"/>
      <c r="K93" s="15"/>
      <c r="L93" s="15"/>
      <c r="M93" s="15"/>
      <c r="N93" s="20"/>
      <c r="O93" s="20"/>
      <c r="P93" s="20"/>
      <c r="S93" s="19"/>
    </row>
    <row r="94" spans="1:36">
      <c r="A94" s="3"/>
      <c r="B94" s="219"/>
      <c r="C94" s="371" t="s">
        <v>105</v>
      </c>
      <c r="D94" s="371" t="s">
        <v>106</v>
      </c>
      <c r="E94" s="371" t="s">
        <v>107</v>
      </c>
      <c r="F94" s="371" t="s">
        <v>108</v>
      </c>
      <c r="G94" s="371" t="s">
        <v>120</v>
      </c>
      <c r="H94" s="371" t="s">
        <v>121</v>
      </c>
      <c r="I94" s="371" t="s">
        <v>122</v>
      </c>
      <c r="J94" s="371" t="s">
        <v>123</v>
      </c>
      <c r="K94" s="371" t="s">
        <v>124</v>
      </c>
      <c r="L94" s="371" t="s">
        <v>125</v>
      </c>
      <c r="M94" s="371" t="s">
        <v>126</v>
      </c>
      <c r="N94" s="372" t="s">
        <v>287</v>
      </c>
      <c r="O94" s="20"/>
      <c r="P94" s="20"/>
      <c r="S94" s="19"/>
    </row>
    <row r="95" spans="1:36" ht="15" customHeight="1">
      <c r="A95" s="3"/>
      <c r="B95" s="373" t="s">
        <v>367</v>
      </c>
      <c r="C95" s="360">
        <v>1281508.9595083122</v>
      </c>
      <c r="D95" s="360">
        <v>808914.7963638315</v>
      </c>
      <c r="E95" s="360">
        <v>9314.140558848434</v>
      </c>
      <c r="F95" s="360">
        <v>1478703.5387049848</v>
      </c>
      <c r="G95" s="360">
        <v>1087162.5089500423</v>
      </c>
      <c r="H95" s="360">
        <v>0</v>
      </c>
      <c r="I95" s="360">
        <v>9314.140558848434</v>
      </c>
      <c r="J95" s="360">
        <v>1142723.4613438908</v>
      </c>
      <c r="K95" s="360">
        <v>202035.86245004239</v>
      </c>
      <c r="L95" s="360">
        <v>0</v>
      </c>
      <c r="M95" s="360">
        <v>183591.94247627622</v>
      </c>
      <c r="N95" s="437">
        <v>0</v>
      </c>
      <c r="O95" s="20"/>
      <c r="P95" s="20"/>
      <c r="S95" s="19"/>
    </row>
    <row r="96" spans="1:36" ht="15" customHeight="1">
      <c r="A96" s="3"/>
      <c r="B96" s="373" t="s">
        <v>365</v>
      </c>
      <c r="C96" s="360">
        <v>19935.614027557196</v>
      </c>
      <c r="D96" s="360">
        <v>1225173</v>
      </c>
      <c r="E96" s="360">
        <f>550076.85640448/2.4452</f>
        <v>224961.90757585474</v>
      </c>
      <c r="F96" s="360">
        <f>1443329/2.4072</f>
        <v>599588.31837819878</v>
      </c>
      <c r="G96" s="360">
        <f>1436558/2.4767</f>
        <v>580029.07094117173</v>
      </c>
      <c r="H96" s="360"/>
      <c r="I96" s="360"/>
      <c r="J96" s="360"/>
      <c r="K96" s="360"/>
      <c r="L96" s="360"/>
      <c r="M96" s="360"/>
      <c r="N96" s="437"/>
      <c r="O96" s="20"/>
      <c r="P96" s="20"/>
      <c r="S96" s="19"/>
    </row>
    <row r="97" spans="1:19" ht="15" customHeight="1">
      <c r="A97" s="3"/>
      <c r="B97" s="373" t="s">
        <v>313</v>
      </c>
      <c r="C97" s="360">
        <v>579569.05894063821</v>
      </c>
      <c r="D97" s="360">
        <v>211125.8</v>
      </c>
      <c r="E97" s="360">
        <v>417945</v>
      </c>
      <c r="F97" s="360">
        <v>364838</v>
      </c>
      <c r="G97" s="360">
        <f>285388+296741</f>
        <v>582129</v>
      </c>
      <c r="H97" s="360"/>
      <c r="I97" s="360"/>
      <c r="J97" s="360"/>
      <c r="K97" s="360"/>
      <c r="L97" s="360"/>
      <c r="M97" s="360"/>
      <c r="N97" s="437"/>
      <c r="O97" s="20"/>
      <c r="P97" s="20"/>
      <c r="S97" s="19"/>
    </row>
    <row r="98" spans="1:19" ht="15" customHeight="1">
      <c r="A98" s="3"/>
      <c r="B98" s="315" t="s">
        <v>409</v>
      </c>
      <c r="C98" s="361">
        <f>+C95</f>
        <v>1281508.9595083122</v>
      </c>
      <c r="D98" s="361">
        <f>+C98+D95</f>
        <v>2090423.7558721437</v>
      </c>
      <c r="E98" s="361">
        <f t="shared" ref="E98:N98" si="3">+D98+E95</f>
        <v>2099737.8964309921</v>
      </c>
      <c r="F98" s="361">
        <f t="shared" si="3"/>
        <v>3578441.4351359769</v>
      </c>
      <c r="G98" s="361">
        <f t="shared" si="3"/>
        <v>4665603.9440860189</v>
      </c>
      <c r="H98" s="361">
        <f t="shared" si="3"/>
        <v>4665603.9440860189</v>
      </c>
      <c r="I98" s="361">
        <f t="shared" si="3"/>
        <v>4674918.0846448671</v>
      </c>
      <c r="J98" s="361">
        <f t="shared" si="3"/>
        <v>5817641.5459887581</v>
      </c>
      <c r="K98" s="361">
        <f t="shared" si="3"/>
        <v>6019677.4084388008</v>
      </c>
      <c r="L98" s="361">
        <f t="shared" si="3"/>
        <v>6019677.4084388008</v>
      </c>
      <c r="M98" s="361">
        <f t="shared" si="3"/>
        <v>6203269.3509150771</v>
      </c>
      <c r="N98" s="361">
        <f t="shared" si="3"/>
        <v>6203269.3509150771</v>
      </c>
      <c r="O98" s="20"/>
      <c r="P98" s="20"/>
      <c r="S98" s="19"/>
    </row>
    <row r="99" spans="1:19" ht="15" customHeight="1">
      <c r="A99" s="3"/>
      <c r="B99" s="315" t="s">
        <v>5</v>
      </c>
      <c r="C99" s="361">
        <f>+C96</f>
        <v>19935.614027557196</v>
      </c>
      <c r="D99" s="361">
        <f>+C99+D96</f>
        <v>1245108.6140275572</v>
      </c>
      <c r="E99" s="361">
        <f t="shared" ref="E99:N99" si="4">+D99+E96</f>
        <v>1470070.521603412</v>
      </c>
      <c r="F99" s="361">
        <f t="shared" si="4"/>
        <v>2069658.8399816109</v>
      </c>
      <c r="G99" s="361">
        <f t="shared" si="4"/>
        <v>2649687.9109227825</v>
      </c>
      <c r="H99" s="361">
        <f t="shared" si="4"/>
        <v>2649687.9109227825</v>
      </c>
      <c r="I99" s="361">
        <f t="shared" si="4"/>
        <v>2649687.9109227825</v>
      </c>
      <c r="J99" s="361">
        <f t="shared" si="4"/>
        <v>2649687.9109227825</v>
      </c>
      <c r="K99" s="361">
        <f t="shared" si="4"/>
        <v>2649687.9109227825</v>
      </c>
      <c r="L99" s="361">
        <f t="shared" si="4"/>
        <v>2649687.9109227825</v>
      </c>
      <c r="M99" s="361">
        <f t="shared" si="4"/>
        <v>2649687.9109227825</v>
      </c>
      <c r="N99" s="361">
        <f t="shared" si="4"/>
        <v>2649687.9109227825</v>
      </c>
      <c r="O99" s="20"/>
      <c r="P99" s="20"/>
      <c r="S99" s="19"/>
    </row>
    <row r="100" spans="1:19" ht="15.75" thickBot="1">
      <c r="A100" s="3"/>
      <c r="B100" s="434" t="s">
        <v>6</v>
      </c>
      <c r="C100" s="435">
        <f>+C97</f>
        <v>579569.05894063821</v>
      </c>
      <c r="D100" s="436">
        <f>+C100+D97</f>
        <v>790694.85894063814</v>
      </c>
      <c r="E100" s="436">
        <f t="shared" ref="E100:N100" si="5">+D100+E97</f>
        <v>1208639.8589406381</v>
      </c>
      <c r="F100" s="436">
        <f t="shared" si="5"/>
        <v>1573477.8589406381</v>
      </c>
      <c r="G100" s="436">
        <f t="shared" si="5"/>
        <v>2155606.8589406381</v>
      </c>
      <c r="H100" s="436">
        <f t="shared" si="5"/>
        <v>2155606.8589406381</v>
      </c>
      <c r="I100" s="436">
        <f t="shared" si="5"/>
        <v>2155606.8589406381</v>
      </c>
      <c r="J100" s="436">
        <f t="shared" si="5"/>
        <v>2155606.8589406381</v>
      </c>
      <c r="K100" s="436">
        <f t="shared" si="5"/>
        <v>2155606.8589406381</v>
      </c>
      <c r="L100" s="436">
        <f t="shared" si="5"/>
        <v>2155606.8589406381</v>
      </c>
      <c r="M100" s="436">
        <f t="shared" si="5"/>
        <v>2155606.8589406381</v>
      </c>
      <c r="N100" s="436">
        <f t="shared" si="5"/>
        <v>2155606.8589406381</v>
      </c>
      <c r="O100" s="20"/>
      <c r="P100" s="20"/>
      <c r="S100" s="19"/>
    </row>
    <row r="101" spans="1:19">
      <c r="A101" s="3"/>
      <c r="B101" s="3"/>
      <c r="C101" s="2"/>
      <c r="D101" s="2"/>
      <c r="E101" s="2"/>
      <c r="F101" s="2"/>
      <c r="G101" s="2"/>
      <c r="H101" s="2"/>
      <c r="I101" s="15"/>
      <c r="J101" s="123"/>
      <c r="K101" s="124"/>
      <c r="L101" s="15"/>
      <c r="M101" s="125"/>
      <c r="N101" s="20"/>
      <c r="O101" s="20"/>
      <c r="P101" s="20"/>
      <c r="S101" s="19"/>
    </row>
    <row r="102" spans="1:19">
      <c r="A102" s="3"/>
      <c r="B102" s="2" t="s">
        <v>403</v>
      </c>
      <c r="C102" s="2"/>
      <c r="D102" s="2"/>
      <c r="E102" s="2"/>
      <c r="F102" s="2"/>
      <c r="G102" s="2"/>
      <c r="H102" s="2"/>
      <c r="I102" s="15"/>
      <c r="J102" s="123"/>
      <c r="K102" s="124"/>
      <c r="L102" s="15"/>
      <c r="M102" s="125"/>
      <c r="N102" s="20"/>
      <c r="O102" s="20"/>
      <c r="P102" s="20"/>
      <c r="S102" s="19"/>
    </row>
    <row r="103" spans="1:19">
      <c r="A103" s="3"/>
      <c r="C103" s="2"/>
      <c r="D103" s="2"/>
      <c r="E103" s="2"/>
      <c r="F103" s="2"/>
      <c r="G103" s="2"/>
      <c r="H103" s="2"/>
      <c r="I103" s="15"/>
      <c r="J103" s="123"/>
      <c r="K103" s="125"/>
      <c r="L103" s="15"/>
      <c r="M103" s="125"/>
      <c r="N103" s="20"/>
      <c r="O103" s="20"/>
      <c r="P103" s="20"/>
      <c r="S103" s="19"/>
    </row>
    <row r="104" spans="1:19">
      <c r="A104" s="3"/>
      <c r="B104" s="3"/>
      <c r="C104" s="3"/>
      <c r="D104" s="3"/>
      <c r="E104" s="3"/>
      <c r="F104" s="3"/>
      <c r="G104" s="3"/>
      <c r="H104" s="3"/>
      <c r="I104" s="15"/>
      <c r="J104" s="15"/>
      <c r="K104" s="15"/>
      <c r="L104" s="15"/>
      <c r="M104" s="15"/>
      <c r="N104" s="20"/>
      <c r="O104" s="20"/>
      <c r="P104" s="20"/>
    </row>
    <row r="105" spans="1:19" ht="18.75">
      <c r="A105" s="3"/>
      <c r="B105" s="110" t="s">
        <v>384</v>
      </c>
      <c r="C105" s="3"/>
      <c r="D105" s="3"/>
      <c r="E105" s="3"/>
      <c r="F105" s="3"/>
      <c r="G105" s="3"/>
      <c r="H105" s="3"/>
      <c r="I105" s="15"/>
      <c r="J105" s="15"/>
      <c r="K105" s="15"/>
      <c r="L105" s="15"/>
      <c r="M105" s="15"/>
      <c r="N105" s="20"/>
      <c r="O105" s="20"/>
      <c r="P105" s="20"/>
    </row>
    <row r="106" spans="1:19" ht="15.75" thickBot="1">
      <c r="A106" s="3"/>
      <c r="B106" s="3"/>
      <c r="C106" s="15"/>
      <c r="D106" s="15"/>
      <c r="E106" s="15"/>
      <c r="F106" s="15"/>
      <c r="G106" s="2"/>
      <c r="H106" s="2"/>
      <c r="I106" s="2"/>
      <c r="J106" s="15"/>
      <c r="K106" s="2"/>
      <c r="L106" s="15"/>
      <c r="M106" s="15"/>
      <c r="N106" s="20"/>
      <c r="O106" s="20"/>
      <c r="P106" s="20"/>
      <c r="Q106" s="19"/>
      <c r="S106" s="20"/>
    </row>
    <row r="107" spans="1:19" ht="90.75" customHeight="1">
      <c r="A107" s="3"/>
      <c r="B107" s="316" t="s">
        <v>32</v>
      </c>
      <c r="C107" s="317" t="s">
        <v>79</v>
      </c>
      <c r="D107" s="319" t="s">
        <v>418</v>
      </c>
      <c r="E107" s="319" t="s">
        <v>336</v>
      </c>
      <c r="F107" s="318" t="s">
        <v>337</v>
      </c>
      <c r="G107" s="318" t="s">
        <v>338</v>
      </c>
      <c r="H107" s="319" t="s">
        <v>339</v>
      </c>
      <c r="I107" s="319" t="s">
        <v>340</v>
      </c>
      <c r="J107" s="319" t="s">
        <v>341</v>
      </c>
      <c r="K107" s="320" t="s">
        <v>342</v>
      </c>
      <c r="L107" s="2"/>
      <c r="M107" s="20"/>
      <c r="N107" s="20"/>
      <c r="O107" s="20"/>
      <c r="P107" s="19"/>
      <c r="R107" s="20"/>
    </row>
    <row r="108" spans="1:19">
      <c r="A108" s="3"/>
      <c r="B108" s="712" t="s">
        <v>372</v>
      </c>
      <c r="C108" s="516" t="s">
        <v>416</v>
      </c>
      <c r="D108" s="518">
        <v>2</v>
      </c>
      <c r="E108" s="448">
        <f>IF(ISBLANK(D108),"",D108*30)</f>
        <v>60</v>
      </c>
      <c r="F108" s="521">
        <v>732</v>
      </c>
      <c r="G108" s="448">
        <f>IF(AND(E108&gt;0,F108&gt;0),(F108*E108),"")</f>
        <v>43920</v>
      </c>
      <c r="H108" s="523">
        <f>287820+(872*60)+(2089*60)</f>
        <v>465480</v>
      </c>
      <c r="I108" s="449">
        <f>IF(AND(G108&gt;0,H108&gt;0),H108/G108,"")</f>
        <v>10.598360655737705</v>
      </c>
      <c r="J108" s="524">
        <v>6</v>
      </c>
      <c r="K108" s="450">
        <f>IF(AND(I108&gt;0,J108&gt;0),I108-J108,"")</f>
        <v>4.5983606557377055</v>
      </c>
      <c r="L108" s="508" t="s">
        <v>463</v>
      </c>
      <c r="M108" s="20"/>
      <c r="N108" s="20"/>
      <c r="O108" s="20"/>
      <c r="P108" s="19"/>
      <c r="R108" s="20"/>
    </row>
    <row r="109" spans="1:19" ht="15.75" thickBot="1">
      <c r="A109" s="3"/>
      <c r="B109" s="713"/>
      <c r="C109" s="517" t="s">
        <v>417</v>
      </c>
      <c r="D109" s="518">
        <v>0.33</v>
      </c>
      <c r="E109" s="448">
        <f>IF(ISBLANK(D109),"",D109*30)</f>
        <v>9.9</v>
      </c>
      <c r="F109" s="521">
        <v>10000</v>
      </c>
      <c r="G109" s="448">
        <f>IF(AND(E109&gt;0,F109&gt;0),(F109*E109),"")</f>
        <v>99000</v>
      </c>
      <c r="H109" s="523">
        <f>470593+325000</f>
        <v>795593</v>
      </c>
      <c r="I109" s="449">
        <f>IF(AND(G109&gt;0,H109&gt;0),H109/G109,"")</f>
        <v>8.0362929292929302</v>
      </c>
      <c r="J109" s="524">
        <v>3</v>
      </c>
      <c r="K109" s="450">
        <f>IF(AND(I109&gt;0,J109&gt;0),I109-J109,"")</f>
        <v>5.0362929292929302</v>
      </c>
      <c r="L109" s="2"/>
      <c r="M109" s="20"/>
      <c r="N109" s="20"/>
      <c r="O109" s="20"/>
      <c r="P109" s="19"/>
    </row>
    <row r="110" spans="1:19">
      <c r="A110" s="3"/>
      <c r="B110" s="713"/>
      <c r="C110" s="516" t="s">
        <v>461</v>
      </c>
      <c r="D110" s="519">
        <v>0.35</v>
      </c>
      <c r="E110" s="448">
        <f>IF(ISBLANK(D110),"",D110*30)</f>
        <v>10.5</v>
      </c>
      <c r="F110" s="521">
        <v>2902</v>
      </c>
      <c r="G110" s="448">
        <f>IF(AND(E110&gt;0,F110&gt;0),(F110*E110),"")</f>
        <v>30471</v>
      </c>
      <c r="H110" s="523">
        <f>764861-200000</f>
        <v>564861</v>
      </c>
      <c r="I110" s="449">
        <f>IF(AND(G110&gt;0,H110&gt;0),H110/G110,"")</f>
        <v>18.537658757507138</v>
      </c>
      <c r="J110" s="524">
        <v>3</v>
      </c>
      <c r="K110" s="450">
        <f>IF(AND(I110&gt;0,J110&gt;0),I110-J110,"")</f>
        <v>15.537658757507138</v>
      </c>
      <c r="L110" s="508" t="s">
        <v>464</v>
      </c>
      <c r="M110" s="20"/>
      <c r="N110" s="20"/>
      <c r="O110" s="20"/>
      <c r="P110" s="19"/>
      <c r="R110" s="20"/>
    </row>
    <row r="111" spans="1:19" ht="15.75" thickBot="1">
      <c r="A111" s="3"/>
      <c r="B111" s="714"/>
      <c r="C111" s="517"/>
      <c r="D111" s="520"/>
      <c r="E111" s="445" t="str">
        <f>IF(ISBLANK(D111),"",D111*30)</f>
        <v/>
      </c>
      <c r="F111" s="522"/>
      <c r="G111" s="445" t="str">
        <f>IF(AND(E111&gt;0,F111&gt;0),(F111*E111),"")</f>
        <v/>
      </c>
      <c r="H111" s="522"/>
      <c r="I111" s="446" t="str">
        <f>IF(AND(G111&gt;0,H111&gt;0),H111/G111,"")</f>
        <v/>
      </c>
      <c r="J111" s="525"/>
      <c r="K111" s="447" t="str">
        <f>IF(AND(I111&gt;0,J111&gt;0),I111-J111,"")</f>
        <v/>
      </c>
      <c r="L111" s="2"/>
      <c r="M111" s="20"/>
      <c r="N111" s="20"/>
      <c r="O111" s="20"/>
      <c r="P111" s="19"/>
      <c r="R111" s="20"/>
    </row>
    <row r="112" spans="1:19">
      <c r="A112" s="3"/>
      <c r="B112" s="3"/>
      <c r="C112" s="3"/>
      <c r="D112" s="3"/>
      <c r="E112" s="443"/>
      <c r="F112" s="444"/>
      <c r="G112" s="442"/>
      <c r="H112" s="2"/>
      <c r="I112" s="2"/>
      <c r="J112" s="3"/>
      <c r="K112" s="3"/>
      <c r="L112" s="2"/>
      <c r="M112" s="2"/>
      <c r="N112" s="20"/>
      <c r="O112" s="20"/>
      <c r="P112" s="20"/>
      <c r="Q112" s="19"/>
      <c r="S112" s="20"/>
    </row>
    <row r="113" spans="1:20" ht="15.75" thickBot="1">
      <c r="A113" s="3"/>
      <c r="B113" s="3"/>
      <c r="C113" s="3"/>
      <c r="D113" s="3"/>
      <c r="E113" s="3"/>
      <c r="F113" s="3"/>
      <c r="G113" s="201"/>
      <c r="H113" s="3"/>
      <c r="I113" s="2"/>
      <c r="J113" s="109"/>
      <c r="K113" s="109"/>
      <c r="L113" s="3"/>
      <c r="M113" s="3"/>
    </row>
    <row r="114" spans="1:20" ht="19.5" thickBot="1">
      <c r="A114" s="3"/>
      <c r="B114" s="239" t="s">
        <v>391</v>
      </c>
      <c r="C114" s="126"/>
      <c r="D114" s="126"/>
      <c r="E114" s="127"/>
      <c r="F114" s="127"/>
      <c r="G114" s="127"/>
      <c r="H114" s="254"/>
      <c r="I114" s="240"/>
      <c r="J114" s="338"/>
      <c r="K114" s="339" t="s">
        <v>370</v>
      </c>
      <c r="L114" s="127"/>
      <c r="M114" s="340"/>
      <c r="N114" s="341"/>
      <c r="O114" s="341"/>
      <c r="P114" s="400"/>
      <c r="Q114" s="36"/>
    </row>
    <row r="115" spans="1:20" ht="15.75" thickBot="1">
      <c r="A115" s="3"/>
      <c r="B115" s="3"/>
      <c r="C115" s="3"/>
      <c r="D115" s="3"/>
      <c r="E115" s="3"/>
      <c r="F115" s="3"/>
      <c r="G115" s="3"/>
      <c r="H115" s="3" t="s">
        <v>457</v>
      </c>
      <c r="I115" s="3" t="s">
        <v>458</v>
      </c>
      <c r="J115" s="3" t="s">
        <v>459</v>
      </c>
      <c r="K115" s="3" t="s">
        <v>468</v>
      </c>
      <c r="L115" s="3" t="s">
        <v>469</v>
      </c>
      <c r="M115" s="3"/>
      <c r="N115"/>
      <c r="O115"/>
      <c r="P115" s="36"/>
      <c r="Q115" s="36"/>
    </row>
    <row r="116" spans="1:20" ht="21.75" customHeight="1">
      <c r="A116" s="3"/>
      <c r="B116" s="724" t="s">
        <v>397</v>
      </c>
      <c r="C116" s="725"/>
      <c r="D116" s="726"/>
      <c r="E116" s="324" t="s">
        <v>327</v>
      </c>
      <c r="F116" s="281" t="s">
        <v>344</v>
      </c>
      <c r="G116" s="244"/>
      <c r="H116" s="387" t="s">
        <v>105</v>
      </c>
      <c r="I116" s="387" t="s">
        <v>106</v>
      </c>
      <c r="J116" s="387" t="s">
        <v>107</v>
      </c>
      <c r="K116" s="387" t="s">
        <v>108</v>
      </c>
      <c r="L116" s="387" t="s">
        <v>120</v>
      </c>
      <c r="M116" s="387" t="s">
        <v>121</v>
      </c>
      <c r="N116" s="387" t="s">
        <v>122</v>
      </c>
      <c r="O116" s="387" t="s">
        <v>123</v>
      </c>
      <c r="P116" s="387" t="s">
        <v>124</v>
      </c>
      <c r="Q116" s="387" t="s">
        <v>125</v>
      </c>
      <c r="R116" s="387" t="s">
        <v>126</v>
      </c>
      <c r="S116" s="388" t="s">
        <v>287</v>
      </c>
      <c r="T116" s="64"/>
    </row>
    <row r="117" spans="1:20" ht="21.75" customHeight="1">
      <c r="A117" s="3"/>
      <c r="B117" s="469"/>
      <c r="C117" s="470"/>
      <c r="D117" s="470"/>
      <c r="E117" s="471"/>
      <c r="F117" s="472"/>
      <c r="G117" s="473"/>
      <c r="H117" s="474"/>
      <c r="I117" s="474"/>
      <c r="J117" s="474"/>
      <c r="K117" s="474"/>
      <c r="L117" s="474"/>
      <c r="M117" s="474"/>
      <c r="N117" s="474"/>
      <c r="O117" s="474"/>
      <c r="P117" s="474"/>
      <c r="Q117" s="474"/>
      <c r="R117" s="474"/>
      <c r="S117" s="475"/>
      <c r="T117" s="64"/>
    </row>
    <row r="118" spans="1:20" ht="15" customHeight="1">
      <c r="A118" s="636" t="s">
        <v>374</v>
      </c>
      <c r="B118" s="640" t="s">
        <v>429</v>
      </c>
      <c r="C118" s="641"/>
      <c r="D118" s="642"/>
      <c r="E118" s="717" t="s">
        <v>430</v>
      </c>
      <c r="F118" s="719" t="s">
        <v>114</v>
      </c>
      <c r="G118" s="245" t="s">
        <v>85</v>
      </c>
      <c r="H118" s="455">
        <v>25347</v>
      </c>
      <c r="I118" s="455">
        <v>25347</v>
      </c>
      <c r="J118" s="486">
        <f>27832/4</f>
        <v>6958</v>
      </c>
      <c r="K118" s="501">
        <f>27832/2</f>
        <v>13916</v>
      </c>
      <c r="L118" s="501">
        <f>27832*3/4</f>
        <v>20874</v>
      </c>
      <c r="M118" s="130"/>
      <c r="N118" s="130"/>
      <c r="O118" s="130"/>
      <c r="P118" s="130"/>
      <c r="Q118" s="130"/>
      <c r="R118" s="130"/>
      <c r="S118" s="131"/>
      <c r="T118" s="64"/>
    </row>
    <row r="119" spans="1:20" ht="15" customHeight="1">
      <c r="A119" s="636"/>
      <c r="B119" s="643"/>
      <c r="C119" s="644"/>
      <c r="D119" s="645"/>
      <c r="E119" s="718"/>
      <c r="F119" s="719"/>
      <c r="G119" s="245" t="s">
        <v>86</v>
      </c>
      <c r="H119" s="464">
        <v>22099</v>
      </c>
      <c r="I119" s="455">
        <v>28279</v>
      </c>
      <c r="J119" s="130">
        <v>7219</v>
      </c>
      <c r="K119" s="276">
        <v>16129</v>
      </c>
      <c r="L119" s="130">
        <v>18626</v>
      </c>
      <c r="M119" s="130"/>
      <c r="N119" s="130"/>
      <c r="O119" s="130"/>
      <c r="P119" s="130"/>
      <c r="Q119" s="130"/>
      <c r="R119" s="130"/>
      <c r="S119" s="131"/>
      <c r="T119" s="64"/>
    </row>
    <row r="120" spans="1:20" ht="15" customHeight="1">
      <c r="A120" s="636"/>
      <c r="B120" s="651" t="s">
        <v>431</v>
      </c>
      <c r="C120" s="652"/>
      <c r="D120" s="653"/>
      <c r="E120" s="731" t="s">
        <v>432</v>
      </c>
      <c r="F120" s="730" t="s">
        <v>114</v>
      </c>
      <c r="G120" s="422" t="s">
        <v>85</v>
      </c>
      <c r="H120" s="457">
        <v>4250</v>
      </c>
      <c r="I120" s="457">
        <v>4250</v>
      </c>
      <c r="J120" s="487">
        <f>5950/4</f>
        <v>1487.5</v>
      </c>
      <c r="K120" s="502">
        <f>5950/2</f>
        <v>2975</v>
      </c>
      <c r="L120" s="502">
        <f>5950*3/4</f>
        <v>4462.5</v>
      </c>
      <c r="M120" s="241"/>
      <c r="N120" s="241"/>
      <c r="O120" s="241"/>
      <c r="P120" s="241"/>
      <c r="Q120" s="241"/>
      <c r="R120" s="241"/>
      <c r="S120" s="321"/>
      <c r="T120" s="64"/>
    </row>
    <row r="121" spans="1:20" ht="15" customHeight="1">
      <c r="A121" s="636"/>
      <c r="B121" s="654"/>
      <c r="C121" s="652"/>
      <c r="D121" s="653"/>
      <c r="E121" s="732"/>
      <c r="F121" s="716"/>
      <c r="G121" s="422" t="s">
        <v>86</v>
      </c>
      <c r="H121" s="465">
        <v>3167</v>
      </c>
      <c r="I121" s="458">
        <v>3826</v>
      </c>
      <c r="J121" s="322">
        <v>1383</v>
      </c>
      <c r="K121" s="323">
        <v>2314</v>
      </c>
      <c r="L121" s="322">
        <v>3126</v>
      </c>
      <c r="M121" s="322"/>
      <c r="N121" s="322"/>
      <c r="O121" s="322"/>
      <c r="P121" s="241"/>
      <c r="Q121" s="241"/>
      <c r="R121" s="241"/>
      <c r="S121" s="321"/>
      <c r="T121" s="64"/>
    </row>
    <row r="122" spans="1:20" ht="15" customHeight="1">
      <c r="A122" s="636"/>
      <c r="B122" s="655" t="s">
        <v>441</v>
      </c>
      <c r="C122" s="644"/>
      <c r="D122" s="645"/>
      <c r="E122" s="717" t="s">
        <v>442</v>
      </c>
      <c r="F122" s="649" t="s">
        <v>114</v>
      </c>
      <c r="G122" s="245" t="s">
        <v>85</v>
      </c>
      <c r="H122" s="455">
        <v>4000</v>
      </c>
      <c r="I122" s="455">
        <v>4000</v>
      </c>
      <c r="J122" s="130">
        <v>4550</v>
      </c>
      <c r="K122" s="503">
        <v>4550</v>
      </c>
      <c r="L122" s="503">
        <v>4550</v>
      </c>
      <c r="M122" s="130"/>
      <c r="N122" s="130"/>
      <c r="O122" s="130"/>
      <c r="P122" s="130"/>
      <c r="Q122" s="130"/>
      <c r="R122" s="130"/>
      <c r="S122" s="131"/>
      <c r="T122" s="64"/>
    </row>
    <row r="123" spans="1:20" ht="15" customHeight="1">
      <c r="A123" s="636"/>
      <c r="B123" s="643"/>
      <c r="C123" s="644"/>
      <c r="D123" s="645"/>
      <c r="E123" s="718"/>
      <c r="F123" s="650"/>
      <c r="G123" s="245" t="s">
        <v>86</v>
      </c>
      <c r="H123" s="464">
        <v>3518</v>
      </c>
      <c r="I123" s="456">
        <v>3638</v>
      </c>
      <c r="J123" s="130">
        <v>3786</v>
      </c>
      <c r="K123" s="130">
        <v>3899</v>
      </c>
      <c r="L123" s="130">
        <v>4100</v>
      </c>
      <c r="M123" s="130"/>
      <c r="N123" s="130"/>
      <c r="O123" s="130"/>
      <c r="P123" s="130"/>
      <c r="Q123" s="130"/>
      <c r="R123" s="130"/>
      <c r="S123" s="131"/>
      <c r="T123" s="64"/>
    </row>
    <row r="124" spans="1:20" ht="15" customHeight="1">
      <c r="A124" s="3"/>
      <c r="B124" s="689" t="s">
        <v>427</v>
      </c>
      <c r="C124" s="690"/>
      <c r="D124" s="691"/>
      <c r="E124" s="731" t="s">
        <v>428</v>
      </c>
      <c r="F124" s="715" t="s">
        <v>114</v>
      </c>
      <c r="G124" s="422" t="s">
        <v>85</v>
      </c>
      <c r="H124" s="454">
        <v>28329</v>
      </c>
      <c r="I124" s="454">
        <v>28329</v>
      </c>
      <c r="J124" s="487">
        <f>30814/4</f>
        <v>7703.5</v>
      </c>
      <c r="K124" s="502">
        <f>30814/2</f>
        <v>15407</v>
      </c>
      <c r="L124" s="502">
        <f>30814*3/4</f>
        <v>23110.5</v>
      </c>
      <c r="M124" s="241"/>
      <c r="N124" s="241"/>
      <c r="O124" s="241"/>
      <c r="P124" s="241"/>
      <c r="Q124" s="241"/>
      <c r="R124" s="241"/>
      <c r="S124" s="321"/>
      <c r="T124" s="64"/>
    </row>
    <row r="125" spans="1:20" ht="15" customHeight="1">
      <c r="A125" s="3"/>
      <c r="B125" s="692"/>
      <c r="C125" s="693"/>
      <c r="D125" s="694"/>
      <c r="E125" s="732"/>
      <c r="F125" s="716"/>
      <c r="G125" s="422" t="s">
        <v>86</v>
      </c>
      <c r="H125" s="467">
        <v>26928</v>
      </c>
      <c r="I125" s="458">
        <v>30330</v>
      </c>
      <c r="J125" s="241">
        <v>13968</v>
      </c>
      <c r="K125" s="277">
        <v>20114</v>
      </c>
      <c r="L125" s="241">
        <v>23118</v>
      </c>
      <c r="M125" s="241"/>
      <c r="N125" s="241"/>
      <c r="O125" s="241"/>
      <c r="P125" s="241"/>
      <c r="Q125" s="241"/>
      <c r="R125" s="241"/>
      <c r="S125" s="321"/>
      <c r="T125" s="64"/>
    </row>
    <row r="126" spans="1:20" ht="15" customHeight="1">
      <c r="A126" s="3"/>
      <c r="B126" s="695" t="s">
        <v>433</v>
      </c>
      <c r="C126" s="696"/>
      <c r="D126" s="697"/>
      <c r="E126" s="717" t="s">
        <v>434</v>
      </c>
      <c r="F126" s="649" t="s">
        <v>114</v>
      </c>
      <c r="G126" s="423" t="s">
        <v>85</v>
      </c>
      <c r="H126" s="459">
        <v>3060</v>
      </c>
      <c r="I126" s="459">
        <v>3060</v>
      </c>
      <c r="J126" s="488">
        <f>4250/4</f>
        <v>1062.5</v>
      </c>
      <c r="K126" s="504">
        <f>4250/2</f>
        <v>2125</v>
      </c>
      <c r="L126" s="504">
        <f>4250*3/4</f>
        <v>3187.5</v>
      </c>
      <c r="M126" s="424"/>
      <c r="N126" s="424"/>
      <c r="O126" s="424"/>
      <c r="P126" s="424"/>
      <c r="Q126" s="424"/>
      <c r="R126" s="424"/>
      <c r="S126" s="426"/>
      <c r="T126" s="64"/>
    </row>
    <row r="127" spans="1:20" ht="15" customHeight="1">
      <c r="A127" s="3"/>
      <c r="B127" s="698"/>
      <c r="C127" s="699"/>
      <c r="D127" s="700"/>
      <c r="E127" s="718"/>
      <c r="F127" s="650"/>
      <c r="G127" s="423" t="s">
        <v>86</v>
      </c>
      <c r="H127" s="468">
        <v>1597</v>
      </c>
      <c r="I127" s="459">
        <v>2035</v>
      </c>
      <c r="J127" s="424">
        <f>691+423</f>
        <v>1114</v>
      </c>
      <c r="K127" s="425">
        <f>1285+696</f>
        <v>1981</v>
      </c>
      <c r="L127" s="424">
        <f>1781+1187</f>
        <v>2968</v>
      </c>
      <c r="M127" s="424"/>
      <c r="N127" s="424"/>
      <c r="O127" s="424"/>
      <c r="P127" s="424"/>
      <c r="Q127" s="424"/>
      <c r="R127" s="424"/>
      <c r="S127" s="426"/>
      <c r="T127" s="64"/>
    </row>
    <row r="128" spans="1:20" ht="15" customHeight="1">
      <c r="A128" s="3"/>
      <c r="B128" s="689" t="s">
        <v>435</v>
      </c>
      <c r="C128" s="690"/>
      <c r="D128" s="691"/>
      <c r="E128" s="731" t="s">
        <v>436</v>
      </c>
      <c r="F128" s="715" t="s">
        <v>114</v>
      </c>
      <c r="G128" s="422" t="s">
        <v>85</v>
      </c>
      <c r="H128" s="454">
        <v>2610</v>
      </c>
      <c r="I128" s="454">
        <v>2610</v>
      </c>
      <c r="J128" s="489">
        <f>3263/4</f>
        <v>815.75</v>
      </c>
      <c r="K128" s="505">
        <f>3263/2</f>
        <v>1631.5</v>
      </c>
      <c r="L128" s="505">
        <f>3263*3/4</f>
        <v>2447.25</v>
      </c>
      <c r="M128" s="322"/>
      <c r="N128" s="322"/>
      <c r="O128" s="322"/>
      <c r="P128" s="322"/>
      <c r="Q128" s="322"/>
      <c r="R128" s="322"/>
      <c r="S128" s="427"/>
      <c r="T128" s="64"/>
    </row>
    <row r="129" spans="1:21" ht="15" customHeight="1">
      <c r="A129" s="3"/>
      <c r="B129" s="692"/>
      <c r="C129" s="693"/>
      <c r="D129" s="694"/>
      <c r="E129" s="732"/>
      <c r="F129" s="716"/>
      <c r="G129" s="422" t="s">
        <v>86</v>
      </c>
      <c r="H129" s="467">
        <v>2479</v>
      </c>
      <c r="I129" s="458">
        <v>3160</v>
      </c>
      <c r="J129" s="241">
        <v>1532</v>
      </c>
      <c r="K129" s="277">
        <v>2372</v>
      </c>
      <c r="L129" s="241">
        <v>2885</v>
      </c>
      <c r="M129" s="241"/>
      <c r="N129" s="241"/>
      <c r="O129" s="241"/>
      <c r="P129" s="322"/>
      <c r="Q129" s="322"/>
      <c r="R129" s="322"/>
      <c r="S129" s="427"/>
      <c r="T129" s="64"/>
    </row>
    <row r="130" spans="1:21" ht="15" customHeight="1">
      <c r="A130" s="3"/>
      <c r="B130" s="695" t="s">
        <v>437</v>
      </c>
      <c r="C130" s="696"/>
      <c r="D130" s="697"/>
      <c r="E130" s="717" t="s">
        <v>438</v>
      </c>
      <c r="F130" s="719" t="s">
        <v>114</v>
      </c>
      <c r="G130" s="423" t="s">
        <v>85</v>
      </c>
      <c r="H130" s="459">
        <v>1958</v>
      </c>
      <c r="I130" s="459">
        <v>1958</v>
      </c>
      <c r="J130" s="488">
        <f>2610/4</f>
        <v>652.5</v>
      </c>
      <c r="K130" s="504">
        <f>2610/2</f>
        <v>1305</v>
      </c>
      <c r="L130" s="504">
        <f>2610*3/4</f>
        <v>1957.5</v>
      </c>
      <c r="M130" s="424"/>
      <c r="N130" s="424"/>
      <c r="O130" s="424"/>
      <c r="P130" s="424"/>
      <c r="Q130" s="424"/>
      <c r="R130" s="424"/>
      <c r="S130" s="426"/>
      <c r="T130" s="64"/>
    </row>
    <row r="131" spans="1:21" ht="15" customHeight="1">
      <c r="A131" s="3"/>
      <c r="B131" s="698"/>
      <c r="C131" s="699"/>
      <c r="D131" s="700"/>
      <c r="E131" s="718"/>
      <c r="F131" s="719"/>
      <c r="G131" s="423" t="s">
        <v>86</v>
      </c>
      <c r="H131" s="468">
        <v>1562</v>
      </c>
      <c r="I131" s="460">
        <v>2111</v>
      </c>
      <c r="J131" s="424">
        <v>712</v>
      </c>
      <c r="K131" s="425">
        <v>1296</v>
      </c>
      <c r="L131" s="424">
        <v>1735</v>
      </c>
      <c r="M131" s="424"/>
      <c r="N131" s="424"/>
      <c r="O131" s="424"/>
      <c r="P131" s="424"/>
      <c r="Q131" s="424"/>
      <c r="R131" s="424"/>
      <c r="S131" s="426"/>
      <c r="T131" s="64"/>
    </row>
    <row r="132" spans="1:21" ht="15" customHeight="1">
      <c r="A132" s="3"/>
      <c r="B132" s="689" t="s">
        <v>439</v>
      </c>
      <c r="C132" s="690"/>
      <c r="D132" s="691"/>
      <c r="E132" s="731" t="s">
        <v>440</v>
      </c>
      <c r="F132" s="707" t="s">
        <v>114</v>
      </c>
      <c r="G132" s="422" t="s">
        <v>85</v>
      </c>
      <c r="H132" s="467">
        <v>5500</v>
      </c>
      <c r="I132" s="467">
        <v>5500</v>
      </c>
      <c r="J132" s="489">
        <f>6000/4</f>
        <v>1500</v>
      </c>
      <c r="K132" s="505">
        <f>6000/2</f>
        <v>3000</v>
      </c>
      <c r="L132" s="505">
        <f>6000*3/4</f>
        <v>4500</v>
      </c>
      <c r="M132" s="322"/>
      <c r="N132" s="322"/>
      <c r="O132" s="322"/>
      <c r="P132" s="322"/>
      <c r="Q132" s="322"/>
      <c r="R132" s="322"/>
      <c r="S132" s="427"/>
      <c r="T132" s="64"/>
    </row>
    <row r="133" spans="1:21" ht="15" customHeight="1">
      <c r="A133" s="3"/>
      <c r="B133" s="692"/>
      <c r="C133" s="693"/>
      <c r="D133" s="694"/>
      <c r="E133" s="732"/>
      <c r="F133" s="707"/>
      <c r="G133" s="422" t="s">
        <v>86</v>
      </c>
      <c r="H133" s="467">
        <v>4718</v>
      </c>
      <c r="I133" s="453">
        <v>6068</v>
      </c>
      <c r="J133" s="322">
        <v>1552</v>
      </c>
      <c r="K133" s="322">
        <v>2937</v>
      </c>
      <c r="L133" s="322">
        <v>4226</v>
      </c>
      <c r="M133" s="322"/>
      <c r="N133" s="322"/>
      <c r="O133" s="322"/>
      <c r="P133" s="322"/>
      <c r="Q133" s="322"/>
      <c r="R133" s="322"/>
      <c r="S133" s="427"/>
      <c r="T133" s="64"/>
    </row>
    <row r="134" spans="1:21" ht="15" hidden="1" customHeight="1">
      <c r="A134" s="3"/>
      <c r="B134" s="701"/>
      <c r="C134" s="702"/>
      <c r="D134" s="703"/>
      <c r="E134" s="739"/>
      <c r="F134" s="740"/>
      <c r="G134" s="423" t="s">
        <v>85</v>
      </c>
      <c r="H134" s="484"/>
      <c r="I134" s="482"/>
      <c r="J134" s="424"/>
      <c r="K134" s="506"/>
      <c r="L134" s="424"/>
      <c r="M134" s="424"/>
      <c r="N134" s="424"/>
      <c r="O134" s="424"/>
      <c r="P134" s="424"/>
      <c r="Q134" s="424"/>
      <c r="R134" s="424"/>
      <c r="S134" s="426"/>
      <c r="T134" s="64"/>
    </row>
    <row r="135" spans="1:21" ht="15" hidden="1" customHeight="1">
      <c r="A135" s="3"/>
      <c r="B135" s="704"/>
      <c r="C135" s="705"/>
      <c r="D135" s="706"/>
      <c r="E135" s="739"/>
      <c r="F135" s="740"/>
      <c r="G135" s="423" t="s">
        <v>86</v>
      </c>
      <c r="H135" s="485"/>
      <c r="I135" s="461"/>
      <c r="J135" s="424"/>
      <c r="K135" s="424"/>
      <c r="L135" s="424"/>
      <c r="M135" s="424"/>
      <c r="N135" s="424"/>
      <c r="O135" s="424"/>
      <c r="P135" s="424"/>
      <c r="Q135" s="424"/>
      <c r="R135" s="424"/>
      <c r="S135" s="426"/>
      <c r="T135" s="64"/>
    </row>
    <row r="136" spans="1:21" ht="15" hidden="1" customHeight="1">
      <c r="A136" s="3"/>
      <c r="B136" s="749"/>
      <c r="C136" s="690"/>
      <c r="D136" s="691"/>
      <c r="E136" s="732"/>
      <c r="F136" s="707"/>
      <c r="G136" s="422" t="s">
        <v>85</v>
      </c>
      <c r="H136" s="454"/>
      <c r="I136" s="453"/>
      <c r="J136" s="322"/>
      <c r="K136" s="322"/>
      <c r="L136" s="322"/>
      <c r="M136" s="322"/>
      <c r="N136" s="322"/>
      <c r="O136" s="322"/>
      <c r="P136" s="322"/>
      <c r="Q136" s="322"/>
      <c r="R136" s="322"/>
      <c r="S136" s="427"/>
      <c r="T136" s="64"/>
    </row>
    <row r="137" spans="1:21" ht="15" hidden="1" customHeight="1" thickBot="1">
      <c r="A137" s="3"/>
      <c r="B137" s="750"/>
      <c r="C137" s="751"/>
      <c r="D137" s="752"/>
      <c r="E137" s="741"/>
      <c r="F137" s="742"/>
      <c r="G137" s="428" t="s">
        <v>86</v>
      </c>
      <c r="H137" s="462"/>
      <c r="I137" s="463"/>
      <c r="J137" s="429"/>
      <c r="K137" s="429"/>
      <c r="L137" s="429"/>
      <c r="M137" s="429"/>
      <c r="N137" s="429"/>
      <c r="O137" s="429"/>
      <c r="P137" s="429"/>
      <c r="Q137" s="429"/>
      <c r="R137" s="429"/>
      <c r="S137" s="430"/>
      <c r="T137" s="64"/>
    </row>
    <row r="138" spans="1:21">
      <c r="A138" s="3"/>
      <c r="B138" s="3"/>
      <c r="C138" s="3"/>
      <c r="D138" s="3"/>
      <c r="E138" s="3"/>
      <c r="F138" s="3"/>
      <c r="G138" s="2"/>
      <c r="H138" s="3"/>
      <c r="I138" s="3"/>
      <c r="J138" s="3"/>
      <c r="K138" s="3"/>
      <c r="L138" s="3"/>
      <c r="M138" s="3"/>
      <c r="N138" s="3"/>
      <c r="O138" s="3"/>
      <c r="R138" s="36"/>
      <c r="S138" s="36"/>
    </row>
    <row r="139" spans="1:21">
      <c r="A139" s="3"/>
      <c r="B139" s="3"/>
      <c r="C139" s="3"/>
      <c r="D139" s="3"/>
      <c r="E139" s="3"/>
      <c r="F139" s="3"/>
      <c r="G139" s="2"/>
      <c r="H139" s="3"/>
      <c r="I139" s="3"/>
      <c r="J139" s="3"/>
      <c r="K139" s="3"/>
      <c r="L139" s="3"/>
      <c r="M139" s="3"/>
      <c r="N139" s="3"/>
      <c r="O139" s="3"/>
      <c r="R139" s="36"/>
      <c r="S139" s="36"/>
    </row>
    <row r="140" spans="1:21">
      <c r="A140" s="3"/>
      <c r="B140" s="3"/>
      <c r="C140" s="3"/>
      <c r="D140" s="3"/>
      <c r="E140" s="3"/>
      <c r="F140" s="3"/>
      <c r="G140" s="2"/>
      <c r="H140" s="3"/>
      <c r="I140" s="3"/>
      <c r="J140" s="3"/>
      <c r="K140" s="3"/>
      <c r="L140" s="3"/>
      <c r="M140" s="3"/>
      <c r="N140" s="3"/>
      <c r="O140" s="3"/>
      <c r="R140" s="36"/>
      <c r="S140" s="36"/>
    </row>
    <row r="141" spans="1:21" ht="16.5" thickBot="1">
      <c r="A141" s="3"/>
      <c r="B141" s="326"/>
      <c r="C141" s="3"/>
      <c r="D141" s="3"/>
      <c r="E141" s="3"/>
      <c r="F141" s="3"/>
      <c r="G141" s="2"/>
      <c r="H141" s="3"/>
      <c r="I141" s="3"/>
      <c r="J141" s="3"/>
      <c r="K141" s="3"/>
      <c r="L141" s="3"/>
      <c r="M141" s="3"/>
      <c r="N141" s="3"/>
      <c r="O141" s="3"/>
      <c r="R141" s="36"/>
      <c r="S141" s="36"/>
    </row>
    <row r="142" spans="1:21" ht="15.75" thickBot="1">
      <c r="A142" s="3"/>
      <c r="B142" s="3" t="s">
        <v>404</v>
      </c>
      <c r="C142" s="3"/>
      <c r="D142" s="3"/>
      <c r="E142" s="324" t="s">
        <v>327</v>
      </c>
      <c r="F142" s="281" t="s">
        <v>344</v>
      </c>
      <c r="G142" s="244"/>
      <c r="H142" s="387" t="str">
        <f t="shared" ref="H142:S142" si="6">C30</f>
        <v>P1</v>
      </c>
      <c r="I142" s="387" t="str">
        <f t="shared" si="6"/>
        <v>P2</v>
      </c>
      <c r="J142" s="387" t="str">
        <f t="shared" si="6"/>
        <v>P3</v>
      </c>
      <c r="K142" s="387" t="str">
        <f t="shared" si="6"/>
        <v>P4</v>
      </c>
      <c r="L142" s="387" t="str">
        <f t="shared" si="6"/>
        <v>P5</v>
      </c>
      <c r="M142" s="387" t="str">
        <f t="shared" si="6"/>
        <v>P6</v>
      </c>
      <c r="N142" s="387" t="str">
        <f t="shared" si="6"/>
        <v>P7</v>
      </c>
      <c r="O142" s="387" t="str">
        <f t="shared" si="6"/>
        <v>P8</v>
      </c>
      <c r="P142" s="387" t="str">
        <f t="shared" si="6"/>
        <v>P9</v>
      </c>
      <c r="Q142" s="387" t="str">
        <f t="shared" si="6"/>
        <v>P10</v>
      </c>
      <c r="R142" s="387" t="str">
        <f t="shared" si="6"/>
        <v>P11</v>
      </c>
      <c r="S142" s="388" t="str">
        <f t="shared" si="6"/>
        <v>P12</v>
      </c>
      <c r="T142" s="36"/>
      <c r="U142" s="36"/>
    </row>
    <row r="143" spans="1:21">
      <c r="A143" s="3"/>
      <c r="B143" s="680" t="str">
        <f>IF(ISBLANK(B118),"",(B118))</f>
        <v>Percentage of PWID that have received an HIV test during the reporting period and know their results</v>
      </c>
      <c r="C143" s="681"/>
      <c r="D143" s="682"/>
      <c r="E143" s="736" t="str">
        <f>IF(ISBLANK(E118),"",(E118))</f>
        <v>KP-3d</v>
      </c>
      <c r="F143" s="665" t="str">
        <f>IF(ISBLANK(F118),"",(F118))</f>
        <v>Yes</v>
      </c>
      <c r="G143" s="352" t="s">
        <v>85</v>
      </c>
      <c r="H143" s="407">
        <f t="shared" ref="H143:S143" si="7">H118</f>
        <v>25347</v>
      </c>
      <c r="I143" s="407">
        <f t="shared" si="7"/>
        <v>25347</v>
      </c>
      <c r="J143" s="407">
        <f t="shared" si="7"/>
        <v>6958</v>
      </c>
      <c r="K143" s="407">
        <f t="shared" si="7"/>
        <v>13916</v>
      </c>
      <c r="L143" s="407">
        <f t="shared" si="7"/>
        <v>20874</v>
      </c>
      <c r="M143" s="407">
        <f t="shared" si="7"/>
        <v>0</v>
      </c>
      <c r="N143" s="407">
        <f t="shared" si="7"/>
        <v>0</v>
      </c>
      <c r="O143" s="407">
        <f t="shared" si="7"/>
        <v>0</v>
      </c>
      <c r="P143" s="407">
        <f t="shared" si="7"/>
        <v>0</v>
      </c>
      <c r="Q143" s="407">
        <f t="shared" si="7"/>
        <v>0</v>
      </c>
      <c r="R143" s="407">
        <f t="shared" si="7"/>
        <v>0</v>
      </c>
      <c r="S143" s="438">
        <f t="shared" si="7"/>
        <v>0</v>
      </c>
      <c r="T143" s="36"/>
      <c r="U143" s="36"/>
    </row>
    <row r="144" spans="1:21">
      <c r="A144" s="3"/>
      <c r="B144" s="683"/>
      <c r="C144" s="684"/>
      <c r="D144" s="685"/>
      <c r="E144" s="736"/>
      <c r="F144" s="665"/>
      <c r="G144" s="128" t="s">
        <v>86</v>
      </c>
      <c r="H144" s="407">
        <f t="shared" ref="H144:K148" si="8">H119</f>
        <v>22099</v>
      </c>
      <c r="I144" s="407">
        <f t="shared" si="8"/>
        <v>28279</v>
      </c>
      <c r="J144" s="407">
        <f t="shared" si="8"/>
        <v>7219</v>
      </c>
      <c r="K144" s="407">
        <f t="shared" si="8"/>
        <v>16129</v>
      </c>
      <c r="L144" s="407">
        <f t="shared" ref="L144:S144" si="9">L119</f>
        <v>18626</v>
      </c>
      <c r="M144" s="407">
        <f t="shared" si="9"/>
        <v>0</v>
      </c>
      <c r="N144" s="407">
        <f t="shared" si="9"/>
        <v>0</v>
      </c>
      <c r="O144" s="407">
        <f t="shared" si="9"/>
        <v>0</v>
      </c>
      <c r="P144" s="407">
        <f t="shared" si="9"/>
        <v>0</v>
      </c>
      <c r="Q144" s="407">
        <f t="shared" si="9"/>
        <v>0</v>
      </c>
      <c r="R144" s="407">
        <f t="shared" si="9"/>
        <v>0</v>
      </c>
      <c r="S144" s="438">
        <f t="shared" si="9"/>
        <v>0</v>
      </c>
      <c r="T144" s="36"/>
      <c r="U144" s="36"/>
    </row>
    <row r="145" spans="1:21">
      <c r="A145" s="3"/>
      <c r="B145" s="686" t="str">
        <f>IF(ISBLANK(B120),"",(B120))</f>
        <v>Percentage of MSM reached with HIV prevention programs - defined package of services</v>
      </c>
      <c r="C145" s="687"/>
      <c r="D145" s="688"/>
      <c r="E145" s="753" t="str">
        <f>IF(ISBLANK(E120),"",(E120))</f>
        <v>KP-1a</v>
      </c>
      <c r="F145" s="666" t="str">
        <f>IF(ISBLANK(F120),"",(F120))</f>
        <v>Yes</v>
      </c>
      <c r="G145" s="431" t="s">
        <v>85</v>
      </c>
      <c r="H145" s="432">
        <f t="shared" si="8"/>
        <v>4250</v>
      </c>
      <c r="I145" s="432">
        <f>I120</f>
        <v>4250</v>
      </c>
      <c r="J145" s="432">
        <f t="shared" si="8"/>
        <v>1487.5</v>
      </c>
      <c r="K145" s="432">
        <f>K120</f>
        <v>2975</v>
      </c>
      <c r="L145" s="432">
        <f t="shared" ref="L145:S145" si="10">L120</f>
        <v>4462.5</v>
      </c>
      <c r="M145" s="432">
        <f t="shared" si="10"/>
        <v>0</v>
      </c>
      <c r="N145" s="432">
        <f t="shared" si="10"/>
        <v>0</v>
      </c>
      <c r="O145" s="432">
        <f t="shared" si="10"/>
        <v>0</v>
      </c>
      <c r="P145" s="432">
        <f t="shared" si="10"/>
        <v>0</v>
      </c>
      <c r="Q145" s="432">
        <f t="shared" si="10"/>
        <v>0</v>
      </c>
      <c r="R145" s="432">
        <f t="shared" si="10"/>
        <v>0</v>
      </c>
      <c r="S145" s="439">
        <f t="shared" si="10"/>
        <v>0</v>
      </c>
      <c r="T145" s="36"/>
      <c r="U145" s="36"/>
    </row>
    <row r="146" spans="1:21">
      <c r="A146" s="3"/>
      <c r="B146" s="686"/>
      <c r="C146" s="687"/>
      <c r="D146" s="688"/>
      <c r="E146" s="753"/>
      <c r="F146" s="666"/>
      <c r="G146" s="431" t="s">
        <v>86</v>
      </c>
      <c r="H146" s="432">
        <f t="shared" si="8"/>
        <v>3167</v>
      </c>
      <c r="I146" s="432">
        <f t="shared" si="8"/>
        <v>3826</v>
      </c>
      <c r="J146" s="432">
        <f t="shared" si="8"/>
        <v>1383</v>
      </c>
      <c r="K146" s="432">
        <f t="shared" si="8"/>
        <v>2314</v>
      </c>
      <c r="L146" s="432">
        <f t="shared" ref="L146:S146" si="11">L121</f>
        <v>3126</v>
      </c>
      <c r="M146" s="432">
        <f t="shared" si="11"/>
        <v>0</v>
      </c>
      <c r="N146" s="432">
        <f t="shared" si="11"/>
        <v>0</v>
      </c>
      <c r="O146" s="432">
        <f t="shared" si="11"/>
        <v>0</v>
      </c>
      <c r="P146" s="432">
        <f t="shared" si="11"/>
        <v>0</v>
      </c>
      <c r="Q146" s="432">
        <f t="shared" si="11"/>
        <v>0</v>
      </c>
      <c r="R146" s="432">
        <f t="shared" si="11"/>
        <v>0</v>
      </c>
      <c r="S146" s="439">
        <f t="shared" si="11"/>
        <v>0</v>
      </c>
      <c r="T146" s="36"/>
      <c r="U146" s="36"/>
    </row>
    <row r="147" spans="1:21">
      <c r="A147" s="3"/>
      <c r="B147" s="743" t="str">
        <f>IF(ISBLANK(B122),"",(B122))</f>
        <v xml:space="preserve">Percentage of people living with HIV currently receiving antiretroviral therapy </v>
      </c>
      <c r="C147" s="744"/>
      <c r="D147" s="745"/>
      <c r="E147" s="736" t="str">
        <f>IF(ISBLANK(E122),"",(E122))</f>
        <v>TCS-1</v>
      </c>
      <c r="F147" s="665" t="str">
        <f>IF(ISBLANK(F122),"",(F122))</f>
        <v>Yes</v>
      </c>
      <c r="G147" s="128" t="s">
        <v>85</v>
      </c>
      <c r="H147" s="407">
        <f t="shared" si="8"/>
        <v>4000</v>
      </c>
      <c r="I147" s="407">
        <f t="shared" si="8"/>
        <v>4000</v>
      </c>
      <c r="J147" s="407">
        <f t="shared" si="8"/>
        <v>4550</v>
      </c>
      <c r="K147" s="407">
        <f t="shared" si="8"/>
        <v>4550</v>
      </c>
      <c r="L147" s="407">
        <f t="shared" ref="L147:S147" si="12">L122</f>
        <v>4550</v>
      </c>
      <c r="M147" s="407">
        <f t="shared" si="12"/>
        <v>0</v>
      </c>
      <c r="N147" s="407">
        <f t="shared" si="12"/>
        <v>0</v>
      </c>
      <c r="O147" s="407">
        <f t="shared" si="12"/>
        <v>0</v>
      </c>
      <c r="P147" s="407">
        <f t="shared" si="12"/>
        <v>0</v>
      </c>
      <c r="Q147" s="407">
        <f t="shared" si="12"/>
        <v>0</v>
      </c>
      <c r="R147" s="407">
        <f t="shared" si="12"/>
        <v>0</v>
      </c>
      <c r="S147" s="438">
        <f t="shared" si="12"/>
        <v>0</v>
      </c>
      <c r="T147" s="36"/>
      <c r="U147" s="36"/>
    </row>
    <row r="148" spans="1:21" ht="15.75" thickBot="1">
      <c r="A148" s="3"/>
      <c r="B148" s="746"/>
      <c r="C148" s="747"/>
      <c r="D148" s="748"/>
      <c r="E148" s="737"/>
      <c r="F148" s="738"/>
      <c r="G148" s="129" t="s">
        <v>86</v>
      </c>
      <c r="H148" s="408">
        <f t="shared" si="8"/>
        <v>3518</v>
      </c>
      <c r="I148" s="408">
        <f t="shared" si="8"/>
        <v>3638</v>
      </c>
      <c r="J148" s="408">
        <f t="shared" si="8"/>
        <v>3786</v>
      </c>
      <c r="K148" s="408">
        <f t="shared" si="8"/>
        <v>3899</v>
      </c>
      <c r="L148" s="408">
        <f t="shared" ref="L148:S148" si="13">L123</f>
        <v>4100</v>
      </c>
      <c r="M148" s="408">
        <f t="shared" si="13"/>
        <v>0</v>
      </c>
      <c r="N148" s="408">
        <f t="shared" si="13"/>
        <v>0</v>
      </c>
      <c r="O148" s="408">
        <f t="shared" si="13"/>
        <v>0</v>
      </c>
      <c r="P148" s="408">
        <f t="shared" si="13"/>
        <v>0</v>
      </c>
      <c r="Q148" s="408">
        <f t="shared" si="13"/>
        <v>0</v>
      </c>
      <c r="R148" s="408">
        <f t="shared" si="13"/>
        <v>0</v>
      </c>
      <c r="S148" s="440">
        <f t="shared" si="13"/>
        <v>0</v>
      </c>
      <c r="T148" s="36"/>
      <c r="U148" s="36"/>
    </row>
    <row r="149" spans="1:21">
      <c r="A149" s="3"/>
      <c r="B149" s="3"/>
      <c r="C149" s="3"/>
      <c r="D149" s="3"/>
      <c r="E149" s="3"/>
      <c r="F149" s="3"/>
      <c r="G149" s="3"/>
      <c r="H149" s="3"/>
      <c r="I149" s="3"/>
      <c r="J149" s="3"/>
      <c r="K149" s="3"/>
      <c r="L149" s="3"/>
      <c r="M149" s="3"/>
      <c r="N149"/>
      <c r="O149"/>
      <c r="P149" s="36"/>
      <c r="Q149" s="36"/>
      <c r="S149" s="433"/>
    </row>
    <row r="150" spans="1:21">
      <c r="N150"/>
      <c r="O150"/>
      <c r="P150" s="36"/>
      <c r="Q150" s="36"/>
    </row>
    <row r="151" spans="1:21">
      <c r="N151"/>
      <c r="O151"/>
      <c r="P151" s="36"/>
      <c r="Q151" s="36"/>
    </row>
    <row r="152" spans="1:21">
      <c r="N152"/>
      <c r="O152"/>
      <c r="P152" s="36"/>
      <c r="Q152" s="36"/>
    </row>
  </sheetData>
  <mergeCells count="73">
    <mergeCell ref="E147:E148"/>
    <mergeCell ref="B124:D125"/>
    <mergeCell ref="F147:F148"/>
    <mergeCell ref="E134:E135"/>
    <mergeCell ref="F134:F135"/>
    <mergeCell ref="E136:E137"/>
    <mergeCell ref="F136:F137"/>
    <mergeCell ref="E143:E144"/>
    <mergeCell ref="E124:E125"/>
    <mergeCell ref="E128:E129"/>
    <mergeCell ref="B147:D148"/>
    <mergeCell ref="B136:D137"/>
    <mergeCell ref="E145:E146"/>
    <mergeCell ref="E126:E127"/>
    <mergeCell ref="B126:D127"/>
    <mergeCell ref="E132:E133"/>
    <mergeCell ref="O31:O34"/>
    <mergeCell ref="E118:E119"/>
    <mergeCell ref="F118:F119"/>
    <mergeCell ref="F120:F121"/>
    <mergeCell ref="E120:E121"/>
    <mergeCell ref="F47:I47"/>
    <mergeCell ref="I24:J24"/>
    <mergeCell ref="B21:J21"/>
    <mergeCell ref="B73:C73"/>
    <mergeCell ref="E122:E123"/>
    <mergeCell ref="B116:D116"/>
    <mergeCell ref="D24:E24"/>
    <mergeCell ref="F132:F133"/>
    <mergeCell ref="F126:F127"/>
    <mergeCell ref="B71:C71"/>
    <mergeCell ref="B26:C26"/>
    <mergeCell ref="B108:B111"/>
    <mergeCell ref="F128:F129"/>
    <mergeCell ref="E130:E131"/>
    <mergeCell ref="F130:F131"/>
    <mergeCell ref="F124:F125"/>
    <mergeCell ref="B143:D144"/>
    <mergeCell ref="B145:D146"/>
    <mergeCell ref="B128:D129"/>
    <mergeCell ref="B130:D131"/>
    <mergeCell ref="B132:D133"/>
    <mergeCell ref="B134:D135"/>
    <mergeCell ref="F143:F144"/>
    <mergeCell ref="F145:F146"/>
    <mergeCell ref="B2:J2"/>
    <mergeCell ref="C4:D4"/>
    <mergeCell ref="E4:F4"/>
    <mergeCell ref="G4:J4"/>
    <mergeCell ref="H16:I16"/>
    <mergeCell ref="I6:J6"/>
    <mergeCell ref="G12:J12"/>
    <mergeCell ref="G10:J10"/>
    <mergeCell ref="E10:F10"/>
    <mergeCell ref="I8:J8"/>
    <mergeCell ref="C10:D10"/>
    <mergeCell ref="E12:F12"/>
    <mergeCell ref="C8:D8"/>
    <mergeCell ref="B14:J14"/>
    <mergeCell ref="C12:D12"/>
    <mergeCell ref="G24:H24"/>
    <mergeCell ref="C6:D6"/>
    <mergeCell ref="E6:F6"/>
    <mergeCell ref="B72:C72"/>
    <mergeCell ref="B18:C18"/>
    <mergeCell ref="D18:F18"/>
    <mergeCell ref="A118:A123"/>
    <mergeCell ref="B29:N29"/>
    <mergeCell ref="B118:D119"/>
    <mergeCell ref="B60:D60"/>
    <mergeCell ref="F122:F123"/>
    <mergeCell ref="B120:D121"/>
    <mergeCell ref="B122:D123"/>
  </mergeCells>
  <phoneticPr fontId="30" type="noConversion"/>
  <conditionalFormatting sqref="B34 B32 C32:D33 E32 E33:N33 C31 G32:H32">
    <cfRule type="expression" dxfId="37" priority="1" stopIfTrue="1">
      <formula>+AND(#REF!&gt;=#REF!,#REF!&lt;=#REF!)</formula>
    </cfRule>
  </conditionalFormatting>
  <conditionalFormatting sqref="C34:N34">
    <cfRule type="expression" dxfId="36" priority="2" stopIfTrue="1">
      <formula>+AND(#REF!&gt;=#REF!,#REF!&lt;=#REF!)</formula>
    </cfRule>
  </conditionalFormatting>
  <conditionalFormatting sqref="C30:N30 C94:N94">
    <cfRule type="cellIs" dxfId="35" priority="5" stopIfTrue="1" operator="equal">
      <formula>$C$16</formula>
    </cfRule>
  </conditionalFormatting>
  <conditionalFormatting sqref="C12:D12">
    <cfRule type="cellIs" dxfId="34" priority="7" stopIfTrue="1" operator="equal">
      <formula>"C"</formula>
    </cfRule>
    <cfRule type="cellIs" dxfId="33" priority="8" stopIfTrue="1" operator="equal">
      <formula>"B2"</formula>
    </cfRule>
    <cfRule type="cellIs" dxfId="32" priority="9" stopIfTrue="1" operator="equal">
      <formula>"B1"</formula>
    </cfRule>
  </conditionalFormatting>
  <conditionalFormatting sqref="H116:S117 H142:S142">
    <cfRule type="cellIs" dxfId="31" priority="16" stopIfTrue="1" operator="equal">
      <formula>$C$16</formula>
    </cfRule>
  </conditionalFormatting>
  <conditionalFormatting sqref="F47:I47">
    <cfRule type="expression" dxfId="30" priority="17" stopIfTrue="1">
      <formula>LEFT($F$47,2)="OK"</formula>
    </cfRule>
  </conditionalFormatting>
  <dataValidations count="9">
    <dataValidation type="list" allowBlank="1" showInputMessage="1" showErrorMessage="1" sqref="B108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8:C111">
      <formula1>Medicaments</formula1>
    </dataValidation>
  </dataValidations>
  <pageMargins left="0.70866141732283472" right="0.70866141732283472" top="0.74803149606299213" bottom="0.74803149606299213" header="0.31496062992125984" footer="0.31496062992125984"/>
  <pageSetup paperSize="9" orientation="landscape" r:id="rId1"/>
  <headerFooter>
    <oddFooter>&amp;L&amp;F&amp;C&amp;A&amp;RV1.0          &amp;D</oddFooter>
  </headerFooter>
  <rowBreaks count="1" manualBreakCount="1">
    <brk id="48" max="16383" man="1"/>
  </rowBreaks>
  <ignoredErrors>
    <ignoredError sqref="H142:S142 E143 C32 E96:G96 D47 E32:G32 C52:D52 C53:C55 D53:D54 G97"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zoomScaleSheetLayoutView="100" workbookViewId="0">
      <selection activeCell="E1" sqref="E1:E1048576"/>
    </sheetView>
  </sheetViews>
  <sheetFormatPr defaultColWidth="11.42578125" defaultRowHeight="15"/>
  <cols>
    <col min="1" max="1" width="21.140625" style="3" customWidth="1"/>
    <col min="2" max="2" width="12.42578125" style="3" customWidth="1"/>
    <col min="3" max="3" width="20.42578125" style="3" customWidth="1"/>
    <col min="4" max="4" width="15.285156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42578125" style="3" customWidth="1"/>
    <col min="15" max="15" width="7.140625" style="3" customWidth="1"/>
    <col min="16" max="16384" width="11.42578125" style="3"/>
  </cols>
  <sheetData>
    <row r="1" spans="1:24" ht="21" customHeight="1">
      <c r="A1" s="2"/>
      <c r="B1" s="2"/>
      <c r="C1" s="2"/>
      <c r="D1" s="2"/>
      <c r="E1" s="2"/>
      <c r="F1" s="2"/>
      <c r="G1" s="273"/>
      <c r="H1" s="2"/>
      <c r="I1" s="2"/>
      <c r="J1" s="2"/>
    </row>
    <row r="2" spans="1:24" ht="25.5" customHeight="1"/>
    <row r="3" spans="1:24" ht="36">
      <c r="B3" s="754" t="str">
        <f>+"Dashboard: "&amp;" "&amp;+IF('Data Entry'!C4="Please Select","",'Data Entry'!C4&amp;" - ")&amp;+IF('Data Entry'!G6="Please Select","",'Data Entry'!G6)</f>
        <v>Dashboard:  Georgia - HIV / AIDS</v>
      </c>
      <c r="C3" s="754"/>
      <c r="D3" s="754"/>
      <c r="E3" s="754"/>
      <c r="F3" s="754"/>
      <c r="G3" s="754"/>
      <c r="H3" s="754"/>
      <c r="I3" s="754"/>
      <c r="J3" s="754"/>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66" t="s">
        <v>25</v>
      </c>
      <c r="B6" s="756" t="str">
        <f>+IF('Data Entry'!C4="Please Select","",'Data Entry'!C4)</f>
        <v>Georgia</v>
      </c>
      <c r="C6" s="756"/>
      <c r="D6" s="760" t="s">
        <v>11</v>
      </c>
      <c r="E6" s="760"/>
      <c r="F6" s="761" t="str">
        <f>+'Data Entry'!G4</f>
        <v xml:space="preserve">Sustaining and Scaling up the Effective HIV/AIDS Prevention, Treatment and Care in Georgia </v>
      </c>
      <c r="G6" s="761"/>
      <c r="H6" s="761"/>
      <c r="I6" s="761"/>
      <c r="J6" s="761"/>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77" t="s">
        <v>26</v>
      </c>
      <c r="B9" s="343" t="str">
        <f>+IF('Data Entry'!G6="Please Select","",'Data Entry'!G6)</f>
        <v>HIV / AIDS</v>
      </c>
      <c r="C9" s="224" t="s">
        <v>328</v>
      </c>
      <c r="D9" s="344" t="str">
        <f>+'Data Entry'!C6</f>
        <v>GEO-H-NCDC</v>
      </c>
      <c r="E9" s="758" t="s">
        <v>12</v>
      </c>
      <c r="F9" s="758"/>
      <c r="G9" s="345">
        <f>+IF(ISBLANK('Data Entry'!C10),"",'Data Entry'!C10)</f>
        <v>42552</v>
      </c>
      <c r="H9" s="377" t="s">
        <v>329</v>
      </c>
      <c r="I9" s="757">
        <f>+IF(ISBLANK('Data Entry'!I6),"",'Data Entry'!I6)</f>
        <v>18462163</v>
      </c>
      <c r="J9" s="757"/>
      <c r="K9" s="50"/>
      <c r="L9" s="50"/>
      <c r="M9" s="50"/>
      <c r="N9" s="50"/>
      <c r="O9" s="52"/>
      <c r="P9" s="51"/>
      <c r="Q9" s="52"/>
      <c r="R9" s="53"/>
      <c r="S9" s="17"/>
      <c r="T9" s="11"/>
      <c r="U9" s="11"/>
      <c r="V9" s="10"/>
      <c r="W9" s="10"/>
      <c r="X9" s="10"/>
    </row>
    <row r="10" spans="1:24" ht="25.5" customHeight="1">
      <c r="A10" s="377" t="s">
        <v>323</v>
      </c>
      <c r="B10" s="346" t="str">
        <f>+IF('Data Entry'!G8="Please Select","",'Data Entry'!G8)</f>
        <v>NFM</v>
      </c>
      <c r="C10" s="224" t="s">
        <v>322</v>
      </c>
      <c r="D10" s="347" t="str">
        <f>+IF('Data Entry'!I8="Please Select","",'Data Entry'!I8)</f>
        <v>N/A</v>
      </c>
      <c r="E10" s="759" t="s">
        <v>268</v>
      </c>
      <c r="F10" s="759"/>
      <c r="G10" s="755" t="str">
        <f>+'Data Entry'!C8</f>
        <v>NCDC</v>
      </c>
      <c r="H10" s="755"/>
      <c r="I10" s="755"/>
      <c r="J10" s="755"/>
      <c r="K10" s="54"/>
      <c r="L10" s="54"/>
      <c r="M10" s="50"/>
      <c r="N10" s="54"/>
      <c r="O10" s="52"/>
      <c r="P10" s="51"/>
      <c r="Q10" s="11"/>
      <c r="R10" s="53"/>
      <c r="S10" s="17"/>
      <c r="T10" s="11"/>
      <c r="U10" s="11"/>
    </row>
    <row r="11" spans="1:24" ht="25.5" customHeight="1">
      <c r="A11" s="377" t="s">
        <v>20</v>
      </c>
      <c r="B11" s="348" t="str">
        <f>+'Data Entry'!C16</f>
        <v>P5</v>
      </c>
      <c r="C11" s="329" t="s">
        <v>266</v>
      </c>
      <c r="D11" s="349">
        <f>+IF(ISBLANK('Data Entry'!E16),"",'Data Entry'!E16)</f>
        <v>42917</v>
      </c>
      <c r="E11" s="758" t="s">
        <v>21</v>
      </c>
      <c r="F11" s="758"/>
      <c r="G11" s="349">
        <f>+IF(ISBLANK('Data Entry'!G16),"",'Data Entry'!G16)</f>
        <v>43008</v>
      </c>
      <c r="H11" s="377" t="s">
        <v>28</v>
      </c>
      <c r="I11" s="762" t="str">
        <f>+IF('Data Entry'!C12="Please Select","",'Data Entry'!C12)</f>
        <v>A2</v>
      </c>
      <c r="J11" s="762"/>
      <c r="K11" s="272"/>
      <c r="L11" s="54"/>
      <c r="M11" s="50"/>
      <c r="N11" s="54"/>
      <c r="O11" s="54"/>
      <c r="P11" s="51"/>
      <c r="Q11" s="11"/>
      <c r="R11" s="53"/>
      <c r="S11" s="17"/>
      <c r="T11" s="12"/>
      <c r="U11" s="11"/>
    </row>
    <row r="12" spans="1:24" ht="25.5" customHeight="1">
      <c r="A12" s="377" t="s">
        <v>30</v>
      </c>
      <c r="B12" s="755" t="str">
        <f>+IF('Data Entry'!G10="Please Select","",'Data Entry'!G10)</f>
        <v>UNOPS</v>
      </c>
      <c r="C12" s="755"/>
      <c r="D12" s="755"/>
      <c r="E12" s="759" t="s">
        <v>289</v>
      </c>
      <c r="F12" s="759"/>
      <c r="G12" s="755" t="str">
        <f>+'Data Entry'!G12</f>
        <v xml:space="preserve">Gyongyver Jakab </v>
      </c>
      <c r="H12" s="755"/>
      <c r="I12" s="755"/>
      <c r="J12" s="755"/>
      <c r="K12" s="54"/>
      <c r="L12" s="54"/>
      <c r="M12" s="50"/>
      <c r="N12" s="54"/>
      <c r="O12" s="17"/>
      <c r="P12" s="51"/>
      <c r="Q12" s="11"/>
      <c r="R12" s="53"/>
      <c r="S12" s="17"/>
      <c r="T12" s="11"/>
      <c r="U12" s="55"/>
      <c r="V12" s="11"/>
      <c r="W12" s="12"/>
      <c r="X12" s="11"/>
    </row>
    <row r="13" spans="1:24" ht="25.5" customHeight="1">
      <c r="A13" s="377" t="s">
        <v>31</v>
      </c>
      <c r="B13" s="755" t="str">
        <f>+'Data Entry'!D18</f>
        <v>Alexander Asatiani</v>
      </c>
      <c r="C13" s="755"/>
      <c r="D13" s="755"/>
      <c r="E13" s="759" t="s">
        <v>29</v>
      </c>
      <c r="F13" s="759"/>
      <c r="G13" s="763">
        <f>+IF(ISBLANK('Data Entry'!J16),"",'Data Entry'!J16)</f>
        <v>43028</v>
      </c>
      <c r="H13" s="764"/>
      <c r="I13" s="764"/>
      <c r="J13" s="764"/>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3"/>
      <c r="D16" s="16"/>
      <c r="E16" s="378"/>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30" type="noConversion"/>
  <conditionalFormatting sqref="I11:J11">
    <cfRule type="cellIs" dxfId="29" priority="1" stopIfTrue="1" operator="equal">
      <formula>"C"</formula>
    </cfRule>
    <cfRule type="cellIs" dxfId="28" priority="2" stopIfTrue="1" operator="equal">
      <formula>"B2"</formula>
    </cfRule>
    <cfRule type="cellIs" dxfId="27"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headerFooter>
    <oddFooter>&amp;L&amp;F&amp;C&amp;A&amp;RV1.0          &amp;D</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zoomScale="110" zoomScaleNormal="110" zoomScalePageLayoutView="160" workbookViewId="0">
      <selection activeCell="I32" sqref="I32"/>
    </sheetView>
  </sheetViews>
  <sheetFormatPr defaultColWidth="11" defaultRowHeight="15"/>
  <cols>
    <col min="1" max="1" width="3.42578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667" t="str">
        <f>+"Dashboard:  "&amp;"  "&amp;IF(+'Data Entry'!C4="Please Select","",'Data Entry'!C4&amp;" - ")&amp;IF('Data Entry'!G6="Please Select","",'Data Entry'!G6)</f>
        <v>Dashboard:    Georgia - HIV / AIDS</v>
      </c>
      <c r="C2" s="667"/>
      <c r="D2" s="667"/>
      <c r="E2" s="667"/>
      <c r="F2" s="667"/>
      <c r="G2" s="667"/>
      <c r="H2" s="667"/>
      <c r="I2" s="667"/>
      <c r="J2" s="667"/>
      <c r="K2" s="667"/>
      <c r="L2" s="1"/>
      <c r="M2" s="1"/>
      <c r="N2" s="1"/>
      <c r="O2" s="1"/>
    </row>
    <row r="3" spans="2:15">
      <c r="B3" s="132" t="str">
        <f>+IF('Data Entry'!G8="Please Select","",'Data Entry'!G8)</f>
        <v>NFM</v>
      </c>
      <c r="C3" s="776" t="str">
        <f>+IF('Data Entry'!I8="Please Select","",'Data Entry'!I8)</f>
        <v>N/A</v>
      </c>
      <c r="D3" s="776"/>
      <c r="E3" s="775"/>
      <c r="F3" s="775"/>
      <c r="G3" s="775"/>
      <c r="H3" s="775"/>
      <c r="I3" s="773" t="str">
        <f>+'Data Entry'!B16</f>
        <v>Report Period:</v>
      </c>
      <c r="J3" s="773"/>
      <c r="K3" s="197" t="str">
        <f>+'Data Entry'!C16</f>
        <v>P5</v>
      </c>
      <c r="L3" s="83"/>
    </row>
    <row r="4" spans="2:15">
      <c r="B4" s="132" t="str">
        <f>+'Data Entry'!B12</f>
        <v>Latest Rating:</v>
      </c>
      <c r="C4" s="777" t="str">
        <f>+IF('Data Entry'!C12="Please Select","",'Data Entry'!C12)</f>
        <v>A2</v>
      </c>
      <c r="D4" s="777"/>
      <c r="E4" s="775" t="str">
        <f>+'Data Entry'!C8</f>
        <v>NCDC</v>
      </c>
      <c r="F4" s="775"/>
      <c r="G4" s="775"/>
      <c r="H4" s="775"/>
      <c r="I4" s="773" t="str">
        <f>+'Data Entry'!D16</f>
        <v>From:</v>
      </c>
      <c r="J4" s="774"/>
      <c r="K4" s="199">
        <f>+IF(ISBLANK('Data Entry'!E16),"",'Data Entry'!E16)</f>
        <v>42917</v>
      </c>
    </row>
    <row r="5" spans="2:15" ht="18.75" customHeight="1">
      <c r="B5" s="132"/>
      <c r="C5" s="132"/>
      <c r="D5" s="772" t="str">
        <f>+'Data Entry'!G4</f>
        <v xml:space="preserve">Sustaining and Scaling up the Effective HIV/AIDS Prevention, Treatment and Care in Georgia </v>
      </c>
      <c r="E5" s="772"/>
      <c r="F5" s="772"/>
      <c r="G5" s="772"/>
      <c r="H5" s="772"/>
      <c r="I5" s="772"/>
      <c r="J5" s="132" t="str">
        <f>+'Data Entry'!F16</f>
        <v>To:</v>
      </c>
      <c r="K5" s="199">
        <f>+IF(ISBLANK('Data Entry'!G16),"",'Data Entry'!G16)</f>
        <v>43008</v>
      </c>
    </row>
    <row r="6" spans="2:15" ht="18.75">
      <c r="B6" s="136"/>
      <c r="C6" s="132"/>
      <c r="D6" s="133"/>
      <c r="E6" s="778" t="s">
        <v>62</v>
      </c>
      <c r="F6" s="778"/>
      <c r="G6" s="778"/>
      <c r="H6" s="778"/>
      <c r="I6" s="3"/>
      <c r="J6" s="3"/>
      <c r="K6" s="3"/>
    </row>
    <row r="7" spans="2:15" ht="10.5" customHeight="1">
      <c r="B7" s="137"/>
      <c r="C7" s="138"/>
      <c r="D7" s="139"/>
      <c r="E7" s="140"/>
      <c r="F7" s="140"/>
      <c r="G7" s="141"/>
      <c r="H7" s="141"/>
      <c r="I7" s="135"/>
      <c r="J7" s="135"/>
      <c r="K7" s="134"/>
    </row>
    <row r="8" spans="2:15">
      <c r="B8" s="202" t="str">
        <f>+'Data Entry'!B27&amp; " - in ("&amp;'Data Entry'!D26&amp;")         "&amp;+I3&amp;" "&amp;+K3</f>
        <v>F1: Budget and disbursements by Global Fund - in ($)         Report Period: P5</v>
      </c>
      <c r="C8" s="142"/>
      <c r="D8" s="2"/>
      <c r="E8" s="2"/>
      <c r="F8" s="2"/>
      <c r="H8" s="202" t="str">
        <f>+'Data Entry'!B49&amp; " - in ("&amp;'Data Entry'!D26&amp;")         "&amp;+I3&amp;" "&amp;+K3</f>
        <v>F3: Disbursements and expenditures - in ($)         Report Period: P5</v>
      </c>
      <c r="I8" s="3"/>
      <c r="J8" s="3"/>
      <c r="K8" s="3"/>
    </row>
    <row r="9" spans="2:15">
      <c r="B9" s="353" t="s">
        <v>9</v>
      </c>
      <c r="C9" s="784"/>
      <c r="D9" s="766"/>
      <c r="E9" s="766"/>
      <c r="F9" s="767"/>
      <c r="H9" s="354" t="s">
        <v>9</v>
      </c>
      <c r="I9" s="765"/>
      <c r="J9" s="766"/>
      <c r="K9" s="767"/>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203" t="str">
        <f>+'Data Entry'!B36&amp; " - in ("&amp;'Data Entry'!D26&amp;")  "&amp;+I3&amp;" "&amp;+K3</f>
        <v>F2: Budget and actual expenditures by Grant Objective - in ($)  Report Period: P5</v>
      </c>
      <c r="C22" s="2"/>
      <c r="D22" s="2"/>
      <c r="E22" s="2"/>
      <c r="F22" s="2"/>
      <c r="H22" s="203" t="str">
        <f>+'Data Entry'!B58&amp;"      "&amp;+I3&amp;" "&amp;+K3</f>
        <v>F4: Latest PR reporting and disbursement cycle      Report Period: P5</v>
      </c>
      <c r="J22" s="3"/>
      <c r="K22" s="3"/>
    </row>
    <row r="23" spans="1:11">
      <c r="B23" s="354" t="s">
        <v>10</v>
      </c>
      <c r="C23" s="765"/>
      <c r="D23" s="766"/>
      <c r="E23" s="766"/>
      <c r="F23" s="767"/>
      <c r="G23" s="374"/>
      <c r="H23" s="354" t="s">
        <v>9</v>
      </c>
      <c r="I23" s="765"/>
      <c r="J23" s="785"/>
      <c r="K23" s="786"/>
    </row>
    <row r="24" spans="1:11" ht="15.75" thickBot="1">
      <c r="B24" s="212"/>
      <c r="C24" s="212"/>
      <c r="D24" s="212"/>
      <c r="E24" s="212"/>
      <c r="F24" s="212"/>
      <c r="G24" s="212"/>
      <c r="H24" s="213"/>
      <c r="I24" s="213"/>
      <c r="J24" s="212"/>
      <c r="K24" s="212"/>
    </row>
    <row r="25" spans="1:11" ht="29.25" customHeight="1" thickBot="1">
      <c r="B25" s="3"/>
      <c r="C25" s="3"/>
      <c r="D25" s="3"/>
      <c r="E25" s="3"/>
      <c r="F25" s="3"/>
      <c r="G25" s="327"/>
      <c r="H25" s="779" t="s">
        <v>308</v>
      </c>
      <c r="I25" s="780"/>
      <c r="J25" s="780"/>
      <c r="K25" s="781"/>
    </row>
    <row r="26" spans="1:11" ht="24.75">
      <c r="B26" s="3"/>
      <c r="C26" s="3"/>
      <c r="D26" s="3"/>
      <c r="E26" s="3"/>
      <c r="F26" s="3"/>
      <c r="G26" s="289"/>
      <c r="H26" s="782"/>
      <c r="I26" s="783"/>
      <c r="J26" s="305" t="s">
        <v>60</v>
      </c>
      <c r="K26" s="306" t="s">
        <v>61</v>
      </c>
    </row>
    <row r="27" spans="1:11" ht="23.25" customHeight="1">
      <c r="B27" s="3"/>
      <c r="C27" s="3"/>
      <c r="D27" s="3"/>
      <c r="E27" s="3"/>
      <c r="F27" s="3"/>
      <c r="G27" s="328"/>
      <c r="H27" s="768" t="str">
        <f>'Data Entry'!B62</f>
        <v>Days taken to submit final PU/DR to LFA</v>
      </c>
      <c r="I27" s="769"/>
      <c r="J27" s="307">
        <f>+'Data Entry'!C62</f>
        <v>95</v>
      </c>
      <c r="K27" s="304" t="str">
        <f>+'Data Entry'!D62</f>
        <v>N/A</v>
      </c>
    </row>
    <row r="28" spans="1:11" ht="21" customHeight="1">
      <c r="B28" s="3"/>
      <c r="C28" s="3"/>
      <c r="D28" s="3"/>
      <c r="E28" s="3"/>
      <c r="F28" s="3"/>
      <c r="G28" s="328"/>
      <c r="H28" s="768" t="str">
        <f>'Data Entry'!B63</f>
        <v>Days taken for disbursement to reach PR</v>
      </c>
      <c r="I28" s="769"/>
      <c r="J28" s="307">
        <f>+'Data Entry'!C63</f>
        <v>45</v>
      </c>
      <c r="K28" s="304" t="str">
        <f>+'Data Entry'!D63</f>
        <v>N/A</v>
      </c>
    </row>
    <row r="29" spans="1:11" ht="21" customHeight="1" thickBot="1">
      <c r="B29" s="3"/>
      <c r="C29" s="3"/>
      <c r="D29" s="3"/>
      <c r="E29" s="3"/>
      <c r="F29" s="3"/>
      <c r="G29" s="328"/>
      <c r="H29" s="770" t="str">
        <f>'Data Entry'!B64</f>
        <v xml:space="preserve">Days taken for disbursement to reach SRs </v>
      </c>
      <c r="I29" s="771"/>
      <c r="J29" s="308">
        <f>+'Data Entry'!C64</f>
        <v>5</v>
      </c>
      <c r="K29" s="309">
        <f>+'Data Entry'!D64</f>
        <v>3</v>
      </c>
    </row>
    <row r="30" spans="1:11">
      <c r="B30" s="3"/>
      <c r="C30" s="3"/>
      <c r="D30" s="3"/>
      <c r="E30" s="3"/>
      <c r="F30" s="3"/>
      <c r="G30" s="3"/>
      <c r="H30" s="3"/>
      <c r="I30" s="3"/>
      <c r="J30" s="3"/>
      <c r="K30" s="3"/>
    </row>
    <row r="31" spans="1:11">
      <c r="B31" s="3"/>
      <c r="C31" s="15"/>
      <c r="D31" s="234"/>
      <c r="E31" s="3"/>
      <c r="F31" s="3"/>
      <c r="G31" s="3"/>
      <c r="H31" s="3"/>
      <c r="I31" s="3"/>
      <c r="J31" s="3"/>
      <c r="K31" s="3"/>
    </row>
    <row r="32" spans="1:11">
      <c r="B32" s="3"/>
      <c r="C32" s="15"/>
      <c r="D32" s="234"/>
      <c r="E32" s="3"/>
      <c r="F32" s="3"/>
      <c r="G32" s="3"/>
      <c r="H32" s="3"/>
      <c r="I32" s="3"/>
      <c r="J32" s="3"/>
      <c r="K32" s="3"/>
    </row>
    <row r="34" spans="5:5">
      <c r="E34" s="19"/>
    </row>
  </sheetData>
  <sheetProtection password="CFC9" sheet="1"/>
  <mergeCells count="18">
    <mergeCell ref="C9:F9"/>
    <mergeCell ref="I23:K23"/>
    <mergeCell ref="C23:F23"/>
    <mergeCell ref="I9:K9"/>
    <mergeCell ref="H28:I28"/>
    <mergeCell ref="H29:I29"/>
    <mergeCell ref="B2:K2"/>
    <mergeCell ref="D5:I5"/>
    <mergeCell ref="I4:J4"/>
    <mergeCell ref="I3:J3"/>
    <mergeCell ref="E3:H3"/>
    <mergeCell ref="C3:D3"/>
    <mergeCell ref="C4:D4"/>
    <mergeCell ref="E4:H4"/>
    <mergeCell ref="E6:H6"/>
    <mergeCell ref="H25:K25"/>
    <mergeCell ref="H26:I26"/>
    <mergeCell ref="H27:I27"/>
  </mergeCells>
  <phoneticPr fontId="30" type="noConversion"/>
  <conditionalFormatting sqref="K27:K29">
    <cfRule type="cellIs" dxfId="26" priority="4" stopIfTrue="1" operator="greaterThan">
      <formula>#REF!</formula>
    </cfRule>
    <cfRule type="cellIs" dxfId="25" priority="5" stopIfTrue="1" operator="between">
      <formula>#REF!</formula>
      <formula>1</formula>
    </cfRule>
    <cfRule type="cellIs" dxfId="24" priority="6" stopIfTrue="1" operator="equal">
      <formula>0</formula>
    </cfRule>
  </conditionalFormatting>
  <conditionalFormatting sqref="C4:D4">
    <cfRule type="cellIs" dxfId="23" priority="1" stopIfTrue="1" operator="equal">
      <formula>"C"</formula>
    </cfRule>
    <cfRule type="cellIs" dxfId="22" priority="2" stopIfTrue="1" operator="equal">
      <formula>"B2"</formula>
    </cfRule>
    <cfRule type="cellIs" dxfId="21"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headerFooter>
    <oddFooter>&amp;L&amp;F&amp;C&amp;A&amp;RV1.0          &amp;D</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topLeftCell="A19" zoomScale="130" zoomScaleNormal="130" zoomScalePageLayoutView="130" workbookViewId="0">
      <selection activeCell="L30" sqref="L30"/>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13.42578125" customWidth="1"/>
    <col min="9" max="9" width="23.42578125" customWidth="1"/>
    <col min="10" max="10" width="13.7109375" customWidth="1"/>
    <col min="11" max="11" width="13.42578125" customWidth="1"/>
    <col min="12" max="12" width="14.140625" customWidth="1"/>
    <col min="13" max="13" width="37.7109375" customWidth="1"/>
  </cols>
  <sheetData>
    <row r="1" spans="1:16" ht="28.5" customHeight="1">
      <c r="C1" s="230"/>
      <c r="E1" s="231"/>
    </row>
    <row r="2" spans="1:16" ht="27.75" customHeight="1">
      <c r="B2" s="792" t="str">
        <f>+"Dashboard:  "&amp;"  "&amp;IF(+'Data Entry'!C4="Please Select","",'Data Entry'!C4&amp;" - ")&amp;IF('Data Entry'!G6="Please Select","",'Data Entry'!G6)</f>
        <v>Dashboard:    Georgia - HIV / AIDS</v>
      </c>
      <c r="C2" s="792"/>
      <c r="D2" s="792"/>
      <c r="E2" s="792"/>
      <c r="F2" s="792"/>
      <c r="G2" s="792"/>
      <c r="H2" s="792"/>
      <c r="I2" s="792"/>
      <c r="J2" s="792"/>
      <c r="K2" s="792"/>
      <c r="L2" s="792"/>
      <c r="M2" s="26"/>
      <c r="N2" s="26"/>
      <c r="O2" s="26"/>
      <c r="P2" s="26"/>
    </row>
    <row r="3" spans="1:16">
      <c r="B3" s="24" t="str">
        <f>+IF('Data Entry'!G8="Please Select","",'Data Entry'!G8)</f>
        <v>NFM</v>
      </c>
      <c r="C3" s="790" t="str">
        <f>+IF('Data Entry'!I8="Please Select","",'Data Entry'!I8)</f>
        <v>N/A</v>
      </c>
      <c r="D3" s="790"/>
      <c r="E3" s="791"/>
      <c r="F3" s="791"/>
      <c r="G3" s="791"/>
      <c r="H3" s="791"/>
      <c r="I3" s="791"/>
      <c r="J3" s="794" t="str">
        <f>+'Data Entry'!B16</f>
        <v>Report Period:</v>
      </c>
      <c r="K3" s="794"/>
      <c r="L3" s="197" t="str">
        <f>+'Data Entry'!C16</f>
        <v>P5</v>
      </c>
    </row>
    <row r="4" spans="1:16">
      <c r="B4" s="24" t="str">
        <f>+'Data Entry'!B12</f>
        <v>Latest Rating:</v>
      </c>
      <c r="C4" s="777" t="str">
        <f>+IF('Data Entry'!C12="Please Select","",'Data Entry'!C12)</f>
        <v>A2</v>
      </c>
      <c r="D4" s="777"/>
      <c r="E4" s="791" t="str">
        <f>+'Data Entry'!C8</f>
        <v>NCDC</v>
      </c>
      <c r="F4" s="791"/>
      <c r="G4" s="791"/>
      <c r="H4" s="791"/>
      <c r="I4" s="791"/>
      <c r="J4" s="794" t="str">
        <f>+'Data Entry'!D16</f>
        <v>From:</v>
      </c>
      <c r="K4" s="798"/>
      <c r="L4" s="199">
        <f>+IF(ISBLANK('Data Entry'!E16),"",'Data Entry'!E16)</f>
        <v>42917</v>
      </c>
    </row>
    <row r="5" spans="1:16" ht="18.75" customHeight="1">
      <c r="B5" s="24"/>
      <c r="C5" s="24"/>
      <c r="D5" s="791" t="str">
        <f>+'Data Entry'!G4</f>
        <v xml:space="preserve">Sustaining and Scaling up the Effective HIV/AIDS Prevention, Treatment and Care in Georgia </v>
      </c>
      <c r="E5" s="791"/>
      <c r="F5" s="791"/>
      <c r="G5" s="791"/>
      <c r="H5" s="791"/>
      <c r="I5" s="791"/>
      <c r="J5" s="791"/>
      <c r="K5" s="24" t="str">
        <f>+'Data Entry'!F16</f>
        <v>To:</v>
      </c>
      <c r="L5" s="199">
        <f>+IF(ISBLANK('Data Entry'!G16),"",'Data Entry'!G16)</f>
        <v>43008</v>
      </c>
    </row>
    <row r="6" spans="1:16" ht="18.75">
      <c r="B6" s="23"/>
      <c r="C6" s="24"/>
      <c r="D6" s="25"/>
      <c r="E6" s="793" t="s">
        <v>69</v>
      </c>
      <c r="F6" s="793"/>
      <c r="G6" s="793"/>
      <c r="H6" s="793"/>
      <c r="I6" s="793"/>
    </row>
    <row r="7" spans="1:16">
      <c r="B7" s="375" t="str">
        <f>+'Data Entry'!B69&amp;"                "&amp;+J3&amp;" "&amp;+L3</f>
        <v>M1: Status of Conditions Precedent (CPs) and Time Bound Actions (TBAs)                Report Period: P5</v>
      </c>
      <c r="C7" s="21"/>
      <c r="H7" s="375" t="str">
        <f>+'Data Entry'!B76&amp;"                                                                             "&amp;+J3&amp;"  "&amp;+L3</f>
        <v>M2: Status of key PR management positions                                                                             Report Period:  P5</v>
      </c>
    </row>
    <row r="8" spans="1:16">
      <c r="B8" s="355" t="s">
        <v>9</v>
      </c>
      <c r="C8" s="765"/>
      <c r="D8" s="785"/>
      <c r="E8" s="785"/>
      <c r="F8" s="786"/>
      <c r="G8" s="376"/>
      <c r="H8" s="354" t="s">
        <v>9</v>
      </c>
      <c r="I8" s="765"/>
      <c r="J8" s="787"/>
      <c r="K8" s="787"/>
      <c r="L8" s="788"/>
    </row>
    <row r="9" spans="1:16">
      <c r="B9" s="19"/>
      <c r="C9" s="19"/>
      <c r="D9" s="19"/>
      <c r="E9" s="19"/>
      <c r="F9" s="19"/>
      <c r="G9" s="19"/>
      <c r="H9" s="19"/>
    </row>
    <row r="10" spans="1:16">
      <c r="A10" s="47"/>
      <c r="B10" s="19"/>
      <c r="C10" s="19"/>
      <c r="D10" s="799"/>
      <c r="E10" s="588"/>
      <c r="F10" s="588"/>
      <c r="G10" s="206"/>
      <c r="H10" s="19"/>
      <c r="N10" s="49"/>
      <c r="O10" s="49"/>
      <c r="P10" s="48"/>
    </row>
    <row r="11" spans="1:16">
      <c r="B11" s="19"/>
      <c r="C11" s="28"/>
      <c r="D11" s="799"/>
      <c r="E11" s="28"/>
      <c r="F11" s="28"/>
      <c r="G11" s="28"/>
      <c r="H11" s="28"/>
      <c r="N11" s="19"/>
      <c r="O11" s="19"/>
    </row>
    <row r="12" spans="1:16">
      <c r="B12" s="28"/>
      <c r="C12" s="79"/>
      <c r="D12" s="80"/>
      <c r="E12" s="80"/>
      <c r="F12" s="80"/>
      <c r="G12" s="80"/>
      <c r="H12" s="81"/>
    </row>
    <row r="13" spans="1:16">
      <c r="B13" s="28"/>
      <c r="C13" s="79"/>
      <c r="D13" s="80"/>
      <c r="E13" s="80"/>
      <c r="F13" s="80"/>
      <c r="G13" s="80"/>
      <c r="H13" s="81"/>
    </row>
    <row r="15" spans="1:16" ht="27.75" customHeight="1">
      <c r="B15" s="375" t="str">
        <f>+'Data Entry'!B81&amp;"                                                                                                  "&amp;+J3&amp;" "&amp;+L3</f>
        <v>M3: Contractual arrangements (SRs)                                                                                                   Report Period: P5</v>
      </c>
      <c r="H15" s="375" t="str">
        <f>+'Data Entry'!B86&amp;"                                                             "&amp;+J3&amp;" "&amp;+L3</f>
        <v>M4: Number of complete reports received on time                                                             Report Period: P5</v>
      </c>
    </row>
    <row r="16" spans="1:16">
      <c r="B16" s="355" t="s">
        <v>9</v>
      </c>
      <c r="C16" s="765"/>
      <c r="D16" s="787"/>
      <c r="E16" s="787"/>
      <c r="F16" s="788"/>
      <c r="G16" s="376"/>
      <c r="H16" s="354" t="s">
        <v>9</v>
      </c>
      <c r="I16" s="765"/>
      <c r="J16" s="785"/>
      <c r="K16" s="785"/>
      <c r="L16" s="786"/>
    </row>
    <row r="17" spans="2:13">
      <c r="B17" s="29"/>
      <c r="H17" s="30"/>
    </row>
    <row r="18" spans="2:13">
      <c r="M18" s="83"/>
    </row>
    <row r="26" spans="2:13">
      <c r="B26" s="375" t="str">
        <f>+'Data Entry'!B92</f>
        <v>M5: Budget and Procurement of health products, health equipment, medicines and pharmaceuticals</v>
      </c>
      <c r="H26" s="375" t="str">
        <f>+'Data Entry'!B105&amp;"                                                                "&amp;+J3&amp;"  "&amp;+L3</f>
        <v>M6: Difference between current and safety stock                                                                Report Period:  P5</v>
      </c>
    </row>
    <row r="27" spans="2:13">
      <c r="B27" s="353" t="s">
        <v>9</v>
      </c>
      <c r="C27" s="784"/>
      <c r="D27" s="787"/>
      <c r="E27" s="787"/>
      <c r="F27" s="788"/>
      <c r="G27" s="376"/>
      <c r="H27" s="354" t="s">
        <v>9</v>
      </c>
      <c r="I27" s="765"/>
      <c r="J27" s="785"/>
      <c r="K27" s="785"/>
      <c r="L27" s="786"/>
    </row>
    <row r="28" spans="2:13" ht="15.75" thickBot="1"/>
    <row r="29" spans="2:13" ht="55.5" customHeight="1">
      <c r="F29" s="334"/>
      <c r="G29" s="334"/>
      <c r="H29" s="218" t="s">
        <v>32</v>
      </c>
      <c r="I29" s="330" t="s">
        <v>79</v>
      </c>
      <c r="J29" s="351" t="s">
        <v>343</v>
      </c>
      <c r="K29" s="217" t="s">
        <v>331</v>
      </c>
      <c r="L29" s="331" t="s">
        <v>330</v>
      </c>
    </row>
    <row r="30" spans="2:13" ht="25.5" customHeight="1">
      <c r="F30" s="334"/>
      <c r="G30" s="334"/>
      <c r="H30" s="795" t="str">
        <f>+'Data Entry'!B108</f>
        <v>Please Select</v>
      </c>
      <c r="I30" s="332" t="str">
        <f>+'Data Entry'!C108</f>
        <v>Zidovudine/Lamivudine</v>
      </c>
      <c r="J30" s="497">
        <f>+'Data Entry'!I108</f>
        <v>10.598360655737705</v>
      </c>
      <c r="K30" s="498">
        <f>+'Data Entry'!J108</f>
        <v>6</v>
      </c>
      <c r="L30" s="495">
        <f>J30-K30</f>
        <v>4.5983606557377055</v>
      </c>
      <c r="M30" s="494"/>
    </row>
    <row r="31" spans="2:13">
      <c r="F31" s="334"/>
      <c r="G31" s="334"/>
      <c r="H31" s="796"/>
      <c r="I31" s="332" t="str">
        <f>+'Data Entry'!C109</f>
        <v>Syringes (1ml)</v>
      </c>
      <c r="J31" s="497">
        <f>+'Data Entry'!I109</f>
        <v>8.0362929292929302</v>
      </c>
      <c r="K31" s="498">
        <f>+'Data Entry'!J109</f>
        <v>3</v>
      </c>
      <c r="L31" s="496">
        <f t="shared" ref="L31:L33" si="0">J31-K31</f>
        <v>5.0362929292929302</v>
      </c>
      <c r="M31" s="483"/>
    </row>
    <row r="32" spans="2:13">
      <c r="F32" s="334"/>
      <c r="G32" s="334"/>
      <c r="H32" s="796"/>
      <c r="I32" s="332" t="str">
        <f>+'Data Entry'!C110</f>
        <v>Condoms (Tanadgoma)</v>
      </c>
      <c r="J32" s="497">
        <f>+'Data Entry'!I110</f>
        <v>18.537658757507138</v>
      </c>
      <c r="K32" s="498">
        <f>+'Data Entry'!J110</f>
        <v>3</v>
      </c>
      <c r="L32" s="496">
        <f t="shared" si="0"/>
        <v>15.537658757507138</v>
      </c>
      <c r="M32" s="483"/>
    </row>
    <row r="33" spans="2:13" ht="15.75" hidden="1" thickBot="1">
      <c r="F33" s="334"/>
      <c r="G33" s="334"/>
      <c r="H33" s="797"/>
      <c r="I33" s="333">
        <f>+'Data Entry'!C111</f>
        <v>0</v>
      </c>
      <c r="J33" s="499" t="str">
        <f>+'Data Entry'!I111</f>
        <v/>
      </c>
      <c r="K33" s="500">
        <f>+'Data Entry'!J111</f>
        <v>0</v>
      </c>
      <c r="L33" s="496" t="e">
        <f t="shared" si="0"/>
        <v>#VALUE!</v>
      </c>
      <c r="M33" s="494"/>
    </row>
    <row r="34" spans="2:13" ht="24.75" customHeight="1">
      <c r="B34" s="789" t="str">
        <f>+'Data Entry'!B102</f>
        <v>* Includes only EFR category 4 and 5  (Health products and health equipment &amp; Medicines and Pharmaceuticals)</v>
      </c>
      <c r="C34" s="789"/>
      <c r="D34" s="789"/>
      <c r="E34" s="789"/>
      <c r="F34" s="19"/>
      <c r="G34" s="19"/>
      <c r="H34" s="214"/>
      <c r="I34" s="215"/>
      <c r="J34" s="216"/>
      <c r="K34" s="206"/>
      <c r="L34" s="20"/>
    </row>
    <row r="35" spans="2:13">
      <c r="F35" s="19"/>
      <c r="G35" s="19"/>
      <c r="H35" s="19"/>
      <c r="I35" s="19"/>
      <c r="J35" s="19"/>
      <c r="K35" s="19"/>
      <c r="L35" s="19"/>
    </row>
  </sheetData>
  <mergeCells count="19">
    <mergeCell ref="H30:H33"/>
    <mergeCell ref="J4:K4"/>
    <mergeCell ref="I8:L8"/>
    <mergeCell ref="D5:J5"/>
    <mergeCell ref="I16:L16"/>
    <mergeCell ref="I27:L27"/>
    <mergeCell ref="D10:D11"/>
    <mergeCell ref="C3:D3"/>
    <mergeCell ref="E4:I4"/>
    <mergeCell ref="B2:L2"/>
    <mergeCell ref="C4:D4"/>
    <mergeCell ref="E6:I6"/>
    <mergeCell ref="E3:I3"/>
    <mergeCell ref="J3:K3"/>
    <mergeCell ref="C16:F16"/>
    <mergeCell ref="E10:F10"/>
    <mergeCell ref="C8:F8"/>
    <mergeCell ref="B34:E34"/>
    <mergeCell ref="C27:F27"/>
  </mergeCells>
  <phoneticPr fontId="30" type="noConversion"/>
  <conditionalFormatting sqref="D12:D13">
    <cfRule type="cellIs" dxfId="20" priority="1" stopIfTrue="1" operator="greaterThan">
      <formula>0</formula>
    </cfRule>
  </conditionalFormatting>
  <conditionalFormatting sqref="E12:E13">
    <cfRule type="cellIs" dxfId="19" priority="2" stopIfTrue="1" operator="greaterThan">
      <formula>0</formula>
    </cfRule>
  </conditionalFormatting>
  <conditionalFormatting sqref="F12:G13">
    <cfRule type="cellIs" dxfId="18" priority="3" stopIfTrue="1" operator="greaterThan">
      <formula>0</formula>
    </cfRule>
  </conditionalFormatting>
  <conditionalFormatting sqref="C4:D4">
    <cfRule type="cellIs" dxfId="17" priority="4" stopIfTrue="1" operator="equal">
      <formula>"C"</formula>
    </cfRule>
    <cfRule type="cellIs" dxfId="16" priority="5" stopIfTrue="1" operator="equal">
      <formula>"B2"</formula>
    </cfRule>
    <cfRule type="cellIs" dxfId="15" priority="6" stopIfTrue="1" operator="equal">
      <formula>"B1"</formula>
    </cfRule>
  </conditionalFormatting>
  <conditionalFormatting sqref="L30:L33">
    <cfRule type="cellIs" dxfId="14" priority="13" stopIfTrue="1" operator="lessThan">
      <formula>1</formula>
    </cfRule>
    <cfRule type="cellIs" dxfId="13" priority="14" stopIfTrue="1" operator="between">
      <formula>3</formula>
      <formula>17</formula>
    </cfRule>
    <cfRule type="cellIs" dxfId="12" priority="15"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r:id="rId1"/>
  <headerFooter>
    <oddFooter>&amp;L&amp;F&amp;C&amp;A&amp;RV1.0          &amp;D</oddFooter>
  </headerFooter>
  <colBreaks count="1" manualBreakCount="1">
    <brk id="12"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46"/>
  <sheetViews>
    <sheetView showGridLines="0" workbookViewId="0">
      <selection activeCell="B20" sqref="B20:D20"/>
    </sheetView>
  </sheetViews>
  <sheetFormatPr defaultColWidth="11" defaultRowHeight="15"/>
  <cols>
    <col min="1" max="1" width="0.42578125" customWidth="1"/>
    <col min="2" max="2" width="11.28515625" customWidth="1"/>
    <col min="3" max="3" width="16.140625" customWidth="1"/>
    <col min="4" max="4" width="17.28515625" customWidth="1"/>
    <col min="5" max="5" width="8" customWidth="1"/>
    <col min="6" max="6" width="7.7109375" customWidth="1"/>
    <col min="7" max="7" width="5.7109375" customWidth="1"/>
    <col min="8" max="8" width="6.28515625" customWidth="1"/>
    <col min="9" max="9" width="6" customWidth="1"/>
    <col min="10" max="10" width="4.140625" customWidth="1"/>
    <col min="11" max="11" width="12.42578125" customWidth="1"/>
    <col min="12" max="12" width="8.42578125" customWidth="1"/>
    <col min="13" max="13" width="5" customWidth="1"/>
    <col min="14" max="14" width="6.42578125" customWidth="1"/>
    <col min="15" max="15" width="8.140625" customWidth="1"/>
    <col min="16" max="16" width="10.7109375" customWidth="1"/>
    <col min="17" max="17" width="11.7109375" customWidth="1"/>
    <col min="18" max="18" width="6.42578125" customWidth="1"/>
  </cols>
  <sheetData>
    <row r="1" spans="1:35" ht="26.25" customHeight="1">
      <c r="A1" s="3"/>
      <c r="B1" s="3"/>
      <c r="C1" s="3"/>
      <c r="D1" s="3"/>
      <c r="E1" s="3"/>
      <c r="F1" s="3"/>
      <c r="G1" s="3"/>
      <c r="H1" s="3"/>
      <c r="I1" s="3"/>
      <c r="J1" s="3"/>
      <c r="K1" s="3"/>
      <c r="L1" s="3"/>
      <c r="M1" s="3"/>
      <c r="N1" s="3"/>
      <c r="O1" s="3"/>
      <c r="P1" s="3"/>
    </row>
    <row r="2" spans="1:35" ht="21.75" customHeight="1">
      <c r="A2" s="3"/>
      <c r="B2" s="841" t="str">
        <f>+"Dashboard:  "&amp;"  "&amp;IF(+'Data Entry'!C4="Please Select","",'Data Entry'!C4&amp;" - ")&amp;IF('Data Entry'!G6="Please Select","",'Data Entry'!G6)</f>
        <v>Dashboard:    Georgia - HIV / AIDS</v>
      </c>
      <c r="C2" s="841"/>
      <c r="D2" s="841"/>
      <c r="E2" s="841"/>
      <c r="F2" s="841"/>
      <c r="G2" s="841"/>
      <c r="H2" s="841"/>
      <c r="I2" s="841"/>
      <c r="J2" s="841"/>
      <c r="K2" s="841"/>
      <c r="L2" s="841"/>
      <c r="M2" s="841"/>
      <c r="N2" s="841"/>
      <c r="O2" s="841"/>
      <c r="P2" s="841"/>
      <c r="Q2" s="841"/>
    </row>
    <row r="3" spans="1:35" ht="18.75">
      <c r="A3" s="3"/>
      <c r="B3" s="132" t="str">
        <f>+IF('Data Entry'!G8="Please Select","",'Data Entry'!G8)</f>
        <v>NFM</v>
      </c>
      <c r="C3" s="776" t="str">
        <f>+IF('Data Entry'!I8="Please Select","",'Data Entry'!I8)</f>
        <v>N/A</v>
      </c>
      <c r="D3" s="776"/>
      <c r="E3" s="775"/>
      <c r="F3" s="775"/>
      <c r="G3" s="775"/>
      <c r="H3" s="775"/>
      <c r="I3" s="843"/>
      <c r="J3" s="843"/>
      <c r="K3" s="843"/>
      <c r="L3" s="3"/>
      <c r="M3" s="3"/>
      <c r="O3" s="773" t="str">
        <f>+'Data Entry'!B16</f>
        <v>Report Period:</v>
      </c>
      <c r="P3" s="773"/>
      <c r="Q3" s="198" t="str">
        <f>+'Data Entry'!C16</f>
        <v>P5</v>
      </c>
    </row>
    <row r="4" spans="1:35" ht="12" customHeight="1">
      <c r="A4" s="3"/>
      <c r="B4" s="132" t="str">
        <f>+'Data Entry'!B12</f>
        <v>Latest Rating:</v>
      </c>
      <c r="C4" s="844" t="str">
        <f>+IF('Data Entry'!C12="Please Select","",'Data Entry'!C12)</f>
        <v>A2</v>
      </c>
      <c r="D4" s="844"/>
      <c r="E4" s="775" t="str">
        <f>+'Data Entry'!C8</f>
        <v>NCDC</v>
      </c>
      <c r="F4" s="775"/>
      <c r="G4" s="775"/>
      <c r="H4" s="775"/>
      <c r="I4" s="775"/>
      <c r="J4" s="775"/>
      <c r="K4" s="775"/>
      <c r="L4" s="775"/>
      <c r="M4" s="3"/>
      <c r="O4" s="336"/>
      <c r="P4" s="132" t="str">
        <f>+'Data Entry'!D16</f>
        <v>From:</v>
      </c>
      <c r="Q4" s="337">
        <f>+IF(ISBLANK('Data Entry'!E16),"",'Data Entry'!E16)</f>
        <v>42917</v>
      </c>
      <c r="Y4" s="71"/>
      <c r="Z4" s="71"/>
      <c r="AA4" s="71"/>
      <c r="AB4" s="71"/>
      <c r="AC4" s="71"/>
    </row>
    <row r="5" spans="1:35" ht="15.75" customHeight="1">
      <c r="A5" s="3"/>
      <c r="B5" s="132"/>
      <c r="C5" s="132"/>
      <c r="D5" s="775" t="str">
        <f>+'Data Entry'!G4</f>
        <v xml:space="preserve">Sustaining and Scaling up the Effective HIV/AIDS Prevention, Treatment and Care in Georgia </v>
      </c>
      <c r="E5" s="775"/>
      <c r="F5" s="775"/>
      <c r="G5" s="775"/>
      <c r="H5" s="775"/>
      <c r="I5" s="775"/>
      <c r="J5" s="775"/>
      <c r="K5" s="775"/>
      <c r="L5" s="775"/>
      <c r="M5" s="775"/>
      <c r="N5" s="775"/>
      <c r="P5" s="132" t="str">
        <f>+'Data Entry'!F16</f>
        <v>To:</v>
      </c>
      <c r="Q5" s="337">
        <f>+IF(ISBLANK('Data Entry'!G16),"",'Data Entry'!G16)</f>
        <v>43008</v>
      </c>
      <c r="S5" s="225"/>
      <c r="T5" s="225"/>
      <c r="U5" s="225"/>
      <c r="V5" s="225"/>
      <c r="W5" s="225"/>
      <c r="X5" s="225"/>
      <c r="Y5" s="71"/>
      <c r="Z5" s="71"/>
      <c r="AA5" s="71" t="s">
        <v>42</v>
      </c>
      <c r="AB5" s="71"/>
      <c r="AC5" s="71" t="s">
        <v>264</v>
      </c>
      <c r="AD5" s="225"/>
      <c r="AE5" s="225"/>
      <c r="AF5" s="225"/>
      <c r="AG5" s="225"/>
      <c r="AH5" s="225"/>
      <c r="AI5" s="225"/>
    </row>
    <row r="6" spans="1:35" ht="15.75" customHeight="1">
      <c r="A6" s="3"/>
      <c r="B6" s="132"/>
      <c r="C6" s="132"/>
      <c r="D6" s="223"/>
      <c r="E6" s="223"/>
      <c r="F6" s="842" t="s">
        <v>392</v>
      </c>
      <c r="G6" s="842"/>
      <c r="H6" s="842"/>
      <c r="I6" s="842"/>
      <c r="J6" s="842"/>
      <c r="K6" s="842"/>
      <c r="L6" s="223"/>
      <c r="M6" s="3"/>
      <c r="N6" s="3"/>
      <c r="O6" s="200"/>
      <c r="P6" s="258"/>
      <c r="S6" s="225"/>
      <c r="T6" s="225"/>
      <c r="U6" s="225"/>
      <c r="V6" s="225"/>
      <c r="W6" s="225"/>
      <c r="X6" s="225"/>
      <c r="Y6" s="71"/>
      <c r="Z6" s="71"/>
      <c r="AA6" s="71"/>
      <c r="AB6" s="71"/>
      <c r="AC6" s="71"/>
      <c r="AD6" s="225"/>
      <c r="AE6" s="225"/>
      <c r="AF6" s="225"/>
      <c r="AG6" s="225"/>
      <c r="AH6" s="225"/>
      <c r="AI6" s="225"/>
    </row>
    <row r="7" spans="1:35" ht="3" customHeight="1">
      <c r="A7" s="3"/>
      <c r="B7" s="132"/>
      <c r="C7" s="132"/>
      <c r="D7" s="223"/>
      <c r="E7" s="223"/>
      <c r="F7" s="223"/>
      <c r="G7" s="223"/>
      <c r="H7" s="223"/>
      <c r="I7" s="223"/>
      <c r="J7" s="223"/>
      <c r="K7" s="223"/>
      <c r="L7" s="223"/>
      <c r="M7" s="3"/>
      <c r="N7" s="3"/>
      <c r="O7" s="200"/>
      <c r="P7" s="199"/>
      <c r="Q7" s="199"/>
      <c r="S7" s="225"/>
      <c r="T7" s="225"/>
      <c r="U7" s="225"/>
      <c r="V7" s="225"/>
      <c r="W7" s="225"/>
      <c r="X7" s="225"/>
      <c r="Y7" s="71"/>
      <c r="Z7" s="71"/>
      <c r="AA7" s="71"/>
      <c r="AB7" s="71"/>
      <c r="AC7" s="71"/>
      <c r="AD7" s="225"/>
      <c r="AE7" s="225"/>
      <c r="AF7" s="225"/>
      <c r="AG7" s="225"/>
      <c r="AH7" s="225"/>
      <c r="AI7" s="225"/>
    </row>
    <row r="8" spans="1:35" ht="18.75" customHeight="1">
      <c r="A8" s="3"/>
      <c r="B8" s="804" t="str">
        <f>+'Data Entry'!B118</f>
        <v>Percentage of PWID that have received an HIV test during the reporting period and know their results</v>
      </c>
      <c r="C8" s="804"/>
      <c r="D8" s="804"/>
      <c r="E8" s="804"/>
      <c r="F8" s="804" t="str">
        <f>+'Data Entry'!B120</f>
        <v>Percentage of MSM reached with HIV prevention programs - defined package of services</v>
      </c>
      <c r="G8" s="804"/>
      <c r="H8" s="804"/>
      <c r="I8" s="804"/>
      <c r="J8" s="804"/>
      <c r="K8" s="804"/>
      <c r="L8" s="804" t="str">
        <f>+'Data Entry'!B122</f>
        <v xml:space="preserve">Percentage of people living with HIV currently receiving antiretroviral therapy </v>
      </c>
      <c r="M8" s="804"/>
      <c r="N8" s="804"/>
      <c r="O8" s="804"/>
      <c r="P8" s="804"/>
      <c r="Q8" s="804"/>
      <c r="S8" s="225"/>
      <c r="T8" s="225"/>
      <c r="U8" s="225"/>
      <c r="V8" s="225"/>
      <c r="W8" s="225"/>
      <c r="X8" s="225"/>
      <c r="Y8" s="71"/>
      <c r="Z8" s="71"/>
      <c r="AA8" s="71"/>
      <c r="AB8" s="71"/>
      <c r="AC8" s="71"/>
      <c r="AD8" s="225"/>
      <c r="AE8" s="225"/>
      <c r="AF8" s="225"/>
      <c r="AG8" s="225"/>
      <c r="AH8" s="225"/>
      <c r="AI8" s="225"/>
    </row>
    <row r="9" spans="1:35" ht="24" customHeight="1">
      <c r="A9" s="3"/>
      <c r="B9" s="441" t="s">
        <v>410</v>
      </c>
      <c r="C9" s="801"/>
      <c r="D9" s="805"/>
      <c r="E9" s="806"/>
      <c r="F9" s="441" t="s">
        <v>411</v>
      </c>
      <c r="G9" s="801"/>
      <c r="H9" s="807"/>
      <c r="I9" s="807"/>
      <c r="J9" s="807"/>
      <c r="K9" s="808"/>
      <c r="L9" s="441" t="s">
        <v>412</v>
      </c>
      <c r="M9" s="801"/>
      <c r="N9" s="802"/>
      <c r="O9" s="802"/>
      <c r="P9" s="802"/>
      <c r="Q9" s="803"/>
      <c r="S9" s="225"/>
      <c r="T9" s="225"/>
      <c r="U9" s="225"/>
      <c r="V9" s="225"/>
      <c r="W9" s="225"/>
      <c r="X9" s="225"/>
      <c r="Y9" s="225"/>
      <c r="Z9" s="225"/>
      <c r="AA9" s="225"/>
      <c r="AB9" s="225"/>
      <c r="AC9" s="225"/>
      <c r="AD9" s="225"/>
      <c r="AE9" s="225"/>
      <c r="AF9" s="225"/>
      <c r="AG9" s="225"/>
      <c r="AH9" s="225"/>
      <c r="AI9" s="225"/>
    </row>
    <row r="10" spans="1:35" ht="18.75" customHeight="1">
      <c r="A10" s="3"/>
      <c r="B10" s="132"/>
      <c r="C10" s="132"/>
      <c r="D10" s="223"/>
      <c r="E10" s="223"/>
      <c r="F10" s="223"/>
      <c r="G10" s="223"/>
      <c r="H10" s="223"/>
      <c r="I10" s="223"/>
      <c r="J10" s="223"/>
      <c r="K10" s="223"/>
      <c r="L10" s="223"/>
      <c r="M10" s="3"/>
      <c r="N10" s="3"/>
      <c r="O10" s="200"/>
      <c r="P10" s="199"/>
      <c r="S10" s="225"/>
      <c r="T10" s="225"/>
      <c r="U10" s="225"/>
      <c r="V10" s="225"/>
      <c r="W10" s="225"/>
      <c r="X10" s="225"/>
      <c r="Y10" s="225"/>
      <c r="Z10" s="225"/>
      <c r="AA10" s="225"/>
      <c r="AB10" s="225"/>
      <c r="AC10" s="225"/>
      <c r="AD10" s="225"/>
      <c r="AE10" s="225"/>
      <c r="AF10" s="225"/>
      <c r="AG10" s="225"/>
      <c r="AH10" s="225"/>
      <c r="AI10" s="225"/>
    </row>
    <row r="11" spans="1:35" ht="18.75" customHeight="1">
      <c r="A11" s="3"/>
      <c r="B11" s="132"/>
      <c r="C11" s="132"/>
      <c r="D11" s="223"/>
      <c r="E11" s="223"/>
      <c r="F11" s="223"/>
      <c r="G11" s="223"/>
      <c r="H11" s="223"/>
      <c r="I11" s="223"/>
      <c r="J11" s="223"/>
      <c r="K11" s="223"/>
      <c r="L11" s="223"/>
      <c r="M11" s="3"/>
      <c r="N11" s="3"/>
      <c r="O11" s="200"/>
      <c r="P11" s="199"/>
      <c r="S11" s="225"/>
      <c r="T11" s="225"/>
      <c r="U11" s="225"/>
      <c r="V11" s="225"/>
      <c r="W11" s="225"/>
      <c r="X11" s="225"/>
      <c r="Y11" s="225"/>
      <c r="Z11" s="225"/>
      <c r="AA11" s="225"/>
      <c r="AB11" s="225"/>
      <c r="AC11" s="225"/>
      <c r="AD11" s="225"/>
      <c r="AE11" s="225"/>
      <c r="AF11" s="225"/>
      <c r="AG11" s="225"/>
      <c r="AH11" s="225"/>
      <c r="AI11" s="225"/>
    </row>
    <row r="12" spans="1:35" ht="18.75" customHeight="1">
      <c r="A12" s="3"/>
      <c r="B12" s="132"/>
      <c r="C12" s="132"/>
      <c r="D12" s="223"/>
      <c r="E12" s="223"/>
      <c r="F12" s="223"/>
      <c r="G12" s="223"/>
      <c r="H12" s="223"/>
      <c r="I12" s="223"/>
      <c r="J12" s="223"/>
      <c r="K12" s="223"/>
      <c r="L12" s="223"/>
      <c r="M12" s="3"/>
      <c r="N12" s="3"/>
      <c r="O12" s="200"/>
      <c r="P12" s="199"/>
      <c r="S12" s="225"/>
      <c r="T12" s="225"/>
      <c r="U12" s="225"/>
      <c r="V12" s="225"/>
      <c r="W12" s="225"/>
      <c r="X12" s="225"/>
      <c r="Y12" s="225"/>
      <c r="Z12" s="225"/>
      <c r="AA12" s="225"/>
      <c r="AB12" s="225"/>
      <c r="AC12" s="225"/>
      <c r="AD12" s="225"/>
      <c r="AE12" s="225"/>
      <c r="AF12" s="225"/>
      <c r="AG12" s="225"/>
      <c r="AH12" s="225"/>
      <c r="AI12" s="225"/>
    </row>
    <row r="13" spans="1:35" ht="18.75" customHeight="1">
      <c r="A13" s="3"/>
      <c r="B13" s="132"/>
      <c r="C13" s="132"/>
      <c r="D13" s="223"/>
      <c r="E13" s="223"/>
      <c r="F13" s="223"/>
      <c r="G13" s="223"/>
      <c r="H13" s="223"/>
      <c r="I13" s="223"/>
      <c r="J13" s="223"/>
      <c r="K13" s="223"/>
      <c r="L13" s="223"/>
      <c r="M13" s="3"/>
      <c r="N13" s="3"/>
      <c r="O13" s="200"/>
      <c r="P13" s="199"/>
      <c r="S13" s="225"/>
      <c r="T13" s="225"/>
      <c r="U13" s="225"/>
      <c r="V13" s="225"/>
      <c r="W13" s="225"/>
      <c r="X13" s="225"/>
      <c r="Y13" s="225"/>
      <c r="Z13" s="225"/>
      <c r="AA13" s="225"/>
      <c r="AB13" s="225"/>
      <c r="AC13" s="225"/>
      <c r="AD13" s="225"/>
      <c r="AE13" s="225"/>
      <c r="AF13" s="225"/>
      <c r="AG13" s="225"/>
      <c r="AH13" s="225"/>
      <c r="AI13" s="225"/>
    </row>
    <row r="14" spans="1:35" ht="18.75" customHeight="1">
      <c r="A14" s="3"/>
      <c r="B14" s="132"/>
      <c r="C14" s="132"/>
      <c r="D14" s="223"/>
      <c r="E14" s="223"/>
      <c r="F14" s="223"/>
      <c r="G14" s="223"/>
      <c r="H14" s="223"/>
      <c r="I14" s="223"/>
      <c r="J14" s="223"/>
      <c r="K14" s="223"/>
      <c r="L14" s="223"/>
      <c r="M14" s="3"/>
      <c r="N14" s="3"/>
      <c r="O14" s="200"/>
      <c r="P14" s="199"/>
      <c r="S14" s="225"/>
      <c r="T14" s="225"/>
      <c r="U14" s="225"/>
      <c r="V14" s="225"/>
      <c r="W14" s="225"/>
      <c r="X14" s="225"/>
      <c r="Y14" s="225"/>
      <c r="Z14" s="225"/>
      <c r="AA14" s="225"/>
      <c r="AB14" s="225"/>
      <c r="AC14" s="225"/>
      <c r="AD14" s="225"/>
      <c r="AE14" s="225"/>
      <c r="AF14" s="225"/>
      <c r="AG14" s="225"/>
      <c r="AH14" s="225"/>
      <c r="AI14" s="225"/>
    </row>
    <row r="15" spans="1:35" ht="18.75" customHeight="1">
      <c r="A15" s="3"/>
      <c r="B15" s="132"/>
      <c r="C15" s="132"/>
      <c r="D15" s="223"/>
      <c r="E15" s="223"/>
      <c r="F15" s="223"/>
      <c r="G15" s="223"/>
      <c r="H15" s="223"/>
      <c r="I15" s="223"/>
      <c r="J15" s="223"/>
      <c r="K15" s="223"/>
      <c r="L15" s="223"/>
      <c r="M15" s="3"/>
      <c r="N15" s="3"/>
      <c r="O15" s="200"/>
      <c r="P15" s="199"/>
      <c r="S15" s="225"/>
      <c r="T15" s="225"/>
      <c r="U15" s="225"/>
      <c r="V15" s="225"/>
      <c r="W15" s="225"/>
      <c r="X15" s="225"/>
      <c r="Y15" s="225"/>
      <c r="Z15" s="225"/>
      <c r="AA15" s="225"/>
      <c r="AB15" s="225"/>
      <c r="AC15" s="225"/>
      <c r="AD15" s="225"/>
      <c r="AE15" s="225"/>
      <c r="AF15" s="225"/>
      <c r="AG15" s="225"/>
      <c r="AH15" s="225"/>
      <c r="AI15" s="225"/>
    </row>
    <row r="16" spans="1:35" ht="18.75" customHeight="1">
      <c r="A16" s="3"/>
      <c r="B16" s="132"/>
      <c r="C16" s="132"/>
      <c r="D16" s="223"/>
      <c r="E16" s="223"/>
      <c r="F16" s="223"/>
      <c r="G16" s="223"/>
      <c r="H16" s="223"/>
      <c r="I16" s="223"/>
      <c r="J16" s="223"/>
      <c r="K16" s="223"/>
      <c r="L16" s="223"/>
      <c r="M16" s="3"/>
      <c r="N16" s="3"/>
      <c r="O16" s="200"/>
      <c r="P16" s="199"/>
      <c r="S16" s="225"/>
      <c r="T16" s="225"/>
      <c r="U16" s="225"/>
      <c r="V16" s="225"/>
      <c r="W16" s="225"/>
      <c r="X16" s="225"/>
      <c r="Y16" s="225"/>
      <c r="Z16" s="225"/>
      <c r="AA16" s="225"/>
      <c r="AB16" s="225"/>
      <c r="AC16" s="225"/>
      <c r="AD16" s="225"/>
      <c r="AE16" s="225"/>
      <c r="AF16" s="225"/>
      <c r="AG16" s="225"/>
      <c r="AH16" s="225"/>
      <c r="AI16" s="225"/>
    </row>
    <row r="17" spans="1:35" ht="17.25" customHeight="1">
      <c r="A17" s="3"/>
      <c r="B17" s="132"/>
      <c r="C17" s="132"/>
      <c r="D17" s="223"/>
      <c r="E17" s="223"/>
      <c r="F17" s="223"/>
      <c r="G17" s="223"/>
      <c r="H17" s="223"/>
      <c r="I17" s="223"/>
      <c r="J17" s="223"/>
      <c r="K17" s="223"/>
      <c r="L17" s="223"/>
      <c r="M17" s="3"/>
      <c r="N17" s="3"/>
      <c r="O17" s="200"/>
      <c r="P17" s="199"/>
      <c r="S17" s="225"/>
      <c r="T17" s="225"/>
      <c r="U17" s="225"/>
      <c r="V17" s="225"/>
      <c r="W17" s="225"/>
      <c r="X17" s="225"/>
      <c r="Y17" s="225"/>
      <c r="Z17" s="225"/>
      <c r="AA17" s="225"/>
      <c r="AB17" s="225"/>
      <c r="AC17" s="225"/>
      <c r="AD17" s="225"/>
      <c r="AE17" s="225"/>
      <c r="AF17" s="225"/>
      <c r="AG17" s="225"/>
      <c r="AH17" s="225"/>
      <c r="AI17" s="225"/>
    </row>
    <row r="18" spans="1:35" ht="6" customHeight="1">
      <c r="A18" s="3"/>
      <c r="B18" s="136"/>
      <c r="C18" s="132"/>
      <c r="D18" s="133"/>
      <c r="E18" s="814"/>
      <c r="F18" s="814"/>
      <c r="G18" s="814"/>
      <c r="H18" s="814"/>
      <c r="I18" s="814"/>
      <c r="J18" s="814"/>
      <c r="K18" s="814"/>
      <c r="L18" s="3"/>
      <c r="M18" s="3"/>
      <c r="N18" s="3"/>
      <c r="O18" s="3"/>
      <c r="P18" s="3"/>
      <c r="S18" s="225"/>
      <c r="T18" s="225"/>
      <c r="U18" s="225"/>
      <c r="V18" s="225"/>
      <c r="W18" s="225"/>
      <c r="X18" s="225"/>
      <c r="Y18" s="225"/>
      <c r="Z18" s="225"/>
      <c r="AA18" s="225"/>
      <c r="AB18" s="225"/>
      <c r="AC18" s="225"/>
      <c r="AD18" s="225"/>
      <c r="AE18" s="225"/>
      <c r="AF18" s="225"/>
      <c r="AG18" s="225"/>
      <c r="AH18" s="225"/>
      <c r="AI18" s="225"/>
    </row>
    <row r="19" spans="1:35" ht="24" customHeight="1">
      <c r="A19" s="3"/>
      <c r="B19" s="815" t="s">
        <v>88</v>
      </c>
      <c r="C19" s="815"/>
      <c r="D19" s="815"/>
      <c r="E19" s="143" t="s">
        <v>85</v>
      </c>
      <c r="F19" s="143" t="s">
        <v>89</v>
      </c>
      <c r="G19" s="810" t="s">
        <v>332</v>
      </c>
      <c r="H19" s="811"/>
      <c r="I19" s="812" t="s">
        <v>333</v>
      </c>
      <c r="J19" s="813"/>
      <c r="K19" s="335" t="s">
        <v>334</v>
      </c>
      <c r="L19" s="816" t="s">
        <v>92</v>
      </c>
      <c r="M19" s="817"/>
      <c r="N19" s="817"/>
      <c r="O19" s="817"/>
      <c r="P19" s="817"/>
      <c r="Q19" s="818"/>
      <c r="S19" s="65" t="s">
        <v>90</v>
      </c>
      <c r="T19" s="66">
        <v>0</v>
      </c>
      <c r="U19" s="67">
        <v>0.3</v>
      </c>
      <c r="V19" s="67">
        <v>0.6</v>
      </c>
      <c r="W19" s="67">
        <v>0.9</v>
      </c>
      <c r="X19" s="67">
        <v>1</v>
      </c>
      <c r="Y19" s="71"/>
      <c r="Z19" s="71"/>
      <c r="AA19" s="65" t="s">
        <v>90</v>
      </c>
      <c r="AB19" s="66">
        <v>0</v>
      </c>
      <c r="AC19" s="67">
        <v>0.2</v>
      </c>
      <c r="AD19" s="67">
        <v>0.4</v>
      </c>
      <c r="AE19" s="67">
        <v>0.6</v>
      </c>
      <c r="AF19" s="67">
        <v>0.8</v>
      </c>
      <c r="AG19" s="71"/>
      <c r="AH19" s="71"/>
      <c r="AI19" s="71"/>
    </row>
    <row r="20" spans="1:35" ht="76.5" customHeight="1">
      <c r="A20" s="3"/>
      <c r="B20" s="809" t="str">
        <f>+'Data Entry'!B118</f>
        <v>Percentage of PWID that have received an HIV test during the reporting period and know their results</v>
      </c>
      <c r="C20" s="809"/>
      <c r="D20" s="809"/>
      <c r="E20" s="466">
        <f ca="1">OFFSET('Data Entry'!$G$117,1,RIGHT('Data Entry'!$C$16,LEN('Data Entry'!$C$16)-1),1,1)</f>
        <v>20874</v>
      </c>
      <c r="F20" s="466">
        <f ca="1">OFFSET('Data Entry'!$G$117,2,RIGHT('Data Entry'!$C$16,LEN('Data Entry'!$C$16)-1),1,1)</f>
        <v>18626</v>
      </c>
      <c r="G20" s="832">
        <f t="shared" ref="G20:G27" ca="1" si="0">+IF(ISERROR(F20/E20),0,F20/E20)</f>
        <v>0.89230621826195267</v>
      </c>
      <c r="H20" s="833"/>
      <c r="I20" s="833"/>
      <c r="J20" s="833"/>
      <c r="K20" s="834"/>
      <c r="L20" s="821" t="s">
        <v>470</v>
      </c>
      <c r="M20" s="822"/>
      <c r="N20" s="822"/>
      <c r="O20" s="822"/>
      <c r="P20" s="822"/>
      <c r="Q20" s="823"/>
      <c r="S20" s="65" t="s">
        <v>91</v>
      </c>
      <c r="T20" s="68">
        <v>0.3</v>
      </c>
      <c r="U20" s="67">
        <v>0.6</v>
      </c>
      <c r="V20" s="67">
        <v>0.9</v>
      </c>
      <c r="W20" s="67">
        <v>1</v>
      </c>
      <c r="X20" s="67">
        <v>2</v>
      </c>
      <c r="Y20" s="71"/>
      <c r="Z20" s="71"/>
      <c r="AA20" s="65" t="s">
        <v>91</v>
      </c>
      <c r="AB20" s="68">
        <v>0.2</v>
      </c>
      <c r="AC20" s="67">
        <v>0.4</v>
      </c>
      <c r="AD20" s="67">
        <v>0.6</v>
      </c>
      <c r="AE20" s="67">
        <v>0.8</v>
      </c>
      <c r="AF20" s="67">
        <v>1</v>
      </c>
      <c r="AG20" s="71"/>
      <c r="AH20" s="71"/>
      <c r="AI20" s="71"/>
    </row>
    <row r="21" spans="1:35" ht="92.25" customHeight="1">
      <c r="A21" s="3"/>
      <c r="B21" s="809" t="str">
        <f>+'Data Entry'!B120</f>
        <v>Percentage of MSM reached with HIV prevention programs - defined package of services</v>
      </c>
      <c r="C21" s="809"/>
      <c r="D21" s="809"/>
      <c r="E21" s="466">
        <f ca="1">OFFSET('Data Entry'!$G$117,3,RIGHT('Data Entry'!$C$16,LEN('Data Entry'!$C$16)-1),1,1)</f>
        <v>4462.5</v>
      </c>
      <c r="F21" s="466">
        <f ca="1">OFFSET('Data Entry'!$G$117,4,RIGHT('Data Entry'!$C$16,LEN('Data Entry'!$C$16)-1),1,1)</f>
        <v>3126</v>
      </c>
      <c r="G21" s="832">
        <f t="shared" ca="1" si="0"/>
        <v>0.70050420168067229</v>
      </c>
      <c r="H21" s="833"/>
      <c r="I21" s="833"/>
      <c r="J21" s="833"/>
      <c r="K21" s="834"/>
      <c r="L21" s="821" t="s">
        <v>467</v>
      </c>
      <c r="M21" s="822"/>
      <c r="N21" s="822"/>
      <c r="O21" s="822"/>
      <c r="P21" s="822"/>
      <c r="Q21" s="823"/>
      <c r="S21" s="69"/>
      <c r="T21" s="70" t="str">
        <f>"de "&amp;T19&amp;" a "&amp;T20</f>
        <v>de 0 a 0.3</v>
      </c>
      <c r="U21" s="70" t="str">
        <f>"de "&amp;U19&amp;" a "&amp;U20</f>
        <v>de 0.3 a 0.6</v>
      </c>
      <c r="V21" s="70" t="str">
        <f>"de "&amp;V19&amp;" a "&amp;V20</f>
        <v>de 0.6 a 0.9</v>
      </c>
      <c r="W21" s="70"/>
      <c r="X21" s="70"/>
      <c r="Y21" s="71"/>
      <c r="Z21" s="71"/>
      <c r="AA21" s="69"/>
      <c r="AB21" s="70"/>
      <c r="AC21" s="70"/>
      <c r="AD21" s="70" t="str">
        <f>"de "&amp;AD19&amp;" a "&amp;AD20</f>
        <v>de 0.4 a 0.6</v>
      </c>
      <c r="AE21" s="70" t="str">
        <f>"de "&amp;AE19&amp;" a "&amp;AE20</f>
        <v>de 0.6 a 0.8</v>
      </c>
      <c r="AF21" s="70" t="str">
        <f>"de "&amp;AF19&amp;" a "&amp;AF20</f>
        <v>de 0.8 a 1</v>
      </c>
      <c r="AG21" s="71"/>
      <c r="AH21" s="71"/>
      <c r="AI21" s="71"/>
    </row>
    <row r="22" spans="1:35" ht="60.75" customHeight="1">
      <c r="A22" s="3"/>
      <c r="B22" s="809" t="str">
        <f>+'Data Entry'!B122</f>
        <v xml:space="preserve">Percentage of people living with HIV currently receiving antiretroviral therapy </v>
      </c>
      <c r="C22" s="809"/>
      <c r="D22" s="809"/>
      <c r="E22" s="466">
        <f ca="1">OFFSET('Data Entry'!$G$117,5,RIGHT('Data Entry'!$C$16,LEN('Data Entry'!$C$16)-1),1,1)</f>
        <v>4550</v>
      </c>
      <c r="F22" s="466">
        <f ca="1">OFFSET('Data Entry'!$G$117,6,RIGHT('Data Entry'!$C$16,LEN('Data Entry'!$C$16)-1),1,1)</f>
        <v>4100</v>
      </c>
      <c r="G22" s="832">
        <f t="shared" ca="1" si="0"/>
        <v>0.90109890109890112</v>
      </c>
      <c r="H22" s="833"/>
      <c r="I22" s="833"/>
      <c r="J22" s="833"/>
      <c r="K22" s="834"/>
      <c r="L22" s="821" t="s">
        <v>465</v>
      </c>
      <c r="M22" s="822"/>
      <c r="N22" s="822"/>
      <c r="O22" s="822"/>
      <c r="P22" s="822"/>
      <c r="Q22" s="823"/>
      <c r="S22" s="69"/>
      <c r="T22" s="67" t="e">
        <f t="shared" ref="T22:W33" si="1">IF($K20&gt;T$19,IF($K20&lt;=T$20,$K20,NA()),NA())</f>
        <v>#N/A</v>
      </c>
      <c r="U22" s="67" t="e">
        <f t="shared" si="1"/>
        <v>#N/A</v>
      </c>
      <c r="V22" s="67" t="e">
        <f t="shared" si="1"/>
        <v>#N/A</v>
      </c>
      <c r="W22" s="67"/>
      <c r="X22" s="67"/>
      <c r="Y22" s="71"/>
      <c r="Z22" s="196"/>
      <c r="AA22" s="67"/>
      <c r="AB22" s="67"/>
      <c r="AC22" s="67"/>
      <c r="AD22" s="67" t="e">
        <f t="shared" ref="AD22:AF24" si="2">IF($AA22&gt;AD$19,IF($AA22&lt;=AD$20,$AA22,NA()),NA())</f>
        <v>#N/A</v>
      </c>
      <c r="AE22" s="67" t="e">
        <f t="shared" si="2"/>
        <v>#N/A</v>
      </c>
      <c r="AF22" s="67" t="e">
        <f t="shared" si="2"/>
        <v>#N/A</v>
      </c>
      <c r="AG22" s="71"/>
      <c r="AH22" s="71"/>
      <c r="AI22" s="71"/>
    </row>
    <row r="23" spans="1:35" ht="72.75" customHeight="1">
      <c r="A23" s="3"/>
      <c r="B23" s="829" t="str">
        <f>+'Data Entry'!B124</f>
        <v>Percentage of PWID reached with HIV prevention programs - defined package of services</v>
      </c>
      <c r="C23" s="830"/>
      <c r="D23" s="831"/>
      <c r="E23" s="466">
        <f ca="1">OFFSET('Data Entry'!$G$117,7,RIGHT('Data Entry'!$C$16,LEN('Data Entry'!$C$16)-1),1,1)</f>
        <v>23110.5</v>
      </c>
      <c r="F23" s="466">
        <f ca="1">OFFSET('Data Entry'!$G$117,8,RIGHT('Data Entry'!$C$16,LEN('Data Entry'!$C$16)-1),1,1)</f>
        <v>23118</v>
      </c>
      <c r="G23" s="832">
        <f t="shared" ca="1" si="0"/>
        <v>1.0003245278120334</v>
      </c>
      <c r="H23" s="833"/>
      <c r="I23" s="833"/>
      <c r="J23" s="833"/>
      <c r="K23" s="834"/>
      <c r="L23" s="825" t="str">
        <f>L20</f>
        <v>Data provided represents a ratio of individuals reached through January-September compared to the 3/4 annual target as per approved performance framework. P6 will be reported on cummulative basis as well and will provide more precise/complete info on the target reach ratio.</v>
      </c>
      <c r="M23" s="826"/>
      <c r="N23" s="826"/>
      <c r="O23" s="826"/>
      <c r="P23" s="826"/>
      <c r="Q23" s="827"/>
      <c r="S23" s="69"/>
      <c r="T23" s="67" t="e">
        <f t="shared" si="1"/>
        <v>#N/A</v>
      </c>
      <c r="U23" s="67" t="e">
        <f t="shared" si="1"/>
        <v>#N/A</v>
      </c>
      <c r="V23" s="67" t="e">
        <f t="shared" si="1"/>
        <v>#N/A</v>
      </c>
      <c r="W23" s="67"/>
      <c r="X23" s="67"/>
      <c r="Y23" s="71"/>
      <c r="Z23" s="196"/>
      <c r="AA23" s="67"/>
      <c r="AB23" s="67"/>
      <c r="AC23" s="67"/>
      <c r="AD23" s="67" t="e">
        <f t="shared" si="2"/>
        <v>#N/A</v>
      </c>
      <c r="AE23" s="67" t="e">
        <f t="shared" si="2"/>
        <v>#N/A</v>
      </c>
      <c r="AF23" s="67" t="e">
        <f t="shared" si="2"/>
        <v>#N/A</v>
      </c>
      <c r="AG23" s="71"/>
      <c r="AH23" s="71"/>
      <c r="AI23" s="71"/>
    </row>
    <row r="24" spans="1:35" ht="81.75" customHeight="1">
      <c r="A24" s="3"/>
      <c r="B24" s="809" t="str">
        <f>+'Data Entry'!B126</f>
        <v>Percentage of MSM that have received an HIV test during the reporting period and know their results</v>
      </c>
      <c r="C24" s="809"/>
      <c r="D24" s="809"/>
      <c r="E24" s="466">
        <f ca="1">OFFSET('Data Entry'!$G$117,9,RIGHT('Data Entry'!$C$16,LEN('Data Entry'!$C$16)-1),1,1)</f>
        <v>3187.5</v>
      </c>
      <c r="F24" s="466">
        <f ca="1">OFFSET('Data Entry'!$G$117,10,RIGHT('Data Entry'!$C$16,LEN('Data Entry'!$C$16)-1),1,1)</f>
        <v>2968</v>
      </c>
      <c r="G24" s="835">
        <f t="shared" ca="1" si="0"/>
        <v>0.93113725490196075</v>
      </c>
      <c r="H24" s="836"/>
      <c r="I24" s="836"/>
      <c r="J24" s="836"/>
      <c r="K24" s="837"/>
      <c r="L24" s="821" t="s">
        <v>466</v>
      </c>
      <c r="M24" s="822"/>
      <c r="N24" s="822"/>
      <c r="O24" s="822"/>
      <c r="P24" s="822"/>
      <c r="Q24" s="823"/>
      <c r="S24" s="69"/>
      <c r="T24" s="67" t="e">
        <f t="shared" si="1"/>
        <v>#N/A</v>
      </c>
      <c r="U24" s="67" t="e">
        <f t="shared" si="1"/>
        <v>#N/A</v>
      </c>
      <c r="V24" s="67" t="e">
        <f t="shared" si="1"/>
        <v>#N/A</v>
      </c>
      <c r="W24" s="67"/>
      <c r="X24" s="67"/>
      <c r="Y24" s="71"/>
      <c r="Z24" s="196"/>
      <c r="AA24" s="67"/>
      <c r="AB24" s="67"/>
      <c r="AC24" s="67"/>
      <c r="AD24" s="67" t="e">
        <f t="shared" si="2"/>
        <v>#N/A</v>
      </c>
      <c r="AE24" s="67" t="e">
        <f t="shared" si="2"/>
        <v>#N/A</v>
      </c>
      <c r="AF24" s="67" t="e">
        <f t="shared" si="2"/>
        <v>#N/A</v>
      </c>
      <c r="AG24" s="71"/>
      <c r="AH24" s="71"/>
      <c r="AI24" s="71"/>
    </row>
    <row r="25" spans="1:35" ht="51" customHeight="1">
      <c r="A25" s="3"/>
      <c r="B25" s="809" t="str">
        <f>+'Data Entry'!B128</f>
        <v>Percentage of sex workers reached with HIV prevention programs - defined package of services</v>
      </c>
      <c r="C25" s="809"/>
      <c r="D25" s="809"/>
      <c r="E25" s="466">
        <f ca="1">OFFSET('Data Entry'!$G$117,11,RIGHT('Data Entry'!$C$16,LEN('Data Entry'!$C$16)-1),1,1)</f>
        <v>2447.25</v>
      </c>
      <c r="F25" s="466">
        <f ca="1">OFFSET('Data Entry'!$G$117,12,RIGHT('Data Entry'!$C$16,LEN('Data Entry'!$C$16)-1),1,1)</f>
        <v>2885</v>
      </c>
      <c r="G25" s="832">
        <f t="shared" ca="1" si="0"/>
        <v>1.1788742466033302</v>
      </c>
      <c r="H25" s="833"/>
      <c r="I25" s="833"/>
      <c r="J25" s="833"/>
      <c r="K25" s="834"/>
      <c r="L25" s="821" t="s">
        <v>456</v>
      </c>
      <c r="M25" s="822"/>
      <c r="N25" s="822"/>
      <c r="O25" s="822"/>
      <c r="P25" s="822"/>
      <c r="Q25" s="823"/>
      <c r="S25" s="69"/>
      <c r="T25" s="67" t="e">
        <f t="shared" si="1"/>
        <v>#N/A</v>
      </c>
      <c r="U25" s="67" t="e">
        <f t="shared" si="1"/>
        <v>#N/A</v>
      </c>
      <c r="V25" s="67" t="e">
        <f t="shared" si="1"/>
        <v>#N/A</v>
      </c>
      <c r="W25" s="67"/>
      <c r="X25" s="67"/>
      <c r="Y25" s="71"/>
      <c r="Z25" s="71"/>
      <c r="AA25" s="71"/>
      <c r="AB25" s="71"/>
      <c r="AC25" s="71"/>
      <c r="AD25" s="71"/>
      <c r="AE25" s="71"/>
      <c r="AF25" s="71"/>
      <c r="AG25" s="71"/>
      <c r="AH25" s="71"/>
      <c r="AI25" s="71"/>
    </row>
    <row r="26" spans="1:35" ht="58.5" customHeight="1">
      <c r="A26" s="3"/>
      <c r="B26" s="809" t="str">
        <f>+'Data Entry'!B130</f>
        <v>Percentage of sex workers that have received an HIV test during the reporting period and know their results</v>
      </c>
      <c r="C26" s="809"/>
      <c r="D26" s="809"/>
      <c r="E26" s="466">
        <f ca="1">OFFSET('Data Entry'!$G$117,13,RIGHT('Data Entry'!$C$16,LEN('Data Entry'!$C$16)-1),1,1)</f>
        <v>1957.5</v>
      </c>
      <c r="F26" s="466">
        <f ca="1">OFFSET('Data Entry'!$G$117,14,RIGHT('Data Entry'!$C$16,LEN('Data Entry'!$C$16)-1),1,1)</f>
        <v>1735</v>
      </c>
      <c r="G26" s="832">
        <f t="shared" ca="1" si="0"/>
        <v>0.88633461047254147</v>
      </c>
      <c r="H26" s="833"/>
      <c r="I26" s="833"/>
      <c r="J26" s="833"/>
      <c r="K26" s="834"/>
      <c r="L26" s="821" t="s">
        <v>456</v>
      </c>
      <c r="M26" s="822"/>
      <c r="N26" s="822"/>
      <c r="O26" s="822"/>
      <c r="P26" s="822"/>
      <c r="Q26" s="823"/>
      <c r="S26" s="69"/>
      <c r="T26" s="67" t="e">
        <f t="shared" si="1"/>
        <v>#N/A</v>
      </c>
      <c r="U26" s="67" t="e">
        <f t="shared" si="1"/>
        <v>#N/A</v>
      </c>
      <c r="V26" s="67" t="e">
        <f t="shared" si="1"/>
        <v>#N/A</v>
      </c>
      <c r="W26" s="67" t="e">
        <f t="shared" si="1"/>
        <v>#N/A</v>
      </c>
      <c r="X26" s="67" t="e">
        <f t="shared" ref="X26:X33" si="3">IF($K24&gt;X$19,IF($K24&lt;=X$20,1,NA()),NA())</f>
        <v>#N/A</v>
      </c>
      <c r="Y26" s="71"/>
      <c r="Z26" s="71"/>
      <c r="AA26" s="71"/>
      <c r="AB26" s="71"/>
      <c r="AC26" s="71"/>
      <c r="AD26" s="71"/>
      <c r="AE26" s="71"/>
      <c r="AF26" s="71"/>
      <c r="AG26" s="71"/>
      <c r="AH26" s="71"/>
      <c r="AI26" s="71"/>
    </row>
    <row r="27" spans="1:35" ht="61.5" customHeight="1">
      <c r="A27" s="3"/>
      <c r="B27" s="809" t="str">
        <f>+'Data Entry'!B132</f>
        <v>Percentage of other vulnerable populations (prisoners) that have received an HIV test during the reporting period and know their results</v>
      </c>
      <c r="C27" s="809"/>
      <c r="D27" s="809"/>
      <c r="E27" s="466">
        <f ca="1">OFFSET('Data Entry'!$G$117,15,RIGHT('Data Entry'!$C$16,LEN('Data Entry'!$C$16)-1),1,1)</f>
        <v>4500</v>
      </c>
      <c r="F27" s="466">
        <f ca="1">OFFSET('Data Entry'!$G$117,16,RIGHT('Data Entry'!$C$16,LEN('Data Entry'!$C$16)-1),1,1)</f>
        <v>4226</v>
      </c>
      <c r="G27" s="832">
        <f t="shared" ca="1" si="0"/>
        <v>0.93911111111111112</v>
      </c>
      <c r="H27" s="833"/>
      <c r="I27" s="833"/>
      <c r="J27" s="833"/>
      <c r="K27" s="834"/>
      <c r="L27" s="821" t="s">
        <v>446</v>
      </c>
      <c r="M27" s="822"/>
      <c r="N27" s="822"/>
      <c r="O27" s="822"/>
      <c r="P27" s="822"/>
      <c r="Q27" s="823"/>
      <c r="S27" s="69"/>
      <c r="T27" s="67" t="e">
        <f t="shared" si="1"/>
        <v>#N/A</v>
      </c>
      <c r="U27" s="67" t="e">
        <f t="shared" si="1"/>
        <v>#N/A</v>
      </c>
      <c r="V27" s="67" t="e">
        <f t="shared" si="1"/>
        <v>#N/A</v>
      </c>
      <c r="W27" s="67" t="e">
        <f t="shared" si="1"/>
        <v>#N/A</v>
      </c>
      <c r="X27" s="67" t="e">
        <f t="shared" si="3"/>
        <v>#N/A</v>
      </c>
      <c r="Y27" s="71"/>
      <c r="Z27" s="71"/>
      <c r="AA27" s="71"/>
      <c r="AB27" s="71"/>
      <c r="AC27" s="71"/>
      <c r="AD27" s="71"/>
      <c r="AE27" s="71"/>
      <c r="AF27" s="71"/>
      <c r="AG27" s="71"/>
      <c r="AH27" s="71"/>
      <c r="AI27" s="71"/>
    </row>
    <row r="28" spans="1:35" ht="84.75" hidden="1" customHeight="1">
      <c r="A28" s="507"/>
      <c r="B28" s="840" t="s">
        <v>462</v>
      </c>
      <c r="C28" s="840"/>
      <c r="D28" s="840"/>
      <c r="E28" s="493"/>
      <c r="F28" s="493"/>
      <c r="G28" s="800" t="e">
        <f>F28/E28</f>
        <v>#DIV/0!</v>
      </c>
      <c r="H28" s="800"/>
      <c r="I28" s="800"/>
      <c r="J28" s="800"/>
      <c r="K28" s="800"/>
      <c r="L28" s="824"/>
      <c r="M28" s="824"/>
      <c r="N28" s="824"/>
      <c r="O28" s="824"/>
      <c r="P28" s="824"/>
      <c r="Q28" s="824"/>
      <c r="S28" s="69"/>
      <c r="T28" s="67" t="e">
        <f t="shared" si="1"/>
        <v>#N/A</v>
      </c>
      <c r="U28" s="67" t="e">
        <f t="shared" si="1"/>
        <v>#N/A</v>
      </c>
      <c r="V28" s="67" t="e">
        <f t="shared" si="1"/>
        <v>#N/A</v>
      </c>
      <c r="W28" s="67" t="e">
        <f t="shared" si="1"/>
        <v>#N/A</v>
      </c>
      <c r="X28" s="67" t="e">
        <f t="shared" si="3"/>
        <v>#N/A</v>
      </c>
      <c r="Y28" s="71"/>
      <c r="Z28" s="71"/>
      <c r="AA28" s="71"/>
      <c r="AB28" s="71"/>
      <c r="AC28" s="71"/>
      <c r="AD28" s="71"/>
      <c r="AE28" s="71"/>
      <c r="AF28" s="71"/>
      <c r="AG28" s="71"/>
      <c r="AH28" s="71"/>
      <c r="AI28" s="71"/>
    </row>
    <row r="29" spans="1:35" ht="49.5" customHeight="1">
      <c r="A29" s="3"/>
      <c r="S29" s="69"/>
      <c r="T29" s="67" t="e">
        <f t="shared" si="1"/>
        <v>#N/A</v>
      </c>
      <c r="U29" s="67" t="e">
        <f t="shared" si="1"/>
        <v>#N/A</v>
      </c>
      <c r="V29" s="67" t="e">
        <f t="shared" si="1"/>
        <v>#N/A</v>
      </c>
      <c r="W29" s="67" t="e">
        <f t="shared" si="1"/>
        <v>#N/A</v>
      </c>
      <c r="X29" s="67" t="e">
        <f t="shared" si="3"/>
        <v>#N/A</v>
      </c>
      <c r="Y29" s="71"/>
      <c r="Z29" s="71"/>
      <c r="AA29" s="71"/>
      <c r="AB29" s="71"/>
      <c r="AC29" s="71"/>
      <c r="AD29" s="71"/>
      <c r="AE29" s="71"/>
      <c r="AF29" s="71"/>
      <c r="AG29" s="71"/>
      <c r="AH29" s="71"/>
      <c r="AI29" s="71"/>
    </row>
    <row r="30" spans="1:35" ht="22.5" customHeight="1">
      <c r="A30" s="3"/>
      <c r="S30" s="69"/>
      <c r="T30" s="67" t="e">
        <f t="shared" si="1"/>
        <v>#N/A</v>
      </c>
      <c r="U30" s="67" t="e">
        <f t="shared" si="1"/>
        <v>#N/A</v>
      </c>
      <c r="V30" s="67" t="e">
        <f t="shared" si="1"/>
        <v>#N/A</v>
      </c>
      <c r="W30" s="67" t="e">
        <f t="shared" si="1"/>
        <v>#N/A</v>
      </c>
      <c r="X30" s="67" t="e">
        <f t="shared" si="3"/>
        <v>#N/A</v>
      </c>
      <c r="Y30" s="71"/>
      <c r="Z30" s="71"/>
      <c r="AA30" s="71"/>
      <c r="AB30" s="71"/>
      <c r="AC30" s="71"/>
      <c r="AD30" s="71"/>
      <c r="AE30" s="71"/>
      <c r="AF30" s="71"/>
      <c r="AG30" s="71"/>
      <c r="AH30" s="71"/>
      <c r="AI30" s="71"/>
    </row>
    <row r="31" spans="1:35" ht="22.5" customHeight="1">
      <c r="A31" s="3"/>
      <c r="B31" s="838"/>
      <c r="C31" s="838"/>
      <c r="D31" s="838"/>
      <c r="E31" s="839"/>
      <c r="F31" s="819"/>
      <c r="G31" s="820"/>
      <c r="H31" s="820"/>
      <c r="I31" s="820"/>
      <c r="J31" s="820"/>
      <c r="K31" s="839"/>
      <c r="L31" s="819"/>
      <c r="M31" s="820"/>
      <c r="N31" s="820"/>
      <c r="O31" s="820"/>
      <c r="P31" s="820"/>
      <c r="S31" s="69"/>
      <c r="T31" s="67" t="e">
        <f t="shared" si="1"/>
        <v>#N/A</v>
      </c>
      <c r="U31" s="67" t="e">
        <f t="shared" si="1"/>
        <v>#N/A</v>
      </c>
      <c r="V31" s="67" t="e">
        <f t="shared" si="1"/>
        <v>#N/A</v>
      </c>
      <c r="W31" s="67" t="e">
        <f t="shared" si="1"/>
        <v>#N/A</v>
      </c>
      <c r="X31" s="67" t="e">
        <f t="shared" si="3"/>
        <v>#N/A</v>
      </c>
      <c r="Y31" s="71"/>
      <c r="Z31" s="71"/>
      <c r="AA31" s="71"/>
      <c r="AB31" s="71"/>
      <c r="AC31" s="71"/>
      <c r="AD31" s="71"/>
      <c r="AE31" s="71"/>
      <c r="AF31" s="71"/>
      <c r="AG31" s="71"/>
      <c r="AH31" s="71"/>
      <c r="AI31" s="71"/>
    </row>
    <row r="32" spans="1:35">
      <c r="A32" s="3"/>
      <c r="B32" s="226"/>
      <c r="C32" s="226"/>
      <c r="D32" s="226"/>
      <c r="E32" s="226"/>
      <c r="F32" s="226"/>
      <c r="G32" s="226"/>
      <c r="H32" s="227"/>
      <c r="I32" s="226"/>
      <c r="J32" s="226"/>
      <c r="K32" s="226"/>
      <c r="L32" s="226"/>
      <c r="M32" s="226"/>
      <c r="N32" s="226"/>
      <c r="O32" s="226"/>
      <c r="P32" s="226"/>
      <c r="S32" s="69"/>
      <c r="T32" s="67" t="e">
        <f t="shared" si="1"/>
        <v>#N/A</v>
      </c>
      <c r="U32" s="67" t="e">
        <f t="shared" si="1"/>
        <v>#N/A</v>
      </c>
      <c r="V32" s="67" t="e">
        <f t="shared" si="1"/>
        <v>#N/A</v>
      </c>
      <c r="W32" s="67" t="e">
        <f t="shared" si="1"/>
        <v>#N/A</v>
      </c>
      <c r="X32" s="67" t="e">
        <f t="shared" si="3"/>
        <v>#N/A</v>
      </c>
      <c r="Y32" s="71"/>
      <c r="Z32" s="71"/>
      <c r="AA32" s="71"/>
      <c r="AB32" s="71"/>
      <c r="AC32" s="71"/>
      <c r="AD32" s="71"/>
      <c r="AE32" s="71"/>
      <c r="AF32" s="71"/>
      <c r="AG32" s="71"/>
      <c r="AH32" s="71"/>
      <c r="AI32" s="71"/>
    </row>
    <row r="33" spans="1:35">
      <c r="A33" s="3"/>
      <c r="B33" s="828"/>
      <c r="C33" s="828"/>
      <c r="D33" s="828"/>
      <c r="E33" s="828"/>
      <c r="F33" s="828"/>
      <c r="G33" s="828"/>
      <c r="H33" s="828"/>
      <c r="I33" s="828"/>
      <c r="J33" s="828"/>
      <c r="K33" s="828"/>
      <c r="L33" s="226"/>
      <c r="M33" s="226"/>
      <c r="N33" s="226"/>
      <c r="O33" s="226"/>
      <c r="P33" s="226"/>
      <c r="S33" s="69"/>
      <c r="T33" s="67" t="e">
        <f t="shared" si="1"/>
        <v>#N/A</v>
      </c>
      <c r="U33" s="67" t="e">
        <f t="shared" si="1"/>
        <v>#N/A</v>
      </c>
      <c r="V33" s="67" t="e">
        <f t="shared" si="1"/>
        <v>#N/A</v>
      </c>
      <c r="W33" s="67" t="e">
        <f t="shared" si="1"/>
        <v>#N/A</v>
      </c>
      <c r="X33" s="67" t="e">
        <f t="shared" si="3"/>
        <v>#N/A</v>
      </c>
      <c r="Y33" s="71"/>
      <c r="Z33" s="71"/>
      <c r="AA33" s="71"/>
      <c r="AB33" s="71"/>
      <c r="AC33" s="71"/>
      <c r="AD33" s="71"/>
      <c r="AE33" s="71"/>
      <c r="AF33" s="71"/>
      <c r="AG33" s="71"/>
      <c r="AH33" s="71"/>
      <c r="AI33" s="71"/>
    </row>
    <row r="34" spans="1:35">
      <c r="A34" s="3"/>
      <c r="B34" s="828"/>
      <c r="C34" s="828"/>
      <c r="D34" s="828"/>
      <c r="E34" s="828"/>
      <c r="F34" s="828"/>
      <c r="G34" s="828"/>
      <c r="H34" s="828"/>
      <c r="I34" s="828"/>
      <c r="J34" s="828"/>
      <c r="K34" s="828"/>
      <c r="L34" s="226"/>
      <c r="M34" s="226"/>
      <c r="N34" s="226"/>
      <c r="O34" s="226"/>
      <c r="P34" s="226"/>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100"/>
      <c r="J35" s="100"/>
      <c r="K35" s="100"/>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4"/>
      <c r="J36" s="145"/>
      <c r="K36" s="145"/>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146"/>
      <c r="J37" s="147"/>
      <c r="K37" s="102"/>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148"/>
      <c r="J38" s="147"/>
      <c r="K38" s="102"/>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146"/>
      <c r="J39" s="147"/>
      <c r="K39" s="102"/>
      <c r="L39" s="3"/>
      <c r="M39" s="3"/>
      <c r="N39" s="3"/>
      <c r="O39" s="3"/>
      <c r="P39" s="3"/>
      <c r="S39" s="71"/>
      <c r="T39" s="71"/>
      <c r="U39" s="71"/>
      <c r="V39" s="71"/>
      <c r="W39" s="71"/>
      <c r="X39" s="71"/>
      <c r="Y39" s="71"/>
      <c r="Z39" s="71"/>
      <c r="AA39" s="71"/>
      <c r="AB39" s="71"/>
      <c r="AC39" s="71"/>
      <c r="AD39" s="71"/>
      <c r="AE39" s="71"/>
      <c r="AF39" s="71"/>
      <c r="AG39" s="71"/>
      <c r="AH39" s="71"/>
      <c r="AI39" s="71"/>
    </row>
    <row r="40" spans="1:35">
      <c r="A40" s="3"/>
      <c r="B40" s="3"/>
      <c r="C40" s="3"/>
      <c r="D40" s="3"/>
      <c r="E40" s="3"/>
      <c r="F40" s="3"/>
      <c r="G40" s="3"/>
      <c r="H40" s="3"/>
      <c r="I40" s="3"/>
      <c r="J40" s="3"/>
      <c r="K40" s="3"/>
      <c r="L40" s="3"/>
      <c r="M40" s="3"/>
      <c r="N40" s="3"/>
      <c r="O40" s="3"/>
      <c r="P40" s="3"/>
      <c r="S40" s="71"/>
      <c r="T40" s="71"/>
      <c r="U40" s="71"/>
      <c r="V40" s="71"/>
      <c r="W40" s="71"/>
      <c r="X40" s="71"/>
      <c r="Y40" s="71"/>
      <c r="Z40" s="71"/>
      <c r="AA40" s="71"/>
      <c r="AB40" s="71"/>
      <c r="AC40" s="71"/>
      <c r="AD40" s="71"/>
      <c r="AE40" s="71"/>
      <c r="AF40" s="71"/>
      <c r="AG40" s="71"/>
      <c r="AH40" s="71"/>
      <c r="AI40" s="71"/>
    </row>
    <row r="41" spans="1:35">
      <c r="A41" s="3"/>
      <c r="B41" s="3"/>
      <c r="C41" s="3"/>
      <c r="D41" s="3"/>
      <c r="E41" s="3"/>
      <c r="F41" s="3"/>
      <c r="G41" s="3"/>
      <c r="H41" s="3"/>
      <c r="I41" s="3"/>
      <c r="J41" s="3"/>
      <c r="K41" s="3"/>
      <c r="L41" s="3"/>
      <c r="M41" s="3"/>
      <c r="N41" s="3"/>
      <c r="O41" s="3"/>
      <c r="P41" s="3"/>
      <c r="S41" s="71"/>
      <c r="T41" s="71"/>
      <c r="U41" s="71"/>
      <c r="V41" s="71"/>
      <c r="W41" s="71"/>
      <c r="X41" s="71"/>
      <c r="Y41" s="71"/>
      <c r="Z41" s="71"/>
      <c r="AA41" s="71"/>
      <c r="AB41" s="71"/>
      <c r="AC41" s="71"/>
      <c r="AD41" s="71"/>
      <c r="AE41" s="71"/>
      <c r="AF41" s="71"/>
      <c r="AG41" s="71"/>
      <c r="AH41" s="71"/>
      <c r="AI41" s="71"/>
    </row>
    <row r="42" spans="1:35">
      <c r="A42" s="3"/>
      <c r="B42" s="3"/>
      <c r="C42" s="3"/>
      <c r="D42" s="3"/>
      <c r="E42" s="3"/>
      <c r="F42" s="3"/>
      <c r="G42" s="3"/>
      <c r="H42" s="3"/>
      <c r="I42" s="3"/>
      <c r="J42" s="3"/>
      <c r="K42" s="3"/>
      <c r="L42" s="3"/>
      <c r="M42" s="3"/>
      <c r="N42" s="3"/>
      <c r="O42" s="3"/>
      <c r="P42" s="3"/>
      <c r="S42" s="64"/>
      <c r="T42" s="64"/>
      <c r="U42" s="64"/>
      <c r="V42" s="64"/>
      <c r="W42" s="64"/>
      <c r="X42" s="64"/>
      <c r="Y42" s="64"/>
      <c r="Z42" s="64"/>
      <c r="AA42" s="64"/>
      <c r="AB42" s="64"/>
    </row>
    <row r="43" spans="1:35">
      <c r="S43" s="64"/>
      <c r="T43" s="64"/>
      <c r="U43" s="64"/>
      <c r="V43" s="64"/>
      <c r="W43" s="64"/>
      <c r="X43" s="64"/>
      <c r="Y43" s="64"/>
      <c r="Z43" s="64"/>
      <c r="AA43" s="64"/>
      <c r="AB43" s="64"/>
    </row>
    <row r="44" spans="1:35">
      <c r="S44" s="64"/>
      <c r="T44" s="64"/>
      <c r="U44" s="64"/>
      <c r="V44" s="64"/>
      <c r="W44" s="64"/>
      <c r="X44" s="64"/>
      <c r="Y44" s="64"/>
      <c r="Z44" s="64"/>
      <c r="AA44" s="64"/>
      <c r="AB44" s="64"/>
    </row>
    <row r="45" spans="1:35">
      <c r="S45" s="64"/>
      <c r="T45" s="64"/>
      <c r="U45" s="64"/>
      <c r="V45" s="64"/>
      <c r="W45" s="64"/>
      <c r="X45" s="64"/>
      <c r="Y45" s="64"/>
      <c r="Z45" s="64"/>
      <c r="AA45" s="64"/>
      <c r="AB45" s="64"/>
    </row>
    <row r="46" spans="1:35">
      <c r="S46" s="64"/>
      <c r="T46" s="64"/>
      <c r="U46" s="64"/>
      <c r="V46" s="64"/>
      <c r="W46" s="64"/>
      <c r="X46" s="64"/>
      <c r="Y46" s="64"/>
      <c r="Z46" s="64"/>
      <c r="AA46" s="64"/>
      <c r="AB46" s="64"/>
    </row>
  </sheetData>
  <mergeCells count="52">
    <mergeCell ref="G20:K20"/>
    <mergeCell ref="G21:K21"/>
    <mergeCell ref="G22:K22"/>
    <mergeCell ref="B2:Q2"/>
    <mergeCell ref="O3:P3"/>
    <mergeCell ref="D5:N5"/>
    <mergeCell ref="L8:Q8"/>
    <mergeCell ref="F6:K6"/>
    <mergeCell ref="E3:K3"/>
    <mergeCell ref="C4:D4"/>
    <mergeCell ref="B33:D34"/>
    <mergeCell ref="E33:G34"/>
    <mergeCell ref="H33:K34"/>
    <mergeCell ref="B23:D23"/>
    <mergeCell ref="B24:D24"/>
    <mergeCell ref="B25:D25"/>
    <mergeCell ref="B26:D26"/>
    <mergeCell ref="G23:K23"/>
    <mergeCell ref="G24:K24"/>
    <mergeCell ref="G25:K25"/>
    <mergeCell ref="B31:E31"/>
    <mergeCell ref="F31:K31"/>
    <mergeCell ref="B27:D27"/>
    <mergeCell ref="B28:D28"/>
    <mergeCell ref="G26:K26"/>
    <mergeCell ref="G27:K27"/>
    <mergeCell ref="L31:P31"/>
    <mergeCell ref="L20:Q20"/>
    <mergeCell ref="L21:Q21"/>
    <mergeCell ref="L22:Q22"/>
    <mergeCell ref="L28:Q28"/>
    <mergeCell ref="L23:Q23"/>
    <mergeCell ref="L24:Q24"/>
    <mergeCell ref="L25:Q25"/>
    <mergeCell ref="L26:Q26"/>
    <mergeCell ref="L27:Q27"/>
    <mergeCell ref="G28:K28"/>
    <mergeCell ref="M9:Q9"/>
    <mergeCell ref="C3:D3"/>
    <mergeCell ref="E4:L4"/>
    <mergeCell ref="B8:E8"/>
    <mergeCell ref="F8:K8"/>
    <mergeCell ref="C9:E9"/>
    <mergeCell ref="G9:K9"/>
    <mergeCell ref="B22:D22"/>
    <mergeCell ref="G19:H19"/>
    <mergeCell ref="I19:J19"/>
    <mergeCell ref="E18:K18"/>
    <mergeCell ref="B19:D19"/>
    <mergeCell ref="B20:D20"/>
    <mergeCell ref="B21:D21"/>
    <mergeCell ref="L19:Q19"/>
  </mergeCells>
  <phoneticPr fontId="30" type="noConversion"/>
  <conditionalFormatting sqref="C4:D4">
    <cfRule type="cellIs" dxfId="11" priority="50" stopIfTrue="1" operator="equal">
      <formula>"C"</formula>
    </cfRule>
    <cfRule type="cellIs" dxfId="10" priority="51" stopIfTrue="1" operator="equal">
      <formula>"B2"</formula>
    </cfRule>
    <cfRule type="cellIs" dxfId="9" priority="52" stopIfTrue="1" operator="equal">
      <formula>"B1"</formula>
    </cfRule>
  </conditionalFormatting>
  <conditionalFormatting sqref="G20:G28">
    <cfRule type="cellIs" dxfId="8" priority="56" stopIfTrue="1" operator="between">
      <formula>0</formula>
      <formula>0.599</formula>
    </cfRule>
    <cfRule type="cellIs" dxfId="7" priority="57" stopIfTrue="1" operator="between">
      <formula>0.6</formula>
      <formula>0.899</formula>
    </cfRule>
    <cfRule type="cellIs" dxfId="6" priority="58"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r:id="rId1"/>
  <headerFooter>
    <oddFooter>&amp;L&amp;F&amp;C&amp;A&amp;RV1.0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2"/>
  <sheetViews>
    <sheetView showGridLines="0" topLeftCell="B27" zoomScale="130" zoomScaleNormal="130" zoomScalePageLayoutView="130" workbookViewId="0">
      <selection activeCell="D40" sqref="D40:G40"/>
    </sheetView>
  </sheetViews>
  <sheetFormatPr defaultColWidth="11.42578125" defaultRowHeight="11.25"/>
  <cols>
    <col min="1" max="1" width="1.140625" style="31" customWidth="1"/>
    <col min="2" max="2" width="19.28515625" style="31" customWidth="1"/>
    <col min="3" max="3" width="1.140625" style="31" customWidth="1"/>
    <col min="4" max="4" width="17.140625" style="31" customWidth="1"/>
    <col min="5" max="5" width="17.42578125" style="31" customWidth="1"/>
    <col min="6" max="6" width="9.7109375" style="31" customWidth="1"/>
    <col min="7" max="7" width="13" style="31" customWidth="1"/>
    <col min="8" max="8" width="4.28515625" style="31" customWidth="1"/>
    <col min="9" max="9" width="15.85546875" style="31" customWidth="1"/>
    <col min="10" max="10" width="3.42578125" style="31" customWidth="1"/>
    <col min="11" max="11" width="7.42578125" style="32" customWidth="1"/>
    <col min="12" max="12" width="14.28515625" style="31" customWidth="1"/>
    <col min="13" max="13" width="12" style="31" customWidth="1"/>
    <col min="14" max="14" width="5.42578125" style="31" customWidth="1"/>
    <col min="15" max="15" width="2.42578125" style="31" customWidth="1"/>
    <col min="16" max="16384" width="11.42578125" style="31"/>
  </cols>
  <sheetData>
    <row r="1" spans="1:15" ht="38.25" customHeight="1">
      <c r="A1" s="150"/>
      <c r="B1" s="150"/>
      <c r="C1" s="150"/>
      <c r="D1" s="150"/>
      <c r="E1" s="150"/>
      <c r="F1" s="150"/>
      <c r="G1" s="150"/>
      <c r="H1" s="150"/>
      <c r="I1" s="150"/>
      <c r="J1" s="150"/>
      <c r="K1" s="151"/>
      <c r="L1" s="150"/>
      <c r="M1" s="150"/>
      <c r="N1" s="150"/>
    </row>
    <row r="2" spans="1:15" customFormat="1" ht="27.75" customHeight="1">
      <c r="A2" s="3"/>
      <c r="B2" s="841" t="str">
        <f>+"Dashboard:  "&amp;"  "&amp;IF(+'Data Entry'!C4="Please Select","",'Data Entry'!C4&amp;" - ")&amp;IF('Data Entry'!G6="Please Select","",'Data Entry'!G6)</f>
        <v>Dashboard:    Georgia - HIV / AIDS</v>
      </c>
      <c r="C2" s="841"/>
      <c r="D2" s="841"/>
      <c r="E2" s="841"/>
      <c r="F2" s="841"/>
      <c r="G2" s="841"/>
      <c r="H2" s="841"/>
      <c r="I2" s="841"/>
      <c r="J2" s="841"/>
      <c r="K2" s="841"/>
      <c r="L2" s="841"/>
      <c r="M2" s="841"/>
      <c r="N2" s="841"/>
      <c r="O2" s="73"/>
    </row>
    <row r="3" spans="1:15" customFormat="1" ht="18.75">
      <c r="A3" s="3"/>
      <c r="B3" s="132" t="str">
        <f>+IF('Data Entry'!G8="Please Select","",'Data Entry'!G8)</f>
        <v>NFM</v>
      </c>
      <c r="C3" s="776" t="str">
        <f>+IF('Data Entry'!I8="Please Select","",'Data Entry'!I8)</f>
        <v>N/A</v>
      </c>
      <c r="D3" s="776"/>
      <c r="E3" s="843"/>
      <c r="F3" s="843"/>
      <c r="G3" s="843"/>
      <c r="H3" s="843"/>
      <c r="I3" s="843"/>
      <c r="J3" s="843"/>
      <c r="K3" s="843"/>
      <c r="L3" s="132" t="str">
        <f>+'Data Entry'!B16</f>
        <v>Report Period:</v>
      </c>
      <c r="M3" s="198" t="str">
        <f>+'Data Entry'!C16</f>
        <v>P5</v>
      </c>
      <c r="N3" s="198"/>
      <c r="O3" s="31"/>
    </row>
    <row r="4" spans="1:15" customFormat="1" ht="15">
      <c r="A4" s="3"/>
      <c r="B4" s="132" t="str">
        <f>+'Data Entry'!B12</f>
        <v>Latest Rating:</v>
      </c>
      <c r="C4" s="844" t="str">
        <f>+IF('Data Entry'!C12="Please Select","",'Data Entry'!C12)</f>
        <v>A2</v>
      </c>
      <c r="D4" s="844"/>
      <c r="E4" s="775" t="str">
        <f>+'Data Entry'!C8</f>
        <v>NCDC</v>
      </c>
      <c r="F4" s="775"/>
      <c r="G4" s="775"/>
      <c r="H4" s="775"/>
      <c r="I4" s="775"/>
      <c r="J4" s="775"/>
      <c r="K4" s="775"/>
      <c r="L4" s="132" t="str">
        <f>+'Data Entry'!D16</f>
        <v>From:</v>
      </c>
      <c r="M4" s="199">
        <f>+IF(ISBLANK('Data Entry'!E16),"",'Data Entry'!E16)</f>
        <v>42917</v>
      </c>
      <c r="N4" s="199"/>
      <c r="O4" s="31"/>
    </row>
    <row r="5" spans="1:15" customFormat="1" ht="18.75" customHeight="1">
      <c r="A5" s="3"/>
      <c r="B5" s="132"/>
      <c r="C5" s="132"/>
      <c r="D5" s="133"/>
      <c r="E5" s="775" t="str">
        <f>+'Data Entry'!G4</f>
        <v xml:space="preserve">Sustaining and Scaling up the Effective HIV/AIDS Prevention, Treatment and Care in Georgia </v>
      </c>
      <c r="F5" s="775"/>
      <c r="G5" s="775"/>
      <c r="H5" s="775"/>
      <c r="I5" s="775"/>
      <c r="J5" s="775"/>
      <c r="K5" s="775"/>
      <c r="L5" s="132" t="str">
        <f>+'Data Entry'!F16</f>
        <v>To:</v>
      </c>
      <c r="M5" s="199">
        <f>+IF(ISBLANK('Data Entry'!G16),"",'Data Entry'!G16)</f>
        <v>43008</v>
      </c>
      <c r="N5" s="199"/>
    </row>
    <row r="6" spans="1:15" customFormat="1" ht="22.5" customHeight="1">
      <c r="A6" s="3"/>
      <c r="B6" s="137"/>
      <c r="C6" s="138"/>
      <c r="D6" s="139"/>
      <c r="E6" s="880" t="s">
        <v>315</v>
      </c>
      <c r="F6" s="880"/>
      <c r="G6" s="880"/>
      <c r="H6" s="880"/>
      <c r="I6" s="880"/>
      <c r="J6" s="880"/>
      <c r="K6" s="880"/>
      <c r="L6" s="2"/>
      <c r="M6" s="2"/>
      <c r="N6" s="2"/>
    </row>
    <row r="7" spans="1:15" s="33" customFormat="1" ht="4.5" customHeight="1">
      <c r="A7" s="152"/>
      <c r="B7" s="153"/>
      <c r="C7" s="153"/>
      <c r="D7" s="153"/>
      <c r="E7" s="153"/>
      <c r="F7" s="153"/>
      <c r="G7" s="153"/>
      <c r="H7" s="153"/>
      <c r="I7" s="153"/>
      <c r="J7" s="153"/>
      <c r="K7" s="153"/>
      <c r="L7" s="154"/>
      <c r="M7" s="154"/>
      <c r="N7" s="155"/>
    </row>
    <row r="8" spans="1:15" s="33" customFormat="1" ht="21" customHeight="1" thickBot="1">
      <c r="A8" s="152"/>
      <c r="B8" s="876" t="s">
        <v>98</v>
      </c>
      <c r="C8" s="876"/>
      <c r="D8" s="876"/>
      <c r="E8" s="876"/>
      <c r="F8" s="876"/>
      <c r="G8" s="876"/>
      <c r="H8" s="876"/>
      <c r="I8" s="876"/>
      <c r="J8" s="876"/>
      <c r="K8" s="876"/>
      <c r="L8" s="876"/>
      <c r="M8" s="876"/>
      <c r="N8" s="876"/>
    </row>
    <row r="9" spans="1:15" s="33" customFormat="1" ht="3.75" customHeight="1" thickBot="1">
      <c r="A9" s="152"/>
      <c r="B9" s="153"/>
      <c r="C9" s="153"/>
      <c r="D9" s="153"/>
      <c r="E9" s="153"/>
      <c r="F9" s="153"/>
      <c r="G9" s="153"/>
      <c r="H9" s="153"/>
      <c r="I9" s="153"/>
      <c r="J9" s="153"/>
      <c r="K9" s="153"/>
      <c r="L9" s="154"/>
      <c r="M9" s="154"/>
      <c r="N9" s="155"/>
    </row>
    <row r="10" spans="1:15" s="34" customFormat="1" ht="25.5" customHeight="1" thickBot="1">
      <c r="A10" s="156"/>
      <c r="B10" s="848" t="s">
        <v>93</v>
      </c>
      <c r="C10" s="899"/>
      <c r="D10" s="890" t="s">
        <v>97</v>
      </c>
      <c r="E10" s="891"/>
      <c r="F10" s="891"/>
      <c r="G10" s="892"/>
      <c r="H10" s="159"/>
      <c r="I10" s="890" t="s">
        <v>315</v>
      </c>
      <c r="J10" s="891"/>
      <c r="K10" s="891"/>
      <c r="L10" s="891"/>
      <c r="M10" s="891"/>
      <c r="N10" s="892"/>
    </row>
    <row r="11" spans="1:15" s="34" customFormat="1" ht="28.5" customHeight="1">
      <c r="A11" s="156"/>
      <c r="B11" s="412" t="s">
        <v>101</v>
      </c>
      <c r="C11" s="176"/>
      <c r="D11" s="865" t="str">
        <f>IF(ISBLANK(Finance!C9),"",(Finance!C9))</f>
        <v/>
      </c>
      <c r="E11" s="865"/>
      <c r="F11" s="865"/>
      <c r="G11" s="866"/>
      <c r="H11" s="182"/>
      <c r="I11" s="881"/>
      <c r="J11" s="882"/>
      <c r="K11" s="882"/>
      <c r="L11" s="882"/>
      <c r="M11" s="882"/>
      <c r="N11" s="883"/>
    </row>
    <row r="12" spans="1:15" s="34" customFormat="1" ht="27.75" customHeight="1">
      <c r="A12" s="156"/>
      <c r="B12" s="413" t="s">
        <v>102</v>
      </c>
      <c r="C12" s="177"/>
      <c r="D12" s="865" t="str">
        <f>IF(ISBLANK(Finance!C23),"",(Finance!C23))</f>
        <v/>
      </c>
      <c r="E12" s="865"/>
      <c r="F12" s="865"/>
      <c r="G12" s="866"/>
      <c r="H12" s="182"/>
      <c r="I12" s="877"/>
      <c r="J12" s="878"/>
      <c r="K12" s="878"/>
      <c r="L12" s="878"/>
      <c r="M12" s="878"/>
      <c r="N12" s="879"/>
    </row>
    <row r="13" spans="1:15" s="34" customFormat="1" ht="26.25" customHeight="1">
      <c r="A13" s="156"/>
      <c r="B13" s="413" t="s">
        <v>103</v>
      </c>
      <c r="C13" s="177"/>
      <c r="D13" s="865" t="str">
        <f>IF(ISBLANK(Finance!I9),"",(Finance!I9))</f>
        <v/>
      </c>
      <c r="E13" s="865"/>
      <c r="F13" s="865"/>
      <c r="G13" s="866"/>
      <c r="H13" s="182"/>
      <c r="I13" s="877"/>
      <c r="J13" s="878"/>
      <c r="K13" s="878"/>
      <c r="L13" s="878"/>
      <c r="M13" s="878"/>
      <c r="N13" s="879"/>
    </row>
    <row r="14" spans="1:15" s="34" customFormat="1" ht="28.5" customHeight="1" thickBot="1">
      <c r="A14" s="156"/>
      <c r="B14" s="414" t="s">
        <v>104</v>
      </c>
      <c r="C14" s="178"/>
      <c r="D14" s="903" t="str">
        <f>IF(ISBLANK(Finance!I23),"",(Finance!I23))</f>
        <v/>
      </c>
      <c r="E14" s="903"/>
      <c r="F14" s="903"/>
      <c r="G14" s="904"/>
      <c r="H14" s="182"/>
      <c r="I14" s="900"/>
      <c r="J14" s="901"/>
      <c r="K14" s="901"/>
      <c r="L14" s="901"/>
      <c r="M14" s="901"/>
      <c r="N14" s="902"/>
    </row>
    <row r="15" spans="1:15" s="34" customFormat="1" ht="4.5" customHeight="1">
      <c r="A15" s="156"/>
      <c r="B15" s="179"/>
      <c r="C15" s="180"/>
      <c r="D15" s="181"/>
      <c r="E15" s="181"/>
      <c r="F15" s="181"/>
      <c r="G15" s="181"/>
      <c r="H15" s="182"/>
      <c r="I15" s="183"/>
      <c r="J15" s="183"/>
      <c r="K15" s="183"/>
      <c r="L15" s="183"/>
      <c r="M15" s="183"/>
      <c r="N15" s="183"/>
      <c r="O15" s="75"/>
    </row>
    <row r="16" spans="1:15" s="33" customFormat="1" ht="21" customHeight="1" thickBot="1">
      <c r="A16" s="152"/>
      <c r="B16" s="876" t="s">
        <v>100</v>
      </c>
      <c r="C16" s="876"/>
      <c r="D16" s="876"/>
      <c r="E16" s="876"/>
      <c r="F16" s="876"/>
      <c r="G16" s="876"/>
      <c r="H16" s="876"/>
      <c r="I16" s="876"/>
      <c r="J16" s="876"/>
      <c r="K16" s="876"/>
      <c r="L16" s="876"/>
      <c r="M16" s="876"/>
      <c r="N16" s="876"/>
    </row>
    <row r="17" spans="1:15" s="34" customFormat="1" ht="3.75" customHeight="1" thickBot="1">
      <c r="A17" s="156"/>
      <c r="B17" s="165"/>
      <c r="C17" s="166"/>
      <c r="D17" s="167"/>
      <c r="E17" s="168"/>
      <c r="F17" s="169"/>
      <c r="G17" s="169"/>
      <c r="H17" s="170"/>
      <c r="I17" s="171"/>
      <c r="J17" s="172"/>
      <c r="K17" s="161"/>
      <c r="L17" s="162"/>
      <c r="M17" s="163"/>
      <c r="N17" s="164"/>
    </row>
    <row r="18" spans="1:15" s="34" customFormat="1" ht="22.5" customHeight="1" thickBot="1">
      <c r="A18" s="156"/>
      <c r="B18" s="899" t="s">
        <v>94</v>
      </c>
      <c r="C18" s="849"/>
      <c r="D18" s="887" t="s">
        <v>97</v>
      </c>
      <c r="E18" s="888"/>
      <c r="F18" s="888"/>
      <c r="G18" s="889"/>
      <c r="H18" s="159"/>
      <c r="I18" s="884" t="s">
        <v>315</v>
      </c>
      <c r="J18" s="885"/>
      <c r="K18" s="885"/>
      <c r="L18" s="885"/>
      <c r="M18" s="886"/>
      <c r="N18" s="886"/>
    </row>
    <row r="19" spans="1:15" s="34" customFormat="1" ht="21.75" customHeight="1">
      <c r="A19" s="156"/>
      <c r="B19" s="415" t="s">
        <v>109</v>
      </c>
      <c r="C19" s="184"/>
      <c r="D19" s="867" t="str">
        <f>IF(ISBLANK(Management!C8),"",(Management!C8))</f>
        <v/>
      </c>
      <c r="E19" s="867"/>
      <c r="F19" s="867"/>
      <c r="G19" s="868"/>
      <c r="H19" s="185"/>
      <c r="I19" s="893"/>
      <c r="J19" s="894"/>
      <c r="K19" s="894"/>
      <c r="L19" s="894"/>
      <c r="M19" s="894"/>
      <c r="N19" s="895"/>
    </row>
    <row r="20" spans="1:15" ht="24.75" customHeight="1">
      <c r="A20" s="150"/>
      <c r="B20" s="416" t="s">
        <v>110</v>
      </c>
      <c r="C20" s="186"/>
      <c r="D20" s="865" t="str">
        <f>IF(ISBLANK(Management!I8),"",(Management!I8))</f>
        <v/>
      </c>
      <c r="E20" s="865" t="e">
        <f>+'Data Entry'!D73/'Data Entry'!G73</f>
        <v>#DIV/0!</v>
      </c>
      <c r="F20" s="865" t="e">
        <f>+('Data Entry'!E73+'Data Entry'!F73)/'Data Entry'!G73</f>
        <v>#DIV/0!</v>
      </c>
      <c r="G20" s="869"/>
      <c r="H20" s="185"/>
      <c r="I20" s="850"/>
      <c r="J20" s="851"/>
      <c r="K20" s="851"/>
      <c r="L20" s="851"/>
      <c r="M20" s="851"/>
      <c r="N20" s="852"/>
      <c r="O20" s="35"/>
    </row>
    <row r="21" spans="1:15" ht="29.25" customHeight="1">
      <c r="A21" s="150"/>
      <c r="B21" s="417" t="s">
        <v>111</v>
      </c>
      <c r="C21" s="186"/>
      <c r="D21" s="865" t="str">
        <f>IF(ISBLANK(Management!C16),"",(Management!C16))</f>
        <v/>
      </c>
      <c r="E21" s="865"/>
      <c r="F21" s="865"/>
      <c r="G21" s="869"/>
      <c r="H21" s="185"/>
      <c r="I21" s="850"/>
      <c r="J21" s="851"/>
      <c r="K21" s="851"/>
      <c r="L21" s="851"/>
      <c r="M21" s="851"/>
      <c r="N21" s="852"/>
      <c r="O21" s="35"/>
    </row>
    <row r="22" spans="1:15" ht="26.25" customHeight="1">
      <c r="A22" s="150"/>
      <c r="B22" s="417" t="s">
        <v>112</v>
      </c>
      <c r="C22" s="186"/>
      <c r="D22" s="865" t="str">
        <f>IF(ISBLANK(Management!I16),"",(Management!I16))</f>
        <v/>
      </c>
      <c r="E22" s="865"/>
      <c r="F22" s="865"/>
      <c r="G22" s="869"/>
      <c r="H22" s="185"/>
      <c r="I22" s="850"/>
      <c r="J22" s="851"/>
      <c r="K22" s="851"/>
      <c r="L22" s="851"/>
      <c r="M22" s="851"/>
      <c r="N22" s="852"/>
      <c r="O22" s="35"/>
    </row>
    <row r="23" spans="1:15" ht="24.75" customHeight="1">
      <c r="A23" s="150"/>
      <c r="B23" s="417" t="s">
        <v>113</v>
      </c>
      <c r="C23" s="186"/>
      <c r="D23" s="865" t="str">
        <f>IF(ISBLANK(Management!C27),"",(Management!C27))</f>
        <v/>
      </c>
      <c r="E23" s="865"/>
      <c r="F23" s="865"/>
      <c r="G23" s="869"/>
      <c r="H23" s="185"/>
      <c r="I23" s="850"/>
      <c r="J23" s="851"/>
      <c r="K23" s="851"/>
      <c r="L23" s="851"/>
      <c r="M23" s="851"/>
      <c r="N23" s="852"/>
      <c r="O23" s="35"/>
    </row>
    <row r="24" spans="1:15" ht="27" customHeight="1" thickBot="1">
      <c r="A24" s="150"/>
      <c r="B24" s="418" t="s">
        <v>115</v>
      </c>
      <c r="C24" s="187"/>
      <c r="D24" s="871" t="str">
        <f>IF(ISBLANK(Management!I27),"",(Management!I27))</f>
        <v/>
      </c>
      <c r="E24" s="871"/>
      <c r="F24" s="871"/>
      <c r="G24" s="872"/>
      <c r="H24" s="185"/>
      <c r="I24" s="896"/>
      <c r="J24" s="897"/>
      <c r="K24" s="897"/>
      <c r="L24" s="897"/>
      <c r="M24" s="897"/>
      <c r="N24" s="898"/>
      <c r="O24" s="35"/>
    </row>
    <row r="25" spans="1:15" ht="4.5" customHeight="1">
      <c r="A25" s="152"/>
      <c r="B25" s="157"/>
      <c r="C25" s="158"/>
      <c r="D25" s="173"/>
      <c r="E25" s="174"/>
      <c r="F25" s="175"/>
      <c r="G25" s="175"/>
      <c r="H25" s="159"/>
      <c r="I25" s="174"/>
      <c r="J25" s="160"/>
      <c r="K25" s="161"/>
      <c r="L25" s="162"/>
      <c r="M25" s="163"/>
      <c r="N25" s="164"/>
      <c r="O25" s="35"/>
    </row>
    <row r="26" spans="1:15" s="33" customFormat="1" ht="21" customHeight="1" thickBot="1">
      <c r="A26" s="152"/>
      <c r="B26" s="876" t="s">
        <v>99</v>
      </c>
      <c r="C26" s="876"/>
      <c r="D26" s="876"/>
      <c r="E26" s="876"/>
      <c r="F26" s="876"/>
      <c r="G26" s="876"/>
      <c r="H26" s="876"/>
      <c r="I26" s="876"/>
      <c r="J26" s="876"/>
      <c r="K26" s="876"/>
      <c r="L26" s="876"/>
      <c r="M26" s="876"/>
      <c r="N26" s="876"/>
    </row>
    <row r="27" spans="1:15" ht="3.75" customHeight="1" thickBot="1">
      <c r="A27" s="152"/>
      <c r="B27" s="157"/>
      <c r="C27" s="158"/>
      <c r="D27" s="173"/>
      <c r="E27" s="174"/>
      <c r="F27" s="175"/>
      <c r="G27" s="175"/>
      <c r="H27" s="159"/>
      <c r="I27" s="174"/>
      <c r="J27" s="160"/>
      <c r="K27" s="161"/>
      <c r="L27" s="162"/>
      <c r="M27" s="163"/>
      <c r="N27" s="164"/>
      <c r="O27" s="35"/>
    </row>
    <row r="28" spans="1:15" ht="21.75" customHeight="1" thickBot="1">
      <c r="A28" s="150"/>
      <c r="B28" s="848" t="s">
        <v>7</v>
      </c>
      <c r="C28" s="849"/>
      <c r="D28" s="856" t="s">
        <v>97</v>
      </c>
      <c r="E28" s="857"/>
      <c r="F28" s="857"/>
      <c r="G28" s="858"/>
      <c r="H28" s="159"/>
      <c r="I28" s="856" t="s">
        <v>315</v>
      </c>
      <c r="J28" s="857"/>
      <c r="K28" s="857"/>
      <c r="L28" s="857"/>
      <c r="M28" s="857"/>
      <c r="N28" s="858"/>
      <c r="O28" s="35"/>
    </row>
    <row r="29" spans="1:15" ht="29.25" customHeight="1">
      <c r="A29" s="150"/>
      <c r="B29" s="419" t="s">
        <v>316</v>
      </c>
      <c r="C29" s="188"/>
      <c r="D29" s="859" t="str">
        <f>IF(ISBLANK(Programmatic!C9),"",(Programmatic!C9))</f>
        <v/>
      </c>
      <c r="E29" s="860"/>
      <c r="F29" s="860"/>
      <c r="G29" s="861"/>
      <c r="H29" s="185"/>
      <c r="I29" s="873"/>
      <c r="J29" s="874"/>
      <c r="K29" s="874"/>
      <c r="L29" s="874"/>
      <c r="M29" s="874"/>
      <c r="N29" s="875"/>
      <c r="O29" s="35"/>
    </row>
    <row r="30" spans="1:15" ht="21.75" customHeight="1">
      <c r="A30" s="150"/>
      <c r="B30" s="420" t="s">
        <v>317</v>
      </c>
      <c r="C30" s="189"/>
      <c r="D30" s="870" t="str">
        <f>IF(ISBLANK(Programmatic!G9),"",(Programmatic!G9))</f>
        <v/>
      </c>
      <c r="E30" s="854"/>
      <c r="F30" s="854"/>
      <c r="G30" s="855"/>
      <c r="H30" s="185"/>
      <c r="I30" s="845"/>
      <c r="J30" s="846"/>
      <c r="K30" s="846"/>
      <c r="L30" s="846"/>
      <c r="M30" s="846"/>
      <c r="N30" s="847"/>
      <c r="O30" s="35"/>
    </row>
    <row r="31" spans="1:15" ht="21.75" customHeight="1">
      <c r="A31" s="150"/>
      <c r="B31" s="420" t="s">
        <v>318</v>
      </c>
      <c r="C31" s="189"/>
      <c r="D31" s="870" t="str">
        <f>IF(ISBLANK(Programmatic!M9),"",(Programmatic!M9))</f>
        <v/>
      </c>
      <c r="E31" s="854"/>
      <c r="F31" s="854"/>
      <c r="G31" s="855"/>
      <c r="H31" s="185"/>
      <c r="I31" s="845"/>
      <c r="J31" s="846"/>
      <c r="K31" s="846"/>
      <c r="L31" s="846"/>
      <c r="M31" s="846"/>
      <c r="N31" s="847"/>
      <c r="O31" s="35"/>
    </row>
    <row r="32" spans="1:15" ht="21.75" customHeight="1">
      <c r="A32" s="150"/>
      <c r="B32" s="421" t="s">
        <v>105</v>
      </c>
      <c r="C32" s="189"/>
      <c r="D32" s="853" t="str">
        <f>IF(ISBLANK(Programmatic!L20),"",(Programmatic!L20))</f>
        <v>Data provided represents a ratio of individuals reached through January-September compared to the 3/4 annual target as per approved performance framework. P6 will be reported on cummulative basis as well and will provide more precise/complete info on the target reach ratio.</v>
      </c>
      <c r="E32" s="854"/>
      <c r="F32" s="854"/>
      <c r="G32" s="855"/>
      <c r="H32" s="185"/>
      <c r="I32" s="845"/>
      <c r="J32" s="846"/>
      <c r="K32" s="846"/>
      <c r="L32" s="846"/>
      <c r="M32" s="846"/>
      <c r="N32" s="847"/>
      <c r="O32" s="35"/>
    </row>
    <row r="33" spans="1:15" ht="27" customHeight="1">
      <c r="A33" s="150"/>
      <c r="B33" s="421" t="s">
        <v>106</v>
      </c>
      <c r="C33" s="189"/>
      <c r="D33" s="853" t="str">
        <f>IF(ISBLANK(Programmatic!L21),"",(Programmatic!L21))</f>
        <v>Data provided represents a ratio of individuals reached through  January-September compared to the 3/4 annual target as per approved performance framework. The next reporting period (P6) will provide cummulative acheivements compared to annual target. currently 53% of annual target is reached. additional efforts will be made in order to upscale coverage for the upcoming reporting periods.</v>
      </c>
      <c r="E33" s="854"/>
      <c r="F33" s="854"/>
      <c r="G33" s="855"/>
      <c r="H33" s="185"/>
      <c r="I33" s="845"/>
      <c r="J33" s="846"/>
      <c r="K33" s="846"/>
      <c r="L33" s="846"/>
      <c r="M33" s="846"/>
      <c r="N33" s="847"/>
      <c r="O33" s="35"/>
    </row>
    <row r="34" spans="1:15" ht="21.75" customHeight="1">
      <c r="A34" s="150"/>
      <c r="B34" s="421" t="s">
        <v>107</v>
      </c>
      <c r="C34" s="189"/>
      <c r="D34" s="853" t="str">
        <f>IF(ISBLANK(Programmatic!L22),"",(Programmatic!L22))</f>
        <v>According to approved PF, target is set to be annual. Unlike other indicators,  number of people living with HIV currently receiving antiretroviral therapy is not split 3/4. Accordingly Q3 acheivement is promising when compared to the annual target.</v>
      </c>
      <c r="E34" s="854"/>
      <c r="F34" s="854"/>
      <c r="G34" s="855"/>
      <c r="H34" s="185"/>
      <c r="I34" s="845"/>
      <c r="J34" s="846"/>
      <c r="K34" s="846"/>
      <c r="L34" s="846"/>
      <c r="M34" s="846"/>
      <c r="N34" s="847"/>
      <c r="O34" s="35"/>
    </row>
    <row r="35" spans="1:15" ht="21.75" customHeight="1">
      <c r="A35" s="150"/>
      <c r="B35" s="421" t="s">
        <v>108</v>
      </c>
      <c r="C35" s="232"/>
      <c r="D35" s="853" t="str">
        <f>IF(ISBLANK(Programmatic!L23),"",(Programmatic!L23))</f>
        <v>Data provided represents a ratio of individuals reached through January-September compared to the 3/4 annual target as per approved performance framework. P6 will be reported on cummulative basis as well and will provide more precise/complete info on the target reach ratio.</v>
      </c>
      <c r="E35" s="854"/>
      <c r="F35" s="854"/>
      <c r="G35" s="855"/>
      <c r="H35" s="185"/>
      <c r="I35" s="845"/>
      <c r="J35" s="846"/>
      <c r="K35" s="846"/>
      <c r="L35" s="846"/>
      <c r="M35" s="846"/>
      <c r="N35" s="847"/>
      <c r="O35" s="35"/>
    </row>
    <row r="36" spans="1:15" ht="21.75" customHeight="1">
      <c r="A36" s="150"/>
      <c r="B36" s="421" t="s">
        <v>120</v>
      </c>
      <c r="C36" s="232"/>
      <c r="D36" s="853" t="str">
        <f>IF(ISBLANK(Programmatic!L24),"",(Programmatic!L24))</f>
        <v xml:space="preserve">To promote VCT among MSM PR has procured saliva tests, LGBT resource Centers have started on-site testing as well. Two projects (One with Tanadgoma and other with Equality Movement) contribute towards successful achievements for the Q3. It is expected to maintain the same trend for the upcoming reporting cycles. </v>
      </c>
      <c r="E36" s="854"/>
      <c r="F36" s="854"/>
      <c r="G36" s="855"/>
      <c r="H36" s="185"/>
      <c r="I36" s="845"/>
      <c r="J36" s="846"/>
      <c r="K36" s="846"/>
      <c r="L36" s="846"/>
      <c r="M36" s="846"/>
      <c r="N36" s="847"/>
      <c r="O36" s="35"/>
    </row>
    <row r="37" spans="1:15" ht="21.75" customHeight="1">
      <c r="A37" s="150"/>
      <c r="B37" s="421" t="s">
        <v>121</v>
      </c>
      <c r="C37" s="232"/>
      <c r="D37" s="853" t="str">
        <f>IF(ISBLANK(Programmatic!L25),"",(Programmatic!L25))</f>
        <v>Improved outreach work.</v>
      </c>
      <c r="E37" s="854"/>
      <c r="F37" s="854"/>
      <c r="G37" s="855"/>
      <c r="H37" s="185"/>
      <c r="I37" s="845"/>
      <c r="J37" s="846"/>
      <c r="K37" s="846"/>
      <c r="L37" s="846"/>
      <c r="M37" s="846"/>
      <c r="N37" s="847"/>
      <c r="O37" s="35"/>
    </row>
    <row r="38" spans="1:15" ht="21.75" customHeight="1">
      <c r="A38" s="150"/>
      <c r="B38" s="421" t="s">
        <v>122</v>
      </c>
      <c r="C38" s="232"/>
      <c r="D38" s="853" t="str">
        <f>IF(ISBLANK(Programmatic!L26),"",(Programmatic!L26))</f>
        <v>Improved outreach work.</v>
      </c>
      <c r="E38" s="854"/>
      <c r="F38" s="854"/>
      <c r="G38" s="855"/>
      <c r="H38" s="185"/>
      <c r="I38" s="845"/>
      <c r="J38" s="846"/>
      <c r="K38" s="846"/>
      <c r="L38" s="846"/>
      <c r="M38" s="846"/>
      <c r="N38" s="847"/>
      <c r="O38" s="35"/>
    </row>
    <row r="39" spans="1:15" ht="21.75" customHeight="1">
      <c r="A39" s="150"/>
      <c r="B39" s="421" t="s">
        <v>123</v>
      </c>
      <c r="C39" s="232"/>
      <c r="D39" s="853" t="str">
        <f>IF(ISBLANK(Programmatic!L27),"",(Programmatic!L27))</f>
        <v>Coordiantion of efforts with State HIV Program</v>
      </c>
      <c r="E39" s="854"/>
      <c r="F39" s="854"/>
      <c r="G39" s="855"/>
      <c r="H39" s="185"/>
      <c r="I39" s="845"/>
      <c r="J39" s="846"/>
      <c r="K39" s="846"/>
      <c r="L39" s="846"/>
      <c r="M39" s="846"/>
      <c r="N39" s="847"/>
      <c r="O39" s="35"/>
    </row>
    <row r="40" spans="1:15" ht="21.75" customHeight="1">
      <c r="A40" s="150"/>
      <c r="B40" s="421" t="s">
        <v>124</v>
      </c>
      <c r="C40" s="232"/>
      <c r="D40" s="853" t="str">
        <f>IF(ISBLANK(Programmatic!L28),"",(Programmatic!L28))</f>
        <v/>
      </c>
      <c r="E40" s="854"/>
      <c r="F40" s="854"/>
      <c r="G40" s="855"/>
      <c r="H40" s="185"/>
      <c r="I40" s="845"/>
      <c r="J40" s="846"/>
      <c r="K40" s="846"/>
      <c r="L40" s="846"/>
      <c r="M40" s="846"/>
      <c r="N40" s="847"/>
      <c r="O40" s="35"/>
    </row>
    <row r="41" spans="1:15" ht="21.75" customHeight="1" thickBot="1">
      <c r="A41" s="150"/>
      <c r="B41" s="421" t="s">
        <v>125</v>
      </c>
      <c r="C41" s="190"/>
      <c r="D41" s="853" t="str">
        <f>IF(ISBLANK(Programmatic!L29),"",(Programmatic!L29))</f>
        <v/>
      </c>
      <c r="E41" s="854"/>
      <c r="F41" s="854"/>
      <c r="G41" s="855"/>
      <c r="H41" s="185"/>
      <c r="I41" s="862"/>
      <c r="J41" s="863"/>
      <c r="K41" s="863"/>
      <c r="L41" s="863"/>
      <c r="M41" s="863"/>
      <c r="N41" s="864"/>
      <c r="O41" s="35"/>
    </row>
    <row r="42" spans="1:15" ht="14.25">
      <c r="A42" s="150"/>
      <c r="B42" s="191"/>
      <c r="C42" s="191"/>
      <c r="D42" s="192"/>
      <c r="E42" s="150"/>
      <c r="F42" s="191"/>
      <c r="G42" s="191"/>
      <c r="H42" s="150"/>
      <c r="I42" s="193"/>
      <c r="J42" s="150"/>
      <c r="K42" s="194"/>
      <c r="L42" s="194"/>
      <c r="M42" s="194"/>
      <c r="N42" s="194"/>
      <c r="O42" s="35"/>
    </row>
  </sheetData>
  <sheetProtection password="CFC9" sheet="1"/>
  <mergeCells count="65">
    <mergeCell ref="I39:N39"/>
    <mergeCell ref="B8:N8"/>
    <mergeCell ref="I10:N10"/>
    <mergeCell ref="I19:N19"/>
    <mergeCell ref="I24:N24"/>
    <mergeCell ref="I20:N20"/>
    <mergeCell ref="B18:C18"/>
    <mergeCell ref="I13:N13"/>
    <mergeCell ref="I14:N14"/>
    <mergeCell ref="B10:C10"/>
    <mergeCell ref="D10:G10"/>
    <mergeCell ref="B16:N16"/>
    <mergeCell ref="D14:G14"/>
    <mergeCell ref="D11:G11"/>
    <mergeCell ref="I32:N32"/>
    <mergeCell ref="D22:G22"/>
    <mergeCell ref="I11:N11"/>
    <mergeCell ref="I18:N18"/>
    <mergeCell ref="D18:G18"/>
    <mergeCell ref="D20:G20"/>
    <mergeCell ref="I21:N21"/>
    <mergeCell ref="B2:N2"/>
    <mergeCell ref="E5:K5"/>
    <mergeCell ref="E6:K6"/>
    <mergeCell ref="E3:K3"/>
    <mergeCell ref="C4:D4"/>
    <mergeCell ref="E4:K4"/>
    <mergeCell ref="C3:D3"/>
    <mergeCell ref="B26:N26"/>
    <mergeCell ref="D23:G23"/>
    <mergeCell ref="D12:G12"/>
    <mergeCell ref="I12:N12"/>
    <mergeCell ref="I22:N22"/>
    <mergeCell ref="I35:N35"/>
    <mergeCell ref="D13:G13"/>
    <mergeCell ref="I37:N37"/>
    <mergeCell ref="D38:G38"/>
    <mergeCell ref="D37:G37"/>
    <mergeCell ref="D19:G19"/>
    <mergeCell ref="D21:G21"/>
    <mergeCell ref="D36:G36"/>
    <mergeCell ref="D30:G30"/>
    <mergeCell ref="D31:G31"/>
    <mergeCell ref="D24:G24"/>
    <mergeCell ref="D33:G33"/>
    <mergeCell ref="I29:N29"/>
    <mergeCell ref="I33:N33"/>
    <mergeCell ref="I30:N30"/>
    <mergeCell ref="I31:N31"/>
    <mergeCell ref="I36:N36"/>
    <mergeCell ref="B28:C28"/>
    <mergeCell ref="I38:N38"/>
    <mergeCell ref="I23:N23"/>
    <mergeCell ref="D41:G41"/>
    <mergeCell ref="I28:N28"/>
    <mergeCell ref="D40:G40"/>
    <mergeCell ref="D34:G34"/>
    <mergeCell ref="D29:G29"/>
    <mergeCell ref="D28:G28"/>
    <mergeCell ref="I34:N34"/>
    <mergeCell ref="D35:G35"/>
    <mergeCell ref="D32:G32"/>
    <mergeCell ref="D39:G39"/>
    <mergeCell ref="I40:N40"/>
    <mergeCell ref="I41:N41"/>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headerFooter>
    <oddFooter>&amp;L&amp;F&amp;C&amp;A&amp;RV1.0          &amp;D</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topLeftCell="A16" zoomScale="95" zoomScaleNormal="95" zoomScaleSheetLayoutView="100" zoomScalePageLayoutView="95" workbookViewId="0"/>
  </sheetViews>
  <sheetFormatPr defaultColWidth="11" defaultRowHeight="15"/>
  <cols>
    <col min="1" max="1" width="4.140625" customWidth="1"/>
    <col min="2" max="2" width="14.42578125" customWidth="1"/>
    <col min="3" max="3" width="12.42578125" customWidth="1"/>
    <col min="4" max="4" width="11.42578125" customWidth="1"/>
    <col min="5" max="5" width="19" customWidth="1"/>
    <col min="6" max="6" width="1.42578125" customWidth="1"/>
    <col min="7" max="7" width="11.42578125" customWidth="1"/>
    <col min="8" max="8" width="9.42578125" customWidth="1"/>
    <col min="9" max="9" width="11.42578125" customWidth="1"/>
    <col min="10" max="10" width="12.42578125" customWidth="1"/>
    <col min="11" max="11" width="10.42578125" customWidth="1"/>
    <col min="12" max="12" width="9.7109375" customWidth="1"/>
  </cols>
  <sheetData>
    <row r="1" spans="1:13" ht="30.75" customHeight="1"/>
    <row r="2" spans="1:13" ht="27.75" customHeight="1">
      <c r="B2" s="792" t="str">
        <f>+"Dashboard:  "&amp;"  "&amp;IF(+'Data Entry'!C4="Please Select","",'Data Entry'!C4&amp;" - ")&amp;IF('Data Entry'!G6="Please Select","",'Data Entry'!G6)</f>
        <v>Dashboard:    Georgia - HIV / AIDS</v>
      </c>
      <c r="C2" s="792"/>
      <c r="D2" s="792"/>
      <c r="E2" s="792"/>
      <c r="F2" s="792"/>
      <c r="G2" s="792"/>
      <c r="H2" s="792"/>
      <c r="I2" s="792"/>
      <c r="J2" s="792"/>
      <c r="K2" s="792"/>
      <c r="L2" s="792"/>
    </row>
    <row r="3" spans="1:13">
      <c r="B3" s="24" t="str">
        <f>+IF('Data Entry'!G8="Please Select","",'Data Entry'!G8)</f>
        <v>NFM</v>
      </c>
      <c r="C3" s="790" t="str">
        <f>+IF('Data Entry'!I8="Please Select","",'Data Entry'!I8)</f>
        <v>N/A</v>
      </c>
      <c r="D3" s="790"/>
      <c r="E3" s="791"/>
      <c r="F3" s="791"/>
      <c r="G3" s="791"/>
      <c r="H3" s="791"/>
      <c r="I3" s="791"/>
      <c r="J3" s="794" t="str">
        <f>+'Data Entry'!B16</f>
        <v>Report Period:</v>
      </c>
      <c r="K3" s="794"/>
      <c r="L3" s="198" t="str">
        <f>+'Data Entry'!C16</f>
        <v>P5</v>
      </c>
      <c r="M3" s="85"/>
    </row>
    <row r="4" spans="1:13">
      <c r="B4" s="24" t="str">
        <f>+'Data Entry'!B12</f>
        <v>Latest Rating:</v>
      </c>
      <c r="C4" s="917" t="str">
        <f>+IF('Data Entry'!C12="Please Select","",'Data Entry'!C12)</f>
        <v>A2</v>
      </c>
      <c r="D4" s="917"/>
      <c r="E4" s="791" t="str">
        <f>+'Data Entry'!C8</f>
        <v>NCDC</v>
      </c>
      <c r="F4" s="791"/>
      <c r="G4" s="791"/>
      <c r="H4" s="791"/>
      <c r="I4" s="791"/>
      <c r="J4" s="794" t="str">
        <f>+'Data Entry'!D16</f>
        <v>From:</v>
      </c>
      <c r="K4" s="798"/>
      <c r="L4" s="199">
        <f>+IF(ISBLANK('Data Entry'!E16),"",'Data Entry'!E16)</f>
        <v>42917</v>
      </c>
    </row>
    <row r="5" spans="1:13" ht="18.75" customHeight="1">
      <c r="B5" s="24"/>
      <c r="C5" s="24"/>
      <c r="D5" s="791" t="str">
        <f>+'Data Entry'!G4</f>
        <v xml:space="preserve">Sustaining and Scaling up the Effective HIV/AIDS Prevention, Treatment and Care in Georgia </v>
      </c>
      <c r="E5" s="791"/>
      <c r="F5" s="791"/>
      <c r="G5" s="791"/>
      <c r="H5" s="791"/>
      <c r="I5" s="791"/>
      <c r="J5" s="791"/>
      <c r="K5" s="24" t="str">
        <f>+'Data Entry'!F16</f>
        <v>To:</v>
      </c>
      <c r="L5" s="199">
        <f>+IF(ISBLANK('Data Entry'!G16),"",'Data Entry'!G16)</f>
        <v>43008</v>
      </c>
    </row>
    <row r="6" spans="1:13" ht="18.75">
      <c r="B6" s="23"/>
      <c r="C6" s="24"/>
      <c r="D6" s="25"/>
      <c r="E6" s="793" t="s">
        <v>371</v>
      </c>
      <c r="F6" s="793"/>
      <c r="G6" s="793"/>
      <c r="H6" s="793"/>
      <c r="I6" s="793"/>
    </row>
    <row r="7" spans="1:13" ht="18.75">
      <c r="E7" s="72"/>
      <c r="F7" s="72"/>
      <c r="G7" s="72"/>
      <c r="H7" s="72"/>
      <c r="I7" s="72"/>
    </row>
    <row r="8" spans="1:13" s="33" customFormat="1" ht="21" customHeight="1" thickBot="1">
      <c r="B8" s="76" t="s">
        <v>95</v>
      </c>
      <c r="C8" s="76"/>
      <c r="D8" s="76"/>
      <c r="E8" s="76"/>
      <c r="F8" s="76"/>
      <c r="G8" s="76"/>
      <c r="H8" s="76"/>
      <c r="I8" s="76"/>
      <c r="J8" s="76"/>
      <c r="K8" s="76"/>
      <c r="L8" s="76"/>
    </row>
    <row r="9" spans="1:13" ht="6" customHeight="1">
      <c r="B9" s="74"/>
    </row>
    <row r="10" spans="1:13">
      <c r="B10" s="936"/>
      <c r="C10" s="937"/>
      <c r="D10" s="937"/>
      <c r="E10" s="937"/>
      <c r="F10" s="937"/>
      <c r="G10" s="937"/>
      <c r="H10" s="937"/>
      <c r="I10" s="937"/>
      <c r="J10" s="937"/>
      <c r="K10" s="937"/>
      <c r="L10" s="938"/>
    </row>
    <row r="11" spans="1:13">
      <c r="B11" s="939"/>
      <c r="C11" s="940"/>
      <c r="D11" s="940"/>
      <c r="E11" s="940"/>
      <c r="F11" s="940"/>
      <c r="G11" s="940"/>
      <c r="H11" s="940"/>
      <c r="I11" s="940"/>
      <c r="J11" s="940"/>
      <c r="K11" s="940"/>
      <c r="L11" s="941"/>
    </row>
    <row r="12" spans="1:13" ht="15.75" thickBot="1"/>
    <row r="13" spans="1:13" ht="26.25" customHeight="1" thickBot="1">
      <c r="B13" s="932" t="s">
        <v>305</v>
      </c>
      <c r="C13" s="933"/>
      <c r="D13" s="933"/>
      <c r="E13" s="934"/>
      <c r="F13" s="77"/>
      <c r="G13" s="948" t="s">
        <v>128</v>
      </c>
      <c r="H13" s="911"/>
      <c r="I13" s="911"/>
      <c r="J13" s="78" t="s">
        <v>96</v>
      </c>
      <c r="K13" s="911" t="s">
        <v>292</v>
      </c>
      <c r="L13" s="912"/>
    </row>
    <row r="14" spans="1:13">
      <c r="A14" s="924" t="s">
        <v>306</v>
      </c>
      <c r="B14" s="928"/>
      <c r="C14" s="928"/>
      <c r="D14" s="928"/>
      <c r="E14" s="929"/>
      <c r="F14" s="46"/>
      <c r="G14" s="930"/>
      <c r="H14" s="918"/>
      <c r="I14" s="918"/>
      <c r="J14" s="927"/>
      <c r="K14" s="918"/>
      <c r="L14" s="919"/>
    </row>
    <row r="15" spans="1:13">
      <c r="A15" s="925"/>
      <c r="B15" s="928"/>
      <c r="C15" s="928"/>
      <c r="D15" s="928"/>
      <c r="E15" s="929"/>
      <c r="F15" s="46"/>
      <c r="G15" s="931"/>
      <c r="H15" s="913"/>
      <c r="I15" s="913"/>
      <c r="J15" s="913"/>
      <c r="K15" s="913"/>
      <c r="L15" s="914"/>
    </row>
    <row r="16" spans="1:13">
      <c r="A16" s="925"/>
      <c r="B16" s="928"/>
      <c r="C16" s="928"/>
      <c r="D16" s="928"/>
      <c r="E16" s="929"/>
      <c r="F16" s="46"/>
      <c r="G16" s="935"/>
      <c r="H16" s="913"/>
      <c r="I16" s="913"/>
      <c r="J16" s="913"/>
      <c r="K16" s="913"/>
      <c r="L16" s="914"/>
    </row>
    <row r="17" spans="1:12">
      <c r="A17" s="925"/>
      <c r="B17" s="928"/>
      <c r="C17" s="928"/>
      <c r="D17" s="928"/>
      <c r="E17" s="929"/>
      <c r="F17" s="46"/>
      <c r="G17" s="931"/>
      <c r="H17" s="913"/>
      <c r="I17" s="913"/>
      <c r="J17" s="913"/>
      <c r="K17" s="913"/>
      <c r="L17" s="914"/>
    </row>
    <row r="18" spans="1:12">
      <c r="A18" s="925"/>
      <c r="B18" s="928"/>
      <c r="C18" s="928"/>
      <c r="D18" s="928"/>
      <c r="E18" s="929"/>
      <c r="F18" s="46"/>
      <c r="G18" s="942"/>
      <c r="H18" s="943"/>
      <c r="I18" s="944"/>
      <c r="J18" s="913"/>
      <c r="K18" s="913"/>
      <c r="L18" s="914"/>
    </row>
    <row r="19" spans="1:12" ht="30.75" customHeight="1">
      <c r="A19" s="925"/>
      <c r="B19" s="928"/>
      <c r="C19" s="928"/>
      <c r="D19" s="928"/>
      <c r="E19" s="929"/>
      <c r="F19" s="46"/>
      <c r="G19" s="945"/>
      <c r="H19" s="946"/>
      <c r="I19" s="947"/>
      <c r="J19" s="913"/>
      <c r="K19" s="913"/>
      <c r="L19" s="914"/>
    </row>
    <row r="20" spans="1:12">
      <c r="A20" s="925"/>
      <c r="B20" s="928"/>
      <c r="C20" s="928"/>
      <c r="D20" s="928"/>
      <c r="E20" s="929"/>
      <c r="F20" s="46"/>
      <c r="G20" s="931"/>
      <c r="H20" s="913"/>
      <c r="I20" s="913"/>
      <c r="J20" s="913"/>
      <c r="K20" s="913"/>
      <c r="L20" s="914"/>
    </row>
    <row r="21" spans="1:12">
      <c r="A21" s="925"/>
      <c r="B21" s="928"/>
      <c r="C21" s="928"/>
      <c r="D21" s="928"/>
      <c r="E21" s="929"/>
      <c r="F21" s="46"/>
      <c r="G21" s="931"/>
      <c r="H21" s="913"/>
      <c r="I21" s="913"/>
      <c r="J21" s="913"/>
      <c r="K21" s="913"/>
      <c r="L21" s="914"/>
    </row>
    <row r="22" spans="1:12">
      <c r="A22" s="925"/>
      <c r="B22" s="928"/>
      <c r="C22" s="928"/>
      <c r="D22" s="928"/>
      <c r="E22" s="929"/>
      <c r="F22" s="46"/>
      <c r="G22" s="931"/>
      <c r="H22" s="913"/>
      <c r="I22" s="913"/>
      <c r="J22" s="913"/>
      <c r="K22" s="913"/>
      <c r="L22" s="914"/>
    </row>
    <row r="23" spans="1:12">
      <c r="A23" s="925"/>
      <c r="B23" s="928"/>
      <c r="C23" s="928"/>
      <c r="D23" s="928"/>
      <c r="E23" s="929"/>
      <c r="F23" s="46"/>
      <c r="G23" s="931"/>
      <c r="H23" s="913"/>
      <c r="I23" s="913"/>
      <c r="J23" s="913"/>
      <c r="K23" s="913"/>
      <c r="L23" s="914"/>
    </row>
    <row r="24" spans="1:12">
      <c r="A24" s="925"/>
      <c r="B24" s="928"/>
      <c r="C24" s="928"/>
      <c r="D24" s="928"/>
      <c r="E24" s="929"/>
      <c r="F24" s="46"/>
      <c r="G24" s="935"/>
      <c r="H24" s="913"/>
      <c r="I24" s="913"/>
      <c r="J24" s="913"/>
      <c r="K24" s="913"/>
      <c r="L24" s="914"/>
    </row>
    <row r="25" spans="1:12" ht="15.75" thickBot="1">
      <c r="A25" s="926"/>
      <c r="B25" s="959"/>
      <c r="C25" s="959"/>
      <c r="D25" s="959"/>
      <c r="E25" s="960"/>
      <c r="F25" s="46"/>
      <c r="G25" s="950"/>
      <c r="H25" s="915"/>
      <c r="I25" s="915"/>
      <c r="J25" s="915"/>
      <c r="K25" s="915"/>
      <c r="L25" s="916"/>
    </row>
    <row r="27" spans="1:12" ht="18.75">
      <c r="E27" s="949" t="s">
        <v>335</v>
      </c>
      <c r="F27" s="949"/>
      <c r="G27" s="949"/>
      <c r="H27" s="949"/>
      <c r="I27" s="949"/>
    </row>
    <row r="28" spans="1:12" ht="6" customHeight="1">
      <c r="E28" s="72"/>
      <c r="F28" s="72"/>
      <c r="G28" s="72"/>
      <c r="H28" s="72"/>
      <c r="I28" s="72"/>
    </row>
    <row r="29" spans="1:12" s="33" customFormat="1" ht="21" customHeight="1" thickBot="1">
      <c r="B29" s="76" t="s">
        <v>95</v>
      </c>
      <c r="C29" s="76"/>
      <c r="D29" s="76"/>
      <c r="E29" s="76"/>
      <c r="F29" s="76"/>
      <c r="G29" s="76"/>
      <c r="H29" s="76"/>
      <c r="I29" s="76"/>
      <c r="J29" s="76"/>
      <c r="K29" s="76"/>
      <c r="L29" s="76"/>
    </row>
    <row r="30" spans="1:12" ht="6" customHeight="1" thickBot="1">
      <c r="B30" s="74"/>
    </row>
    <row r="31" spans="1:12" ht="21.75" customHeight="1" thickBot="1">
      <c r="B31" s="932" t="s">
        <v>128</v>
      </c>
      <c r="C31" s="933"/>
      <c r="D31" s="933"/>
      <c r="E31" s="934"/>
      <c r="F31" s="77"/>
      <c r="G31" s="948" t="s">
        <v>320</v>
      </c>
      <c r="H31" s="911"/>
      <c r="I31" s="911"/>
      <c r="J31" s="78" t="s">
        <v>294</v>
      </c>
      <c r="K31" s="911" t="s">
        <v>292</v>
      </c>
      <c r="L31" s="912"/>
    </row>
    <row r="32" spans="1:12" ht="14.25" customHeight="1">
      <c r="A32" s="924" t="s">
        <v>307</v>
      </c>
      <c r="B32" s="951"/>
      <c r="C32" s="952"/>
      <c r="D32" s="952"/>
      <c r="E32" s="953"/>
      <c r="F32" s="46"/>
      <c r="G32" s="961"/>
      <c r="H32" s="909"/>
      <c r="I32" s="909"/>
      <c r="J32" s="909"/>
      <c r="K32" s="909"/>
      <c r="L32" s="910"/>
    </row>
    <row r="33" spans="1:12" ht="16.5" customHeight="1">
      <c r="A33" s="925"/>
      <c r="B33" s="945"/>
      <c r="C33" s="946"/>
      <c r="D33" s="946"/>
      <c r="E33" s="954"/>
      <c r="F33" s="46"/>
      <c r="G33" s="920"/>
      <c r="H33" s="905"/>
      <c r="I33" s="905"/>
      <c r="J33" s="905"/>
      <c r="K33" s="905"/>
      <c r="L33" s="906"/>
    </row>
    <row r="34" spans="1:12">
      <c r="A34" s="925"/>
      <c r="B34" s="921" t="str">
        <f>IF(Recommendations!I43="","",Recommendations!I43)</f>
        <v/>
      </c>
      <c r="C34" s="922"/>
      <c r="D34" s="922"/>
      <c r="E34" s="923"/>
      <c r="F34" s="46"/>
      <c r="G34" s="920"/>
      <c r="H34" s="905"/>
      <c r="I34" s="905"/>
      <c r="J34" s="905"/>
      <c r="K34" s="905"/>
      <c r="L34" s="906"/>
    </row>
    <row r="35" spans="1:12">
      <c r="A35" s="925"/>
      <c r="B35" s="921"/>
      <c r="C35" s="922"/>
      <c r="D35" s="922"/>
      <c r="E35" s="923"/>
      <c r="F35" s="46"/>
      <c r="G35" s="920"/>
      <c r="H35" s="905"/>
      <c r="I35" s="905"/>
      <c r="J35" s="905"/>
      <c r="K35" s="905"/>
      <c r="L35" s="906"/>
    </row>
    <row r="36" spans="1:12">
      <c r="A36" s="925"/>
      <c r="B36" s="921" t="str">
        <f>+IF(Recommendations!I53="","",Recommendations!I53)</f>
        <v/>
      </c>
      <c r="C36" s="922"/>
      <c r="D36" s="922"/>
      <c r="E36" s="923"/>
      <c r="F36" s="46"/>
      <c r="G36" s="920"/>
      <c r="H36" s="905"/>
      <c r="I36" s="905"/>
      <c r="J36" s="905"/>
      <c r="K36" s="905"/>
      <c r="L36" s="906"/>
    </row>
    <row r="37" spans="1:12">
      <c r="A37" s="925"/>
      <c r="B37" s="921"/>
      <c r="C37" s="922"/>
      <c r="D37" s="922"/>
      <c r="E37" s="923"/>
      <c r="F37" s="46"/>
      <c r="G37" s="920"/>
      <c r="H37" s="905"/>
      <c r="I37" s="905"/>
      <c r="J37" s="905"/>
      <c r="K37" s="905"/>
      <c r="L37" s="906"/>
    </row>
    <row r="38" spans="1:12">
      <c r="A38" s="925"/>
      <c r="B38" s="921"/>
      <c r="C38" s="922"/>
      <c r="D38" s="922"/>
      <c r="E38" s="923"/>
      <c r="F38" s="46"/>
      <c r="G38" s="920"/>
      <c r="H38" s="905"/>
      <c r="I38" s="905"/>
      <c r="J38" s="905"/>
      <c r="K38" s="905"/>
      <c r="L38" s="906"/>
    </row>
    <row r="39" spans="1:12">
      <c r="A39" s="925"/>
      <c r="B39" s="921"/>
      <c r="C39" s="922"/>
      <c r="D39" s="922"/>
      <c r="E39" s="923"/>
      <c r="F39" s="46"/>
      <c r="G39" s="920"/>
      <c r="H39" s="905"/>
      <c r="I39" s="905"/>
      <c r="J39" s="905"/>
      <c r="K39" s="905"/>
      <c r="L39" s="906"/>
    </row>
    <row r="40" spans="1:12">
      <c r="A40" s="925"/>
      <c r="B40" s="921"/>
      <c r="C40" s="922"/>
      <c r="D40" s="922"/>
      <c r="E40" s="923"/>
      <c r="F40" s="46"/>
      <c r="G40" s="920"/>
      <c r="H40" s="905"/>
      <c r="I40" s="905"/>
      <c r="J40" s="905"/>
      <c r="K40" s="905"/>
      <c r="L40" s="906"/>
    </row>
    <row r="41" spans="1:12">
      <c r="A41" s="925"/>
      <c r="B41" s="921"/>
      <c r="C41" s="922"/>
      <c r="D41" s="922"/>
      <c r="E41" s="923"/>
      <c r="F41" s="46"/>
      <c r="G41" s="920"/>
      <c r="H41" s="905"/>
      <c r="I41" s="905"/>
      <c r="J41" s="905"/>
      <c r="K41" s="905"/>
      <c r="L41" s="906"/>
    </row>
    <row r="42" spans="1:12">
      <c r="A42" s="925"/>
      <c r="B42" s="921"/>
      <c r="C42" s="922"/>
      <c r="D42" s="922"/>
      <c r="E42" s="923"/>
      <c r="F42" s="46"/>
      <c r="G42" s="920"/>
      <c r="H42" s="905"/>
      <c r="I42" s="905"/>
      <c r="J42" s="905"/>
      <c r="K42" s="905"/>
      <c r="L42" s="906"/>
    </row>
    <row r="43" spans="1:12" ht="15.75" thickBot="1">
      <c r="A43" s="926"/>
      <c r="B43" s="955"/>
      <c r="C43" s="956"/>
      <c r="D43" s="956"/>
      <c r="E43" s="957"/>
      <c r="F43" s="46"/>
      <c r="G43" s="958"/>
      <c r="H43" s="907"/>
      <c r="I43" s="907"/>
      <c r="J43" s="907"/>
      <c r="K43" s="907"/>
      <c r="L43" s="908"/>
    </row>
  </sheetData>
  <sheetProtection password="CFC9" sheet="1"/>
  <mergeCells count="67">
    <mergeCell ref="K20:L21"/>
    <mergeCell ref="J32:J33"/>
    <mergeCell ref="A32:A43"/>
    <mergeCell ref="G31:I31"/>
    <mergeCell ref="G20:I21"/>
    <mergeCell ref="G22:I23"/>
    <mergeCell ref="E27:I27"/>
    <mergeCell ref="B31:E31"/>
    <mergeCell ref="G24:I25"/>
    <mergeCell ref="G38:I39"/>
    <mergeCell ref="B32:E33"/>
    <mergeCell ref="B42:E43"/>
    <mergeCell ref="G42:I43"/>
    <mergeCell ref="B24:E25"/>
    <mergeCell ref="G32:I33"/>
    <mergeCell ref="B40:E41"/>
    <mergeCell ref="D5:J5"/>
    <mergeCell ref="B13:E13"/>
    <mergeCell ref="J24:J25"/>
    <mergeCell ref="B14:E15"/>
    <mergeCell ref="J22:J23"/>
    <mergeCell ref="G16:I17"/>
    <mergeCell ref="B18:E19"/>
    <mergeCell ref="B22:E23"/>
    <mergeCell ref="B20:E21"/>
    <mergeCell ref="J20:J21"/>
    <mergeCell ref="B10:L11"/>
    <mergeCell ref="K13:L13"/>
    <mergeCell ref="K18:L19"/>
    <mergeCell ref="G18:I19"/>
    <mergeCell ref="G13:I13"/>
    <mergeCell ref="K22:L23"/>
    <mergeCell ref="B34:E35"/>
    <mergeCell ref="G34:I35"/>
    <mergeCell ref="J34:J35"/>
    <mergeCell ref="B36:E37"/>
    <mergeCell ref="G36:I37"/>
    <mergeCell ref="A14:A25"/>
    <mergeCell ref="J18:J19"/>
    <mergeCell ref="J16:J17"/>
    <mergeCell ref="J14:J15"/>
    <mergeCell ref="B16:E17"/>
    <mergeCell ref="G14:I15"/>
    <mergeCell ref="K31:L31"/>
    <mergeCell ref="K24:L25"/>
    <mergeCell ref="K34:L35"/>
    <mergeCell ref="K40:L41"/>
    <mergeCell ref="B2:L2"/>
    <mergeCell ref="C4:D4"/>
    <mergeCell ref="K14:L15"/>
    <mergeCell ref="K16:L17"/>
    <mergeCell ref="E3:I3"/>
    <mergeCell ref="J3:K3"/>
    <mergeCell ref="E4:I4"/>
    <mergeCell ref="J4:K4"/>
    <mergeCell ref="E6:I6"/>
    <mergeCell ref="C3:D3"/>
    <mergeCell ref="G40:I41"/>
    <mergeCell ref="B38:E39"/>
    <mergeCell ref="K42:L43"/>
    <mergeCell ref="K36:L37"/>
    <mergeCell ref="K38:L39"/>
    <mergeCell ref="K32:L33"/>
    <mergeCell ref="J36:J37"/>
    <mergeCell ref="J40:J41"/>
    <mergeCell ref="J42:J43"/>
    <mergeCell ref="J38:J39"/>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headerFooter>
    <oddFooter>&amp;L&amp;F&amp;C&amp;A&amp;RV1.0          &amp;D</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F8B9337-4B91-4BFB-AD68-7B155DF4A2A0}">
  <ds:schemaRefs>
    <ds:schemaRef ds:uri="http://schemas.microsoft.com/sharepoint/v3/contenttype/forms"/>
  </ds:schemaRefs>
</ds:datastoreItem>
</file>

<file path=customXml/itemProps2.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Menu</vt:lpstr>
      <vt:lpstr>List of Indicators</vt:lpstr>
      <vt:lpstr>Data Entry</vt:lpstr>
      <vt:lpstr>Grant Detail</vt:lpstr>
      <vt:lpstr>Finance</vt:lpstr>
      <vt:lpstr>Management</vt:lpstr>
      <vt:lpstr>Programmatic</vt:lpstr>
      <vt:lpstr>Recommendations</vt:lpstr>
      <vt:lpstr>Actions</vt:lpstr>
      <vt:lpstr>Setup</vt:lpstr>
      <vt:lpstr>Component</vt:lpstr>
      <vt:lpstr>Countries</vt:lpstr>
      <vt:lpstr>Currency</vt:lpstr>
      <vt:lpstr>LFA</vt:lpstr>
      <vt:lpstr>Medicaments</vt:lpstr>
      <vt:lpstr>PERIOD</vt:lpstr>
      <vt:lpstr>Phase</vt:lpstr>
      <vt:lpstr>Actions!Print_Area</vt:lpstr>
      <vt:lpstr>Finance!Print_Area</vt:lpstr>
      <vt:lpstr>Management!Print_Area</vt:lpstr>
      <vt:lpstr>Programmatic!Print_Area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cp:keywords/>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Nino Vakhania</cp:lastModifiedBy>
  <cp:lastPrinted>2009-11-06T15:57:56Z</cp:lastPrinted>
  <dcterms:created xsi:type="dcterms:W3CDTF">2008-11-20T16:06:13Z</dcterms:created>
  <dcterms:modified xsi:type="dcterms:W3CDTF">2018-01-15T09:09:52Z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846336</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y fmtid="{D5CDD505-2E9C-101B-9397-08002B2CF9AE}" pid="23" name="Nr">
    <vt:lpwstr/>
  </property>
  <property fmtid="{D5CDD505-2E9C-101B-9397-08002B2CF9AE}" pid="24" name="PublishingExpirationDate">
    <vt:lpwstr/>
  </property>
  <property fmtid="{D5CDD505-2E9C-101B-9397-08002B2CF9AE}" pid="25" name="PublishingStartDate">
    <vt:lpwstr/>
  </property>
</Properties>
</file>