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exanderasatiani/Dropbox/[WORK]/"/>
    </mc:Choice>
  </mc:AlternateContent>
  <xr:revisionPtr revIDLastSave="0" documentId="13_ncr:1_{65CB730B-29A5-FE4C-B63F-80CE17C6B5F8}" xr6:coauthVersionLast="43" xr6:coauthVersionMax="43" xr10:uidLastSave="{00000000-0000-0000-0000-000000000000}"/>
  <bookViews>
    <workbookView xWindow="0" yWindow="460" windowWidth="25600" windowHeight="15540"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Entry'!$B$25:$J$68</definedName>
    <definedName name="PrintDataM">'Data Entry'!$B$70:$H$114</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4"/>
    </ext>
  </extLst>
</workbook>
</file>

<file path=xl/calcChain.xml><?xml version="1.0" encoding="utf-8"?>
<calcChain xmlns="http://schemas.openxmlformats.org/spreadsheetml/2006/main">
  <c r="R133" i="29" l="1"/>
  <c r="R131" i="29"/>
  <c r="R121" i="29"/>
  <c r="R127" i="29"/>
  <c r="R129" i="29"/>
  <c r="R123" i="29"/>
  <c r="R124" i="29" l="1"/>
  <c r="R130" i="29"/>
  <c r="R135" i="29" l="1"/>
  <c r="M99" i="29" l="1"/>
  <c r="M100" i="29"/>
  <c r="C58" i="29" l="1"/>
  <c r="C57" i="29"/>
  <c r="C56" i="29"/>
  <c r="D55" i="29"/>
  <c r="Q135" i="29" l="1"/>
  <c r="Q133" i="29"/>
  <c r="Q131" i="29"/>
  <c r="Q129" i="29"/>
  <c r="Q127" i="29"/>
  <c r="Q123" i="29"/>
  <c r="Q121" i="29"/>
  <c r="Q146" i="29" s="1"/>
  <c r="L99" i="29"/>
  <c r="L100" i="29"/>
  <c r="C32" i="29"/>
  <c r="I32" i="29"/>
  <c r="J32" i="29"/>
  <c r="P135" i="29"/>
  <c r="P133" i="29"/>
  <c r="P131" i="29"/>
  <c r="P130" i="29"/>
  <c r="P129" i="29"/>
  <c r="P127" i="29"/>
  <c r="P124" i="29"/>
  <c r="P149" i="29" s="1"/>
  <c r="P123" i="29"/>
  <c r="P121" i="29"/>
  <c r="E56" i="29"/>
  <c r="O122" i="29"/>
  <c r="O147" i="29" s="1"/>
  <c r="O124" i="29"/>
  <c r="O130" i="29"/>
  <c r="O126" i="29"/>
  <c r="O135" i="29"/>
  <c r="O133" i="29"/>
  <c r="O131" i="29"/>
  <c r="O129" i="29"/>
  <c r="O127" i="29"/>
  <c r="O123" i="29"/>
  <c r="O121" i="29"/>
  <c r="N130" i="29"/>
  <c r="N124" i="29"/>
  <c r="N149" i="29" s="1"/>
  <c r="N135" i="29"/>
  <c r="N131" i="29"/>
  <c r="N133" i="29"/>
  <c r="N129" i="29"/>
  <c r="E24" i="37"/>
  <c r="F24" i="37"/>
  <c r="N123" i="29"/>
  <c r="N127" i="29"/>
  <c r="N121" i="29"/>
  <c r="M135" i="29"/>
  <c r="M133" i="29"/>
  <c r="M131" i="29"/>
  <c r="M129" i="29"/>
  <c r="M127" i="29"/>
  <c r="M123" i="29"/>
  <c r="M121" i="29"/>
  <c r="M146" i="29" s="1"/>
  <c r="C34" i="29"/>
  <c r="D34" i="29" s="1"/>
  <c r="E34" i="29" s="1"/>
  <c r="F34" i="29" s="1"/>
  <c r="G34" i="29" s="1"/>
  <c r="H34" i="29" s="1"/>
  <c r="L130" i="29"/>
  <c r="L123" i="29"/>
  <c r="L135" i="29"/>
  <c r="L133" i="29"/>
  <c r="L131" i="29"/>
  <c r="L129" i="29"/>
  <c r="L127" i="29"/>
  <c r="L121" i="29"/>
  <c r="G28" i="37"/>
  <c r="K130" i="29"/>
  <c r="K135" i="29"/>
  <c r="K133" i="29"/>
  <c r="K131" i="29"/>
  <c r="K129" i="29"/>
  <c r="K123" i="29"/>
  <c r="K148" i="29" s="1"/>
  <c r="K127" i="29"/>
  <c r="K121" i="29"/>
  <c r="J130" i="29"/>
  <c r="J135" i="29"/>
  <c r="E112" i="29"/>
  <c r="G112" i="29" s="1"/>
  <c r="I112" i="29" s="1"/>
  <c r="K31" i="35"/>
  <c r="E113" i="29"/>
  <c r="G113" i="29" s="1"/>
  <c r="I113" i="29" s="1"/>
  <c r="K32" i="35"/>
  <c r="E114" i="29"/>
  <c r="G114" i="29" s="1"/>
  <c r="I114" i="29" s="1"/>
  <c r="K33" i="35"/>
  <c r="E111" i="29"/>
  <c r="G111" i="29" s="1"/>
  <c r="I111" i="29" s="1"/>
  <c r="K30" i="35"/>
  <c r="C93" i="29"/>
  <c r="D93" i="29" s="1"/>
  <c r="E93" i="29" s="1"/>
  <c r="J131" i="29"/>
  <c r="J123" i="29"/>
  <c r="J133" i="29"/>
  <c r="J129" i="29"/>
  <c r="J127" i="29"/>
  <c r="J121" i="29"/>
  <c r="C50" i="29"/>
  <c r="H146" i="29"/>
  <c r="E27" i="37"/>
  <c r="C101" i="29"/>
  <c r="D101" i="29" s="1"/>
  <c r="E101" i="29" s="1"/>
  <c r="F101" i="29" s="1"/>
  <c r="G101" i="29" s="1"/>
  <c r="H101" i="29" s="1"/>
  <c r="I101" i="29" s="1"/>
  <c r="J101" i="29" s="1"/>
  <c r="K101" i="29" s="1"/>
  <c r="L101" i="29" s="1"/>
  <c r="M101" i="29" s="1"/>
  <c r="N101" i="29" s="1"/>
  <c r="D50" i="29"/>
  <c r="C33" i="29"/>
  <c r="D33" i="29" s="1"/>
  <c r="F20" i="37"/>
  <c r="B22" i="45"/>
  <c r="F27" i="37"/>
  <c r="F26" i="37"/>
  <c r="F25" i="37"/>
  <c r="E26" i="37"/>
  <c r="E25"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2" i="29"/>
  <c r="D11" i="42"/>
  <c r="J3" i="35"/>
  <c r="L3" i="35"/>
  <c r="I3" i="30"/>
  <c r="K3" i="30"/>
  <c r="H22" i="30" s="1"/>
  <c r="D33" i="42"/>
  <c r="D34" i="42"/>
  <c r="D35" i="42"/>
  <c r="D36" i="42"/>
  <c r="D37" i="42"/>
  <c r="D38" i="42"/>
  <c r="D39" i="42"/>
  <c r="D40" i="42"/>
  <c r="D41" i="42"/>
  <c r="D32" i="42"/>
  <c r="L147" i="29"/>
  <c r="M147" i="29"/>
  <c r="N147" i="29"/>
  <c r="P147" i="29"/>
  <c r="Q147" i="29"/>
  <c r="R147" i="29"/>
  <c r="S147" i="29"/>
  <c r="L148" i="29"/>
  <c r="M148" i="29"/>
  <c r="N148" i="29"/>
  <c r="O148" i="29"/>
  <c r="P148" i="29"/>
  <c r="Q148" i="29"/>
  <c r="R148" i="29"/>
  <c r="S148" i="29"/>
  <c r="L149" i="29"/>
  <c r="M149" i="29"/>
  <c r="O149" i="29"/>
  <c r="Q149" i="29"/>
  <c r="R149" i="29"/>
  <c r="S149" i="29"/>
  <c r="L150" i="29"/>
  <c r="M150" i="29"/>
  <c r="N150" i="29"/>
  <c r="O150" i="29"/>
  <c r="P150" i="29"/>
  <c r="Q150" i="29"/>
  <c r="R150" i="29"/>
  <c r="S150" i="29"/>
  <c r="L151" i="29"/>
  <c r="M151" i="29"/>
  <c r="N151" i="29"/>
  <c r="O151" i="29"/>
  <c r="P151" i="29"/>
  <c r="Q151" i="29"/>
  <c r="R151" i="29"/>
  <c r="S151" i="29"/>
  <c r="N146" i="29"/>
  <c r="O146" i="29"/>
  <c r="P146" i="29"/>
  <c r="R146" i="29"/>
  <c r="S146" i="29"/>
  <c r="F148" i="29"/>
  <c r="F150" i="29"/>
  <c r="F146" i="29"/>
  <c r="E148" i="29"/>
  <c r="E150" i="29"/>
  <c r="E146" i="29"/>
  <c r="B148" i="29"/>
  <c r="B150" i="29"/>
  <c r="B146" i="29"/>
  <c r="B32" i="29"/>
  <c r="D38" i="29"/>
  <c r="C38" i="29"/>
  <c r="B31" i="29"/>
  <c r="E54"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51" i="29"/>
  <c r="K150" i="29"/>
  <c r="K149" i="29"/>
  <c r="K147" i="29"/>
  <c r="K146" i="29"/>
  <c r="G75"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s="1"/>
  <c r="E103" i="29" s="1"/>
  <c r="F103" i="29" s="1"/>
  <c r="G103" i="29" s="1"/>
  <c r="H103" i="29" s="1"/>
  <c r="I103" i="29" s="1"/>
  <c r="J103" i="29" s="1"/>
  <c r="K103" i="29" s="1"/>
  <c r="L103" i="29" s="1"/>
  <c r="M103" i="29" s="1"/>
  <c r="N103" i="29" s="1"/>
  <c r="C102" i="29"/>
  <c r="D102" i="29" s="1"/>
  <c r="E102" i="29" s="1"/>
  <c r="F102" i="29" s="1"/>
  <c r="G102" i="29" s="1"/>
  <c r="H102" i="29" s="1"/>
  <c r="I102" i="29" s="1"/>
  <c r="J102" i="29" s="1"/>
  <c r="K102" i="29" s="1"/>
  <c r="L102" i="29" s="1"/>
  <c r="M102" i="29" s="1"/>
  <c r="N102" i="29" s="1"/>
  <c r="E82" i="29"/>
  <c r="D5" i="35"/>
  <c r="E4" i="35"/>
  <c r="K5" i="35"/>
  <c r="J4" i="35"/>
  <c r="D5" i="37"/>
  <c r="P5" i="37"/>
  <c r="P4" i="37"/>
  <c r="O3" i="37"/>
  <c r="J5" i="30"/>
  <c r="D5" i="30"/>
  <c r="I4" i="30"/>
  <c r="E4" i="30"/>
  <c r="L8" i="37"/>
  <c r="F8" i="37"/>
  <c r="B8" i="37"/>
  <c r="L146" i="29"/>
  <c r="J151" i="29"/>
  <c r="J150" i="29"/>
  <c r="J149" i="29"/>
  <c r="J148" i="29"/>
  <c r="J147" i="29"/>
  <c r="J146" i="29"/>
  <c r="I151" i="29"/>
  <c r="I150" i="29"/>
  <c r="I149" i="29"/>
  <c r="I148" i="29"/>
  <c r="I147" i="29"/>
  <c r="I146" i="29"/>
  <c r="H151" i="29"/>
  <c r="H150" i="29"/>
  <c r="H149" i="29"/>
  <c r="H148" i="29"/>
  <c r="H147" i="29"/>
  <c r="B26" i="37"/>
  <c r="B25" i="37"/>
  <c r="B24" i="37"/>
  <c r="B23" i="37"/>
  <c r="S145" i="29"/>
  <c r="R145" i="29"/>
  <c r="Q145" i="29"/>
  <c r="P145" i="29"/>
  <c r="O145" i="29"/>
  <c r="B22" i="37"/>
  <c r="B21" i="37"/>
  <c r="B20" i="37"/>
  <c r="E58" i="29"/>
  <c r="B27" i="37"/>
  <c r="N145" i="29"/>
  <c r="M145" i="29"/>
  <c r="L145" i="29"/>
  <c r="K145" i="29"/>
  <c r="J145" i="29"/>
  <c r="I145" i="29"/>
  <c r="H145" i="29"/>
  <c r="B36" i="39"/>
  <c r="B34" i="39"/>
  <c r="E57"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E20" i="37"/>
  <c r="B8" i="30"/>
  <c r="D30" i="42"/>
  <c r="D31" i="42"/>
  <c r="D29" i="42"/>
  <c r="B22" i="30"/>
  <c r="I34" i="29" l="1"/>
  <c r="J34" i="29" s="1"/>
  <c r="K34" i="29" s="1"/>
  <c r="L34" i="29" s="1"/>
  <c r="M34" i="29" s="1"/>
  <c r="N34" i="29" s="1"/>
  <c r="B3" i="32"/>
  <c r="H15" i="35"/>
  <c r="E33" i="29"/>
  <c r="D35" i="29"/>
  <c r="R30" i="29"/>
  <c r="K114" i="29"/>
  <c r="J33" i="35"/>
  <c r="L33" i="35" s="1"/>
  <c r="K112" i="29"/>
  <c r="J31" i="35"/>
  <c r="L31" i="35" s="1"/>
  <c r="K111" i="29"/>
  <c r="J30" i="35"/>
  <c r="L30" i="35" s="1"/>
  <c r="J32" i="35"/>
  <c r="L32" i="35" s="1"/>
  <c r="K113" i="29"/>
  <c r="H8" i="30"/>
  <c r="C55" i="29"/>
  <c r="E55" i="29" s="1"/>
  <c r="G27" i="37"/>
  <c r="B7" i="35"/>
  <c r="H26" i="35"/>
  <c r="H7" i="35"/>
  <c r="B15" i="35"/>
  <c r="G25" i="37"/>
  <c r="G26" i="37"/>
  <c r="G24" i="37"/>
  <c r="G20" i="37"/>
  <c r="G21" i="37"/>
  <c r="G23" i="37"/>
  <c r="G22" i="37"/>
  <c r="E35" i="29" l="1"/>
  <c r="R31" i="29"/>
  <c r="F33" i="29"/>
  <c r="G33" i="29" l="1"/>
  <c r="F35" i="29"/>
  <c r="R32" i="29"/>
  <c r="H33" i="29" l="1"/>
  <c r="R33" i="29"/>
  <c r="G35" i="29"/>
  <c r="H35" i="29" l="1"/>
  <c r="I33" i="29"/>
  <c r="R34" i="29"/>
  <c r="I35" i="29" l="1"/>
  <c r="J33" i="29"/>
  <c r="R35" i="29"/>
  <c r="R52" i="29" l="1"/>
  <c r="K33" i="29"/>
  <c r="J35" i="29"/>
  <c r="K35" i="29" l="1"/>
  <c r="L33" i="29"/>
  <c r="R53" i="29"/>
  <c r="L35" i="29" l="1"/>
  <c r="M33" i="29"/>
  <c r="M35" i="29" l="1"/>
  <c r="F50" i="29"/>
  <c r="N33" i="29"/>
  <c r="N35" i="29" s="1"/>
  <c r="O31" i="29" s="1"/>
  <c r="Q5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rPr>
          <t>To define your periods (eg. P1, P2, P3 etc or P9, P10, P11 etc) you need to unprotect the cells.</t>
        </r>
      </text>
    </comment>
    <comment ref="B75" authorId="1" shapeId="0" xr:uid="{00000000-0006-0000-0200-000002000000}">
      <text>
        <r>
          <rPr>
            <b/>
            <sz val="8"/>
            <color indexed="81"/>
            <rFont val="Tahoma"/>
            <family val="2"/>
          </rPr>
          <t xml:space="preserve">If data are not available, do not enter zeros; rather, leave the cells in the table blank. </t>
        </r>
      </text>
    </comment>
    <comment ref="B76" authorId="1" shapeId="0" xr:uid="{00000000-0006-0000-0200-000003000000}">
      <text>
        <r>
          <rPr>
            <b/>
            <sz val="8"/>
            <color indexed="81"/>
            <rFont val="Tahoma"/>
            <family val="2"/>
          </rPr>
          <t>If data are not available, do not enter zeros; rather, leave the cells in this table blank.</t>
        </r>
      </text>
    </comment>
    <comment ref="B82" authorId="0" shapeId="0" xr:uid="{00000000-0006-0000-0200-000004000000}">
      <text>
        <r>
          <rPr>
            <sz val="8"/>
            <color indexed="81"/>
            <rFont val="Tahoma"/>
            <family val="2"/>
          </rPr>
          <t xml:space="preserve">If data are not available, do not enter zeros; rather, leave the cells in this table blank. </t>
        </r>
      </text>
    </comment>
    <comment ref="B97" authorId="0" shapeId="0" xr:uid="{00000000-0006-0000-0200-000005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<sst xmlns="http://schemas.openxmlformats.org/spreadsheetml/2006/main" count="620" uniqueCount="476">
  <si>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</si>
  <si>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</si>
  <si>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</si>
  <si>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</si>
  <si>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</si>
  <si>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</si>
  <si>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</si>
  <si>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</si>
  <si>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</si>
  <si>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</si>
  <si>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</si>
  <si>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</si>
  <si>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</si>
  <si>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</si>
  <si>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</si>
  <si>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</si>
  <si>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</si>
  <si>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</si>
  <si>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</si>
  <si>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</si>
  <si>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</si>
  <si>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</si>
  <si>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</si>
  <si>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</si>
  <si>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</si>
  <si>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</si>
  <si>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</si>
  <si>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</si>
  <si>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</si>
  <si>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</si>
  <si>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</si>
  <si>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</si>
  <si>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</si>
  <si>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</si>
  <si>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</si>
  <si>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</si>
  <si>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</si>
  <si>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</si>
  <si>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</si>
  <si>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</si>
  <si>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</si>
  <si>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</si>
  <si>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</si>
  <si>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</si>
  <si>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</si>
  <si>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</si>
  <si>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</si>
  <si>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</si>
  <si>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</si>
  <si>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</si>
  <si>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</si>
  <si>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</si>
  <si>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</si>
  <si>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</si>
  <si>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</si>
  <si>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</si>
  <si>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</si>
  <si>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</si>
  <si>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</si>
  <si>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</si>
  <si>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</si>
  <si>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</si>
  <si>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</si>
  <si>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</si>
  <si>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</si>
  <si>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</si>
  <si>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</si>
  <si>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</si>
  <si>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</si>
  <si>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</si>
  <si>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</si>
  <si>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</si>
  <si>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</si>
  <si>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</si>
  <si>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</si>
  <si>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</si>
  <si>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</si>
  <si>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</si>
  <si>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</si>
  <si>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</si>
  <si>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</si>
  <si>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</si>
  <si>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</si>
  <si>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</si>
  <si>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</si>
  <si>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</si>
  <si>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</si>
  <si>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</si>
  <si>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</si>
  <si>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</si>
  <si>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</si>
  <si>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</si>
  <si>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</si>
  <si>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</si>
  <si>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</si>
  <si>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</si>
  <si>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</si>
  <si>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</si>
  <si>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</si>
  <si>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</si>
  <si>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</si>
  <si>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</si>
  <si>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</si>
  <si>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</si>
  <si>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</si>
  <si>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</si>
  <si>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</si>
  <si>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</si>
  <si>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</si>
  <si>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</si>
  <si>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</si>
  <si>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</si>
  <si>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</si>
  <si>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</si>
  <si>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</si>
  <si>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</si>
  <si>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</si>
  <si>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</si>
  <si>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</si>
  <si>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</si>
  <si>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</si>
  <si>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</si>
  <si>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</si>
  <si>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</si>
  <si>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</si>
  <si>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</si>
  <si>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</si>
  <si>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</si>
  <si>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</si>
  <si>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</si>
  <si>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</si>
  <si>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</si>
  <si>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</si>
  <si>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</si>
  <si>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</si>
  <si>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</si>
  <si>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</si>
  <si>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</si>
  <si>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</si>
  <si>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</si>
  <si>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</si>
  <si>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</si>
  <si>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</si>
  <si>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</si>
  <si>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</si>
  <si>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</si>
  <si>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</si>
  <si>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</si>
  <si>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</si>
  <si>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</si>
  <si>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</si>
  <si>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</si>
  <si>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</si>
  <si>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</si>
  <si>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</si>
  <si>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</si>
  <si>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</si>
  <si>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</si>
  <si>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</si>
  <si>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</si>
  <si>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</si>
  <si>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</si>
  <si>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</si>
  <si>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</si>
  <si>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</si>
  <si>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</si>
  <si>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</si>
  <si>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</si>
  <si>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</si>
  <si>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</si>
  <si>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</si>
  <si>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</si>
  <si>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</si>
  <si>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</si>
  <si>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</si>
  <si>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</si>
  <si>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</si>
  <si>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</si>
  <si>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</si>
  <si>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</si>
  <si>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</si>
  <si>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</si>
  <si>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</si>
  <si>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</si>
  <si>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</si>
  <si>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</si>
  <si>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</si>
  <si>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</si>
  <si>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</si>
  <si>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</si>
  <si>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</si>
  <si>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</si>
  <si>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</si>
  <si>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</si>
  <si>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</si>
  <si>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</si>
  <si>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</si>
  <si>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</si>
  <si>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</si>
  <si>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</si>
  <si>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</si>
  <si>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</si>
  <si>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</si>
  <si>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</si>
  <si>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</si>
  <si>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</si>
  <si>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</si>
  <si>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</si>
  <si>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</si>
  <si>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</si>
  <si>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</si>
  <si>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</si>
  <si>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</si>
  <si>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</si>
  <si>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</si>
  <si>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</si>
  <si>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</si>
  <si>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</si>
  <si>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</si>
  <si>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</si>
  <si>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</si>
  <si>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</si>
  <si>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</si>
  <si>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</si>
  <si>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</si>
  <si>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</si>
  <si>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</si>
  <si>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</si>
  <si>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</si>
  <si>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</si>
  <si>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</si>
  <si>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</si>
  <si>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</si>
  <si>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</si>
  <si>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</si>
  <si>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</si>
  <si>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</si>
  <si>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</si>
  <si>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</si>
  <si>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</si>
  <si>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</si>
  <si>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</si>
  <si>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</si>
  <si>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</si>
  <si>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</si>
  <si>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</si>
  <si>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</si>
  <si>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</si>
  <si>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</si>
  <si>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</si>
  <si>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</si>
  <si>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</si>
  <si>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</si>
  <si>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</si>
  <si>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</si>
  <si>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</si>
  <si>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</si>
  <si>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</si>
  <si>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</si>
  <si>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</si>
  <si>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</si>
  <si>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</si>
  <si>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</si>
  <si>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</si>
  <si>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</si>
  <si>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</si>
  <si>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</si>
  <si>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</si>
  <si>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</si>
  <si>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</si>
  <si>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</si>
  <si>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</si>
  <si>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</si>
  <si>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</si>
  <si>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</si>
  <si>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</si>
  <si>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</si>
  <si>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</si>
  <si>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</si>
  <si>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</si>
  <si>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</si>
  <si>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</si>
  <si>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</si>
  <si>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</si>
  <si>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</si>
  <si>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</si>
  <si>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</si>
  <si>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</si>
  <si>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</si>
  <si>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</si>
  <si>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</si>
  <si>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</si>
  <si>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</si>
  <si>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</si>
  <si>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</si>
  <si>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</si>
  <si>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</si>
  <si>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</si>
  <si>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</si>
  <si>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</si>
  <si>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</si>
  <si>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</si>
  <si>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</si>
  <si>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</si>
  <si>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</si>
  <si>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</si>
  <si>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</si>
  <si>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</si>
  <si>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</si>
  <si>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</si>
  <si>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</si>
  <si>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</si>
  <si>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</si>
  <si>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</si>
  <si>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</si>
  <si>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</si>
  <si>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</si>
  <si>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</si>
  <si>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</si>
  <si>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</si>
  <si>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</si>
  <si>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</si>
  <si>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</si>
  <si>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</si>
  <si>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</si>
  <si>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</si>
  <si>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</si>
  <si>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</si>
  <si>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</si>
  <si>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</si>
  <si>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</si>
  <si>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</si>
  <si>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</si>
  <si>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</si>
  <si>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</si>
  <si>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</si>
  <si>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</si>
  <si>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</si>
  <si>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</si>
  <si>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</si>
  <si>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</si>
  <si>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</si>
  <si>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</si>
  <si>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</si>
  <si>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</si>
  <si>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</si>
  <si>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</si>
  <si>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</si>
  <si>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</si>
  <si>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</si>
  <si>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</si>
  <si>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</si>
  <si>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</si>
  <si>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</si>
  <si>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</si>
  <si>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</si>
  <si>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</si>
  <si>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</si>
  <si>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</si>
  <si>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</si>
  <si>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</si>
  <si>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</si>
  <si>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</si>
  <si>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</si>
  <si>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</si>
  <si>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</si>
  <si>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</si>
  <si>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</si>
  <si>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</si>
  <si>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</si>
  <si>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</si>
  <si>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</si>
  <si>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</si>
  <si>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</si>
  <si>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</si>
  <si>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</si>
  <si>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</si>
  <si>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</si>
  <si>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</si>
  <si>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</si>
  <si>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</si>
  <si>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</si>
  <si>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</si>
  <si>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</si>
  <si>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</si>
  <si>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</si>
  <si>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</si>
  <si>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</si>
  <si>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</si>
  <si>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</si>
  <si>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</si>
  <si>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</si>
  <si>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</si>
  <si>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</si>
  <si>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</si>
  <si>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</si>
  <si>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</si>
  <si>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</si>
  <si>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</si>
  <si>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</si>
  <si>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</si>
  <si>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</si>
  <si>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</si>
  <si>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</si>
  <si>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</si>
  <si>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</si>
  <si>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</si>
  <si>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</si>
  <si>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</si>
  <si>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</si>
  <si>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</si>
  <si>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</si>
  <si>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</si>
  <si>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</si>
  <si>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</si>
  <si>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</si>
  <si>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</si>
  <si>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</si>
  <si>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</si>
  <si>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</si>
  <si>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</si>
  <si>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</si>
  <si>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</si>
  <si>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</si>
  <si>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</si>
  <si>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</si>
  <si>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</si>
  <si>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</si>
  <si>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</si>
  <si>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</si>
  <si>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</si>
  <si>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</si>
  <si>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</si>
  <si>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</si>
  <si>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</si>
  <si>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</si>
  <si>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</si>
  <si>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</si>
  <si>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</si>
  <si>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</si>
  <si>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</si>
  <si>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</si>
  <si>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</si>
  <si>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</si>
  <si>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</si>
  <si>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</si>
  <si>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</si>
  <si>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</si>
  <si>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</si>
  <si>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</si>
  <si>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</si>
  <si>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</si>
  <si>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</si>
  <si>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</si>
  <si>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</si>
  <si>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</si>
  <si>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</si>
  <si>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</si>
  <si>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</si>
  <si>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</si>
  <si>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Apr- Jun 2018</t>
  </si>
  <si>
    <t>Jul-Sep 2018</t>
  </si>
  <si>
    <t>PMTCT</t>
  </si>
  <si>
    <t>RSSH: National health strategies</t>
  </si>
  <si>
    <t>HIV Testing Services</t>
  </si>
  <si>
    <t>Delivery Schedule managed by agreement with supplier</t>
  </si>
  <si>
    <t>Comprehensive prevention programs for MSM</t>
  </si>
  <si>
    <t>Comprehensive prevention programs for sex workers and their clients</t>
  </si>
  <si>
    <t>Comprehensive prevention programs for people who inject drugs (PWID) and their partners</t>
  </si>
  <si>
    <t>Comprehensive programs for people in prisons and other closed settings</t>
  </si>
  <si>
    <t>RSSH: Health management information systems and M&amp;E</t>
  </si>
  <si>
    <t>Programs to reduce human rights-related barriers to HIV services</t>
  </si>
  <si>
    <t>Subbmitted to Donor after prefilled reporting template was provided</t>
  </si>
  <si>
    <t>Jan-June 2018</t>
  </si>
  <si>
    <t>Jan-Apr 2019</t>
  </si>
  <si>
    <t>Delivered in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</si>
</sst>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2">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rgb="FF000000"/>
      <name val="Calibri"/>
      <family val="2"/>
      <scheme val="minor"/>
    </font>
    <font>
      <sz val="11"/>
      <color theme="0" tint="-0.14999847407452621"/>
      <name val="Calibri"/>
      <family val="2"/>
      <scheme val="minor"/>
    </font>
    <font>
      <sz val="11"/>
      <color rgb="FF0070C0"/>
      <name val="Calibri"/>
      <family val="2"/>
      <scheme val="minor"/>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0"/>
      <name val="Arial"/>
      <family val="2"/>
      <charset val="204"/>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5" fillId="0" borderId="0" applyFont="0" applyFill="0" applyBorder="0" applyAlignment="0" applyProtection="0"/>
    <xf numFmtId="0" fontId="2" fillId="0" borderId="0"/>
  </cellStyleXfs>
  <cellXfs count="969">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0" fontId="133" fillId="0" borderId="0" xfId="0" applyFont="1" applyAlignment="1">
      <alignment horizontal="left" vertical="top"/>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38" fillId="0" borderId="0" xfId="0" applyFont="1" applyBorder="1" applyProtection="1"/>
    <xf numFmtId="0" fontId="138" fillId="0" borderId="0" xfId="0" applyFont="1" applyFill="1" applyBorder="1" applyProtection="1"/>
    <xf numFmtId="0" fontId="138" fillId="0" borderId="0" xfId="0" applyFont="1" applyBorder="1"/>
    <xf numFmtId="0" fontId="139" fillId="0" borderId="0" xfId="0" applyFont="1" applyFill="1" applyBorder="1" applyAlignment="1" applyProtection="1">
      <alignment horizontal="center" vertical="center" wrapText="1"/>
    </xf>
    <xf numFmtId="0" fontId="140" fillId="0" borderId="0" xfId="0"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38" fillId="0" borderId="0" xfId="0" applyFont="1" applyBorder="1" applyAlignment="1" applyProtection="1">
      <alignment horizontal="center" vertical="center"/>
    </xf>
    <xf numFmtId="0" fontId="138" fillId="0" borderId="0" xfId="0" applyFont="1" applyBorder="1" applyAlignment="1">
      <alignment horizontal="center" vertical="center"/>
    </xf>
    <xf numFmtId="15" fontId="138" fillId="0" borderId="0" xfId="0" applyNumberFormat="1" applyFont="1" applyFill="1" applyBorder="1" applyAlignment="1" applyProtection="1">
      <alignment horizontal="center" vertical="center"/>
      <protection locked="0"/>
    </xf>
    <xf numFmtId="0" fontId="138" fillId="0" borderId="0" xfId="0" applyFont="1" applyFill="1" applyBorder="1" applyAlignment="1" applyProtection="1">
      <alignment horizontal="center" vertical="center"/>
      <protection locked="0"/>
    </xf>
    <xf numFmtId="166" fontId="28" fillId="25" borderId="69" xfId="28" applyNumberFormat="1" applyFont="1" applyFill="1" applyBorder="1" applyAlignment="1" applyProtection="1">
      <protection locked="0"/>
    </xf>
    <xf numFmtId="3" fontId="141" fillId="22" borderId="10" xfId="0" applyNumberFormat="1" applyFont="1" applyFill="1" applyBorder="1" applyAlignment="1" applyProtection="1">
      <alignment vertical="center"/>
    </xf>
    <xf numFmtId="3" fontId="141" fillId="23" borderId="10" xfId="0" applyNumberFormat="1" applyFont="1" applyFill="1" applyBorder="1" applyAlignment="1" applyProtection="1">
      <alignment vertical="center"/>
    </xf>
    <xf numFmtId="3" fontId="141" fillId="29" borderId="10" xfId="0" applyNumberFormat="1" applyFont="1" applyFill="1" applyBorder="1" applyAlignment="1" applyProtection="1">
      <alignment vertical="center"/>
    </xf>
    <xf numFmtId="3" fontId="141" fillId="23" borderId="10" xfId="0" applyNumberFormat="1" applyFont="1" applyFill="1" applyBorder="1" applyAlignment="1" applyProtection="1">
      <alignment horizontal="right" vertical="center"/>
    </xf>
    <xf numFmtId="9" fontId="0" fillId="0" borderId="0" xfId="56" applyFont="1"/>
    <xf numFmtId="43" fontId="137" fillId="38" borderId="10" xfId="28" applyFont="1" applyFill="1" applyBorder="1" applyProtection="1">
      <protection locked="0"/>
    </xf>
    <xf numFmtId="166" fontId="137" fillId="38" borderId="10" xfId="28" applyNumberFormat="1" applyFont="1" applyFill="1" applyBorder="1" applyProtection="1">
      <protection locked="0"/>
    </xf>
    <xf numFmtId="166" fontId="137" fillId="38" borderId="10" xfId="28" applyNumberFormat="1" applyFont="1" applyFill="1" applyBorder="1" applyProtection="1"/>
    <xf numFmtId="43" fontId="137" fillId="38" borderId="102" xfId="28" applyNumberFormat="1" applyFont="1" applyFill="1" applyBorder="1" applyProtection="1">
      <protection locked="0"/>
    </xf>
    <xf numFmtId="166" fontId="137" fillId="38" borderId="102" xfId="28" applyNumberFormat="1" applyFont="1" applyFill="1" applyBorder="1" applyProtection="1">
      <protection locked="0"/>
    </xf>
    <xf numFmtId="1" fontId="21" fillId="36" borderId="153" xfId="0" applyNumberFormat="1" applyFont="1" applyFill="1" applyBorder="1" applyAlignment="1" applyProtection="1">
      <alignment horizontal="center" vertical="center"/>
    </xf>
    <xf numFmtId="15" fontId="1" fillId="40" borderId="10" xfId="58" applyNumberFormat="1" applyFont="1" applyFill="1" applyBorder="1" applyAlignment="1" applyProtection="1">
      <alignment horizontal="center"/>
      <protection locked="0"/>
    </xf>
    <xf numFmtId="43" fontId="0" fillId="0" borderId="0" xfId="28" applyFont="1"/>
    <xf numFmtId="0" fontId="0" fillId="0" borderId="0" xfId="0" applyAlignment="1" applyProtection="1">
      <alignment wrapText="1"/>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40" borderId="10" xfId="0" applyNumberFormat="1" applyFont="1" applyFill="1" applyBorder="1" applyAlignment="1" applyProtection="1">
      <alignment horizontal="center"/>
      <protection locked="0"/>
    </xf>
    <xf numFmtId="49" fontId="0" fillId="0" borderId="44"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xf numFmtId="0" fontId="21" fillId="20" borderId="27" xfId="0" applyFont="1" applyFill="1" applyBorder="1" applyAlignment="1" applyProtection="1">
      <alignment horizontal="left" vertical="center"/>
    </xf>
  </cellXfs>
  <cellStyles count="6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Euro" xfId="29" xr:uid="{00000000-0005-0000-0000-00001D000000}"/>
    <cellStyle name="Explanatory Text"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Input" xfId="36" xr:uid="{00000000-0005-0000-0000-000024000000}"/>
    <cellStyle name="Linked Cell" xfId="37" xr:uid="{00000000-0005-0000-0000-000025000000}"/>
    <cellStyle name="Millares 2" xfId="38" xr:uid="{00000000-0005-0000-0000-000026000000}"/>
    <cellStyle name="Normal" xfId="0" builtinId="0"/>
    <cellStyle name="Normal 10" xfId="64" xr:uid="{00000000-0005-0000-0000-000028000000}"/>
    <cellStyle name="Normal 2" xfId="39" xr:uid="{00000000-0005-0000-0000-000029000000}"/>
    <cellStyle name="Normal 2 2" xfId="40" xr:uid="{00000000-0005-0000-0000-00002A000000}"/>
    <cellStyle name="Normal 2 3" xfId="41" xr:uid="{00000000-0005-0000-0000-00002B000000}"/>
    <cellStyle name="Normal 2 4" xfId="42" xr:uid="{00000000-0005-0000-0000-00002C000000}"/>
    <cellStyle name="Normal 2 5" xfId="43" xr:uid="{00000000-0005-0000-0000-00002D000000}"/>
    <cellStyle name="Normal 2 6" xfId="44" xr:uid="{00000000-0005-0000-0000-00002E000000}"/>
    <cellStyle name="Normal 2 7" xfId="45" xr:uid="{00000000-0005-0000-0000-00002F000000}"/>
    <cellStyle name="Normal 2 8" xfId="46" xr:uid="{00000000-0005-0000-0000-000030000000}"/>
    <cellStyle name="Normal 2_Dashboard ver 2.2 ES" xfId="47" xr:uid="{00000000-0005-0000-0000-000031000000}"/>
    <cellStyle name="Normal 2_Prototipo" xfId="48" xr:uid="{00000000-0005-0000-0000-000032000000}"/>
    <cellStyle name="Normal 3" xfId="49" xr:uid="{00000000-0005-0000-0000-000033000000}"/>
    <cellStyle name="Normal 4" xfId="50" xr:uid="{00000000-0005-0000-0000-000034000000}"/>
    <cellStyle name="Normal 5" xfId="51" xr:uid="{00000000-0005-0000-0000-000035000000}"/>
    <cellStyle name="Normal 6" xfId="52" xr:uid="{00000000-0005-0000-0000-000036000000}"/>
    <cellStyle name="Normal_TZ_R3HIV_Phase_2_21_August_08" xfId="53" xr:uid="{00000000-0005-0000-0000-000037000000}"/>
    <cellStyle name="Note" xfId="54" xr:uid="{00000000-0005-0000-0000-000038000000}"/>
    <cellStyle name="Output" xfId="55" xr:uid="{00000000-0005-0000-0000-000039000000}"/>
    <cellStyle name="Percent" xfId="56" builtinId="5"/>
    <cellStyle name="Title" xfId="57" xr:uid="{00000000-0005-0000-0000-00003B000000}"/>
    <cellStyle name="Título 3 3" xfId="58" xr:uid="{00000000-0005-0000-0000-00003C000000}"/>
    <cellStyle name="Título 3 3_Prototipo" xfId="59" xr:uid="{00000000-0005-0000-0000-00003D000000}"/>
    <cellStyle name="Título 3 3_PrototipoRep1" xfId="60" xr:uid="{00000000-0005-0000-0000-00003E000000}"/>
    <cellStyle name="Título 3 7" xfId="61" xr:uid="{00000000-0005-0000-0000-00003F000000}"/>
    <cellStyle name="Warning Text" xfId="62" xr:uid="{00000000-0005-0000-0000-000040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pt idx="11">
                  <c:v>17962183.992709756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16193581.270000001</c:v>
                </c:pt>
                <c:pt idx="11">
                  <c:v>16193581.270000001</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682857616"/>
        <c:axId val="-1683002752"/>
      </c:barChart>
      <c:catAx>
        <c:axId val="-168285761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683002752"/>
        <c:crosses val="autoZero"/>
        <c:auto val="1"/>
        <c:lblAlgn val="ctr"/>
        <c:lblOffset val="100"/>
        <c:tickLblSkip val="1"/>
        <c:tickMarkSkip val="1"/>
        <c:noMultiLvlLbl val="0"/>
      </c:catAx>
      <c:valAx>
        <c:axId val="-16830027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68285761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Entry'!$C$55:$C$58</c:f>
              <c:numCache>
                <c:formatCode>#,##0</c:formatCode>
                <c:ptCount val="4"/>
                <c:pt idx="0">
                  <c:v>15179855.050000001</c:v>
                </c:pt>
                <c:pt idx="1">
                  <c:v>5470027.0134302005</c:v>
                </c:pt>
                <c:pt idx="2">
                  <c:v>7721251.2222006014</c:v>
                </c:pt>
                <c:pt idx="3">
                  <c:v>7867022.7007294204</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Entry'!$D$55:$D$58</c:f>
              <c:numCache>
                <c:formatCode>#,##0</c:formatCode>
                <c:ptCount val="4"/>
                <c:pt idx="0">
                  <c:v>1013726.22</c:v>
                </c:pt>
                <c:pt idx="1">
                  <c:v>204569</c:v>
                </c:pt>
                <c:pt idx="2">
                  <c:v>720807</c:v>
                </c:pt>
                <c:pt idx="3">
                  <c:v>737765.76</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683008192"/>
        <c:axId val="-1864885312"/>
      </c:barChart>
      <c:catAx>
        <c:axId val="-1683008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64885312"/>
        <c:crossesAt val="0"/>
        <c:auto val="1"/>
        <c:lblAlgn val="ctr"/>
        <c:lblOffset val="100"/>
        <c:noMultiLvlLbl val="0"/>
      </c:catAx>
      <c:valAx>
        <c:axId val="-186488531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8300819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Comprehensive prevention programs for MSM</c:v>
                </c:pt>
                <c:pt idx="1">
                  <c:v>Comprehensive prevention programs for sex workers and their clients</c:v>
                </c:pt>
                <c:pt idx="2">
                  <c:v>Comprehensive prevention programs for people who inject drugs (PWID) and their partners</c:v>
                </c:pt>
                <c:pt idx="3">
                  <c:v>Comprehensive programs for people in prisons and other closed settings</c:v>
                </c:pt>
                <c:pt idx="4">
                  <c:v>Treatment, care and support</c:v>
                </c:pt>
              </c:strCache>
            </c:strRef>
          </c:cat>
          <c:val>
            <c:numRef>
              <c:f>'Data Entry'!$C$39:$C$43</c:f>
              <c:numCache>
                <c:formatCode>#,##0</c:formatCode>
                <c:ptCount val="5"/>
                <c:pt idx="0">
                  <c:v>1569304.9617611337</c:v>
                </c:pt>
                <c:pt idx="1">
                  <c:v>973406.22567925486</c:v>
                </c:pt>
                <c:pt idx="2">
                  <c:v>5835580.2155774627</c:v>
                </c:pt>
                <c:pt idx="3">
                  <c:v>194992.5988234547</c:v>
                </c:pt>
                <c:pt idx="4">
                  <c:v>5536871.6349155242</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Comprehensive prevention programs for MSM</c:v>
                </c:pt>
                <c:pt idx="1">
                  <c:v>Comprehensive prevention programs for sex workers and their clients</c:v>
                </c:pt>
                <c:pt idx="2">
                  <c:v>Comprehensive prevention programs for people who inject drugs (PWID) and their partners</c:v>
                </c:pt>
                <c:pt idx="3">
                  <c:v>Comprehensive programs for people in prisons and other closed settings</c:v>
                </c:pt>
                <c:pt idx="4">
                  <c:v>Treatment, care and support</c:v>
                </c:pt>
              </c:strCache>
            </c:strRef>
          </c:cat>
          <c:val>
            <c:numRef>
              <c:f>'Data Entry'!$D$39:$D$43</c:f>
              <c:numCache>
                <c:formatCode>#,##0</c:formatCode>
                <c:ptCount val="5"/>
                <c:pt idx="0">
                  <c:v>3577322.4002393009</c:v>
                </c:pt>
                <c:pt idx="1">
                  <c:v>1305172.1254930482</c:v>
                </c:pt>
                <c:pt idx="2">
                  <c:v>1028172.7884601942</c:v>
                </c:pt>
                <c:pt idx="3">
                  <c:v>3204695.1508214842</c:v>
                </c:pt>
                <c:pt idx="4">
                  <c:v>1662709.5095767083</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771239968"/>
        <c:axId val="-771238880"/>
      </c:barChart>
      <c:catAx>
        <c:axId val="-77123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771238880"/>
        <c:crosses val="autoZero"/>
        <c:auto val="1"/>
        <c:lblAlgn val="ctr"/>
        <c:lblOffset val="100"/>
        <c:tickMarkSkip val="1"/>
        <c:noMultiLvlLbl val="0"/>
      </c:catAx>
      <c:valAx>
        <c:axId val="-771238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77123996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Entry'!$C$82</c:f>
              <c:numCache>
                <c:formatCode>General</c:formatCode>
                <c:ptCount val="1"/>
                <c:pt idx="0">
                  <c:v>16</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865561216"/>
        <c:axId val="-1681939792"/>
      </c:barChart>
      <c:catAx>
        <c:axId val="-1865561216"/>
        <c:scaling>
          <c:orientation val="minMax"/>
        </c:scaling>
        <c:delete val="1"/>
        <c:axPos val="l"/>
        <c:majorTickMark val="out"/>
        <c:minorTickMark val="none"/>
        <c:tickLblPos val="nextTo"/>
        <c:crossAx val="-1681939792"/>
        <c:crosses val="autoZero"/>
        <c:auto val="1"/>
        <c:lblAlgn val="ctr"/>
        <c:lblOffset val="100"/>
        <c:noMultiLvlLbl val="0"/>
      </c:catAx>
      <c:valAx>
        <c:axId val="-16819397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865561216"/>
        <c:crosses val="max"/>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Entry'!$C$87</c:f>
              <c:numCache>
                <c:formatCode>General</c:formatCode>
                <c:ptCount val="1"/>
                <c:pt idx="0">
                  <c:v>7</c:v>
                </c:pt>
              </c:numCache>
            </c:numRef>
          </c:val>
          <c:extLst>
            <c:ext xmlns:c16="http://schemas.microsoft.com/office/drawing/2014/chart" uri="{C3380CC4-5D6E-409C-BE32-E72D297353CC}">
              <c16:uniqueId val="{00000000-E986-4D8E-B9A2-30C0E039D4A6}"/>
            </c:ext>
          </c:extLst>
        </c:ser>
        <c:dLbls>
          <c:showLegendKey val="0"/>
          <c:showVal val="0"/>
          <c:showCatName val="0"/>
          <c:showSerName val="0"/>
          <c:showPercent val="0"/>
          <c:showBubbleSize val="0"/>
        </c:dLbls>
        <c:gapWidth val="150"/>
        <c:overlap val="-20"/>
        <c:axId val="-1681253936"/>
        <c:axId val="-1681567200"/>
      </c:barChart>
      <c:catAx>
        <c:axId val="-1681253936"/>
        <c:scaling>
          <c:orientation val="minMax"/>
        </c:scaling>
        <c:delete val="0"/>
        <c:axPos val="b"/>
        <c:majorTickMark val="none"/>
        <c:minorTickMark val="none"/>
        <c:tickLblPos val="none"/>
        <c:spPr>
          <a:ln w="3175">
            <a:solidFill>
              <a:srgbClr val="000000"/>
            </a:solidFill>
            <a:prstDash val="solid"/>
          </a:ln>
        </c:spPr>
        <c:crossAx val="-1681567200"/>
        <c:crosses val="autoZero"/>
        <c:auto val="0"/>
        <c:lblAlgn val="ctr"/>
        <c:lblOffset val="100"/>
        <c:tickMarkSkip val="1"/>
        <c:noMultiLvlLbl val="0"/>
      </c:catAx>
      <c:valAx>
        <c:axId val="-1681567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81253936"/>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Entry'!$D$74</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Entry'!$D$75:$D$76</c:f>
              <c:numCache>
                <c:formatCode>0</c:formatCode>
                <c:ptCount val="2"/>
                <c:pt idx="0">
                  <c:v>8</c:v>
                </c:pt>
              </c:numCache>
            </c:numRef>
          </c:val>
          <c:extLst>
            <c:ext xmlns:c16="http://schemas.microsoft.com/office/drawing/2014/chart" uri="{C3380CC4-5D6E-409C-BE32-E72D297353CC}">
              <c16:uniqueId val="{00000000-7D77-426D-8180-9FF2722F8EBA}"/>
            </c:ext>
          </c:extLst>
        </c:ser>
        <c:ser>
          <c:idx val="1"/>
          <c:order val="1"/>
          <c:tx>
            <c:strRef>
              <c:f>'Data Entry'!$E$74</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Entry'!$E$75:$E$76</c:f>
              <c:numCache>
                <c:formatCode>0</c:formatCode>
                <c:ptCount val="2"/>
                <c:pt idx="0">
                  <c:v>0</c:v>
                </c:pt>
              </c:numCache>
            </c:numRef>
          </c:val>
          <c:extLst>
            <c:ext xmlns:c16="http://schemas.microsoft.com/office/drawing/2014/chart" uri="{C3380CC4-5D6E-409C-BE32-E72D297353CC}">
              <c16:uniqueId val="{00000001-7D77-426D-8180-9FF2722F8EBA}"/>
            </c:ext>
          </c:extLst>
        </c:ser>
        <c:ser>
          <c:idx val="2"/>
          <c:order val="2"/>
          <c:tx>
            <c:strRef>
              <c:f>'Data Entry'!$F$74</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Entry'!$F$75:$F$76</c:f>
              <c:numCache>
                <c:formatCode>0</c:formatCode>
                <c:ptCount val="2"/>
                <c:pt idx="0">
                  <c:v>0</c:v>
                </c:pt>
              </c:numCache>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662459760"/>
        <c:axId val="-662457584"/>
      </c:barChart>
      <c:catAx>
        <c:axId val="-662459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457584"/>
        <c:crosses val="autoZero"/>
        <c:auto val="1"/>
        <c:lblAlgn val="ctr"/>
        <c:lblOffset val="100"/>
        <c:tickLblSkip val="1"/>
        <c:tickMarkSkip val="1"/>
        <c:noMultiLvlLbl val="0"/>
      </c:catAx>
      <c:valAx>
        <c:axId val="-6624575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459760"/>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Entry'!$D$91</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Entry'!$B$92:$B$93</c:f>
              <c:strCache>
                <c:ptCount val="2"/>
                <c:pt idx="0">
                  <c:v>SSR to SR</c:v>
                </c:pt>
                <c:pt idx="1">
                  <c:v>SRs to PR</c:v>
                </c:pt>
              </c:strCache>
            </c:strRef>
          </c:cat>
          <c:val>
            <c:numRef>
              <c:f>'Data Entry'!$D$92:$D$93</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Entry'!$E$91</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Entry'!$B$92:$B$93</c:f>
              <c:strCache>
                <c:ptCount val="2"/>
                <c:pt idx="0">
                  <c:v>SSR to SR</c:v>
                </c:pt>
                <c:pt idx="1">
                  <c:v>SRs to PR</c:v>
                </c:pt>
              </c:strCache>
            </c:strRef>
          </c:cat>
          <c:val>
            <c:numRef>
              <c:f>'Data Entry'!$E$92:$E$93</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662444528"/>
        <c:axId val="-662446160"/>
      </c:barChart>
      <c:catAx>
        <c:axId val="-6624445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62446160"/>
        <c:crosses val="autoZero"/>
        <c:auto val="1"/>
        <c:lblAlgn val="ctr"/>
        <c:lblOffset val="100"/>
        <c:noMultiLvlLbl val="0"/>
      </c:catAx>
      <c:valAx>
        <c:axId val="-66244616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6244452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Entry'!$B$101</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Entry'!$C$101:$N$101</c:f>
              <c:numCache>
                <c:formatCode>#,##0</c:formatCode>
                <c:ptCount val="12"/>
                <c:pt idx="0">
                  <c:v>621513.13962743431</c:v>
                </c:pt>
                <c:pt idx="1">
                  <c:v>894948.3368873836</c:v>
                </c:pt>
                <c:pt idx="2">
                  <c:v>951421.42044623208</c:v>
                </c:pt>
                <c:pt idx="3">
                  <c:v>2168363.0973183746</c:v>
                </c:pt>
                <c:pt idx="4">
                  <c:v>2286006.2399684167</c:v>
                </c:pt>
                <c:pt idx="5">
                  <c:v>2777337.8103684168</c:v>
                </c:pt>
                <c:pt idx="6">
                  <c:v>2933320.8094779006</c:v>
                </c:pt>
                <c:pt idx="7">
                  <c:v>3384750.8848053254</c:v>
                </c:pt>
                <c:pt idx="8">
                  <c:v>3828142.1613331926</c:v>
                </c:pt>
                <c:pt idx="9">
                  <c:v>4318455.4938331926</c:v>
                </c:pt>
                <c:pt idx="10">
                  <c:v>4433829.3846037257</c:v>
                </c:pt>
                <c:pt idx="11">
                  <c:v>4909342.1605901774</c:v>
                </c:pt>
              </c:numCache>
            </c:numRef>
          </c:val>
          <c:smooth val="0"/>
          <c:extLst>
            <c:ext xmlns:c16="http://schemas.microsoft.com/office/drawing/2014/chart" uri="{C3380CC4-5D6E-409C-BE32-E72D297353CC}">
              <c16:uniqueId val="{00000000-842A-4717-9F14-C1424E821776}"/>
            </c:ext>
          </c:extLst>
        </c:ser>
        <c:ser>
          <c:idx val="1"/>
          <c:order val="1"/>
          <c:tx>
            <c:strRef>
              <c:f>'Data Entry'!$B$102</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Entry'!$C$102:$N$102</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2855050.2909227828</c:v>
                </c:pt>
                <c:pt idx="8">
                  <c:v>3346557.6902574161</c:v>
                </c:pt>
                <c:pt idx="9">
                  <c:v>3818511.6902574161</c:v>
                </c:pt>
                <c:pt idx="10">
                  <c:v>4248501.5360625731</c:v>
                </c:pt>
                <c:pt idx="11">
                  <c:v>4248501.5360625731</c:v>
                </c:pt>
              </c:numCache>
            </c:numRef>
          </c:val>
          <c:smooth val="0"/>
          <c:extLst>
            <c:ext xmlns:c16="http://schemas.microsoft.com/office/drawing/2014/chart" uri="{C3380CC4-5D6E-409C-BE32-E72D297353CC}">
              <c16:uniqueId val="{00000001-842A-4717-9F14-C1424E821776}"/>
            </c:ext>
          </c:extLst>
        </c:ser>
        <c:ser>
          <c:idx val="2"/>
          <c:order val="2"/>
          <c:tx>
            <c:strRef>
              <c:f>'Data Entry'!$B$103</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Entry'!$C$103:$N$103</c:f>
              <c:numCache>
                <c:formatCode>#,##0</c:formatCode>
                <c:ptCount val="12"/>
                <c:pt idx="0">
                  <c:v>579569.05894063821</c:v>
                </c:pt>
                <c:pt idx="1">
                  <c:v>790694.85894063814</c:v>
                </c:pt>
                <c:pt idx="2">
                  <c:v>1208639.8589406381</c:v>
                </c:pt>
                <c:pt idx="3">
                  <c:v>1870218.8589406381</c:v>
                </c:pt>
                <c:pt idx="4">
                  <c:v>2122543.8589406381</c:v>
                </c:pt>
                <c:pt idx="5">
                  <c:v>2765047.8589406381</c:v>
                </c:pt>
                <c:pt idx="6">
                  <c:v>2917854.8589406381</c:v>
                </c:pt>
                <c:pt idx="7">
                  <c:v>3363349.8589406381</c:v>
                </c:pt>
                <c:pt idx="8">
                  <c:v>3533185.8589406381</c:v>
                </c:pt>
                <c:pt idx="9">
                  <c:v>4103192.8589406381</c:v>
                </c:pt>
                <c:pt idx="10">
                  <c:v>4341873.8589406386</c:v>
                </c:pt>
                <c:pt idx="11">
                  <c:v>4341873.8589406386</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662436368"/>
        <c:axId val="-662458128"/>
      </c:lineChart>
      <c:catAx>
        <c:axId val="-66243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62458128"/>
        <c:crosses val="autoZero"/>
        <c:auto val="1"/>
        <c:lblAlgn val="ctr"/>
        <c:lblOffset val="100"/>
        <c:tickLblSkip val="1"/>
        <c:tickMarkSkip val="1"/>
        <c:noMultiLvlLbl val="0"/>
      </c:catAx>
      <c:valAx>
        <c:axId val="-6624581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662436368"/>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Entry'!$G$123</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pt idx="7" formatCode="#,##0">
                  <c:v>4250</c:v>
                </c:pt>
                <c:pt idx="8" formatCode="#,##0">
                  <c:v>6375</c:v>
                </c:pt>
                <c:pt idx="9" formatCode="#,##0">
                  <c:v>8500</c:v>
                </c:pt>
                <c:pt idx="10" formatCode="#,##0">
                  <c:v>2081.25</c:v>
                </c:pt>
              </c:numCache>
            </c:numRef>
          </c:val>
          <c:extLst>
            <c:ext xmlns:c16="http://schemas.microsoft.com/office/drawing/2014/chart" uri="{C3380CC4-5D6E-409C-BE32-E72D297353CC}">
              <c16:uniqueId val="{00000000-28ED-4437-92EF-FD6AED73C63F}"/>
            </c:ext>
          </c:extLst>
        </c:ser>
        <c:ser>
          <c:idx val="1"/>
          <c:order val="1"/>
          <c:tx>
            <c:strRef>
              <c:f>'Data Entry'!$G$124</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_(* #,##0_);_(* \(#,##0\);_(* "-"??_);_(@_)</c:formatCode>
                <c:ptCount val="12"/>
                <c:pt idx="0">
                  <c:v>3167</c:v>
                </c:pt>
                <c:pt idx="1">
                  <c:v>3826</c:v>
                </c:pt>
                <c:pt idx="2" formatCode="#,##0">
                  <c:v>1383</c:v>
                </c:pt>
                <c:pt idx="3" formatCode="#,##0">
                  <c:v>2314</c:v>
                </c:pt>
                <c:pt idx="4" formatCode="#,##0">
                  <c:v>3126</c:v>
                </c:pt>
                <c:pt idx="5" formatCode="#,##0">
                  <c:v>3846</c:v>
                </c:pt>
                <c:pt idx="6" formatCode="#,##0">
                  <c:v>1857</c:v>
                </c:pt>
                <c:pt idx="7" formatCode="#,##0">
                  <c:v>3464</c:v>
                </c:pt>
                <c:pt idx="8" formatCode="#,##0">
                  <c:v>5523</c:v>
                </c:pt>
                <c:pt idx="9" formatCode="#,##0">
                  <c:v>7104</c:v>
                </c:pt>
                <c:pt idx="10" formatCode="#,##0">
                  <c:v>2404</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662450512"/>
        <c:axId val="-662459216"/>
      </c:barChart>
      <c:catAx>
        <c:axId val="-66245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662459216"/>
        <c:crosses val="autoZero"/>
        <c:auto val="1"/>
        <c:lblAlgn val="ctr"/>
        <c:lblOffset val="100"/>
        <c:tickLblSkip val="1"/>
        <c:tickMarkSkip val="1"/>
        <c:noMultiLvlLbl val="0"/>
      </c:catAx>
      <c:valAx>
        <c:axId val="-6624592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62450512"/>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Entry'!$G$125</c:f>
              <c:strCache>
                <c:ptCount val="1"/>
                <c:pt idx="0">
                  <c:v>Target</c:v>
                </c:pt>
              </c:strCache>
            </c:strRef>
          </c:tx>
          <c:spPr>
            <a:solidFill>
              <a:srgbClr val="0066CC"/>
            </a:solidFill>
            <a:ln w="25400">
              <a:noFill/>
            </a:ln>
          </c:spPr>
          <c:invertIfNegative val="0"/>
          <c:val>
            <c:numRef>
              <c:f>'Data Entry'!$H$125:$S$125</c:f>
              <c:numCache>
                <c:formatCode>_(* #,##0_);_(* \(#,##0\);_(* "-"??_);_(@_)</c:formatCode>
                <c:ptCount val="12"/>
                <c:pt idx="0">
                  <c:v>4000</c:v>
                </c:pt>
                <c:pt idx="1">
                  <c:v>4000</c:v>
                </c:pt>
                <c:pt idx="2" formatCode="#,##0">
                  <c:v>4550</c:v>
                </c:pt>
                <c:pt idx="3" formatCode="#,##0">
                  <c:v>4550</c:v>
                </c:pt>
                <c:pt idx="4" formatCode="#,##0">
                  <c:v>4550</c:v>
                </c:pt>
                <c:pt idx="5" formatCode="#,##0">
                  <c:v>4550</c:v>
                </c:pt>
                <c:pt idx="6" formatCode="#,##0">
                  <c:v>5100</c:v>
                </c:pt>
                <c:pt idx="7" formatCode="#,##0">
                  <c:v>5100</c:v>
                </c:pt>
                <c:pt idx="8" formatCode="#,##0">
                  <c:v>5100</c:v>
                </c:pt>
                <c:pt idx="9" formatCode="#,##0">
                  <c:v>5100</c:v>
                </c:pt>
                <c:pt idx="10" formatCode="#,##0">
                  <c:v>5500</c:v>
                </c:pt>
              </c:numCache>
            </c:numRef>
          </c:val>
          <c:extLst>
            <c:ext xmlns:c16="http://schemas.microsoft.com/office/drawing/2014/chart" uri="{C3380CC4-5D6E-409C-BE32-E72D297353CC}">
              <c16:uniqueId val="{00000000-9988-4901-B1D9-331495B7A130}"/>
            </c:ext>
          </c:extLst>
        </c:ser>
        <c:ser>
          <c:idx val="1"/>
          <c:order val="1"/>
          <c:tx>
            <c:strRef>
              <c:f>'Data Entry'!$G$126</c:f>
              <c:strCache>
                <c:ptCount val="1"/>
                <c:pt idx="0">
                  <c:v>Achieved </c:v>
                </c:pt>
              </c:strCache>
            </c:strRef>
          </c:tx>
          <c:spPr>
            <a:solidFill>
              <a:srgbClr val="00CCFF"/>
            </a:solidFill>
            <a:ln w="12700">
              <a:solidFill>
                <a:srgbClr val="000000"/>
              </a:solidFill>
              <a:prstDash val="solid"/>
            </a:ln>
          </c:spPr>
          <c:invertIfNegative val="0"/>
          <c:val>
            <c:numRef>
              <c:f>'Data Entry'!$H$126:$S$126</c:f>
              <c:numCache>
                <c:formatCode>_(* #,##0_);_(* \(#,##0\);_(* "-"??_);_(@_)</c:formatCode>
                <c:ptCount val="12"/>
                <c:pt idx="0">
                  <c:v>3518</c:v>
                </c:pt>
                <c:pt idx="1">
                  <c:v>3638</c:v>
                </c:pt>
                <c:pt idx="2" formatCode="#,##0">
                  <c:v>3786</c:v>
                </c:pt>
                <c:pt idx="3" formatCode="#,##0">
                  <c:v>3899</c:v>
                </c:pt>
                <c:pt idx="4" formatCode="#,##0">
                  <c:v>4100</c:v>
                </c:pt>
                <c:pt idx="5" formatCode="#,##0">
                  <c:v>4144</c:v>
                </c:pt>
                <c:pt idx="6" formatCode="#,##0">
                  <c:v>4260</c:v>
                </c:pt>
                <c:pt idx="7" formatCode="#,##0">
                  <c:v>4365</c:v>
                </c:pt>
                <c:pt idx="8" formatCode="#,##0">
                  <c:v>4468</c:v>
                </c:pt>
                <c:pt idx="9" formatCode="#,##0">
                  <c:v>4597</c:v>
                </c:pt>
                <c:pt idx="10" formatCode="#,##0">
                  <c:v>4136</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662445616"/>
        <c:axId val="-662448880"/>
      </c:barChart>
      <c:catAx>
        <c:axId val="-662445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662448880"/>
        <c:crosses val="autoZero"/>
        <c:auto val="1"/>
        <c:lblAlgn val="ctr"/>
        <c:lblOffset val="100"/>
        <c:tickLblSkip val="1"/>
        <c:tickMarkSkip val="1"/>
        <c:noMultiLvlLbl val="0"/>
      </c:catAx>
      <c:valAx>
        <c:axId val="-6624488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62445616"/>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pt idx="7" formatCode="#,##0">
                  <c:v>15750</c:v>
                </c:pt>
                <c:pt idx="8" formatCode="#,##0">
                  <c:v>23625</c:v>
                </c:pt>
                <c:pt idx="9" formatCode="#,##0">
                  <c:v>31500</c:v>
                </c:pt>
                <c:pt idx="10" formatCode="#,##0">
                  <c:v>8531.25</c:v>
                </c:pt>
              </c:numCache>
            </c:numRef>
          </c:val>
          <c:extLst>
            <c:ext xmlns:c16="http://schemas.microsoft.com/office/drawing/2014/chart" uri="{C3380CC4-5D6E-409C-BE32-E72D297353CC}">
              <c16:uniqueId val="{00000000-3D57-445C-8E51-0A45B747288A}"/>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pt idx="7" formatCode="#,##0">
                  <c:v>11859</c:v>
                </c:pt>
                <c:pt idx="8" formatCode="#,##0">
                  <c:v>23914</c:v>
                </c:pt>
                <c:pt idx="9" formatCode="#,##0">
                  <c:v>24421</c:v>
                </c:pt>
                <c:pt idx="10" formatCode="#,##0">
                  <c:v>8173</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662447248"/>
        <c:axId val="-662446704"/>
      </c:barChart>
      <c:catAx>
        <c:axId val="-662447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662446704"/>
        <c:crosses val="autoZero"/>
        <c:auto val="1"/>
        <c:lblAlgn val="ctr"/>
        <c:lblOffset val="100"/>
        <c:tickLblSkip val="1"/>
        <c:tickMarkSkip val="1"/>
        <c:noMultiLvlLbl val="0"/>
      </c:catAx>
      <c:valAx>
        <c:axId val="-662446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6244724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16193581.270000001</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662442896"/>
        <c:axId val="-662441264"/>
      </c:areaChart>
      <c:catAx>
        <c:axId val="-66244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662441264"/>
        <c:crosses val="autoZero"/>
        <c:auto val="1"/>
        <c:lblAlgn val="ctr"/>
        <c:lblOffset val="100"/>
        <c:tickLblSkip val="8"/>
        <c:tickMarkSkip val="1"/>
        <c:noMultiLvlLbl val="0"/>
      </c:catAx>
      <c:valAx>
        <c:axId val="-66244126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6244289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48</xdr:row>
      <xdr:rowOff>165100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49</xdr:row>
      <xdr:rowOff>101600</xdr:rowOff>
    </xdr:from>
    <xdr:to>
      <xdr:col>4</xdr:col>
      <xdr:colOff>1219200</xdr:colOff>
      <xdr:row>49</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9" connectionId="0">
    <xmlCellPr id="1" xr6:uid="{00000000-0010-0000-3700-000001000000}" uniqueName="1">
      <xmlPr mapId="43" xpath="/ns1:Root/ns1:F2/ns1:_Cumulative_Budget__in___" xmlDataType="string"/>
    </xmlCellPr>
  </singleXmlCell>
  <singleXmlCell id="475" xr6:uid="{00000000-000C-0000-FFFF-FFFF38000000}" r="D49" connectionId="0">
    <xmlCellPr id="1" xr6:uid="{00000000-0010-0000-3800-000001000000}" uniqueName="1">
      <xmlPr mapId="43" xpath="/ns1:Root/ns1:F2/ns1:_Cumulative_Expenditures__in___" xmlDataType="string"/>
    </xmlCellPr>
  </singleXmlCell>
  <singleXmlCell id="476" xr6:uid="{00000000-000C-0000-FFFF-FFFF39000000}" r="C55" connectionId="0">
    <xmlCellPr id="1" xr6:uid="{00000000-0010-0000-3900-000001000000}" uniqueName="1">
      <xmlPr mapId="43" xpath="/ns1:Root/ns1:F3/ns1:Disbursed_by_Global_Fund_Prior_to_reporting_period__in___" xmlDataType="double"/>
    </xmlCellPr>
  </singleXmlCell>
  <singleXmlCell id="477" xr6:uid="{00000000-000C-0000-FFFF-FFFF3A000000}" r="D55" connectionId="0">
    <xmlCellPr id="1" xr6:uid="{00000000-0010-0000-3A00-000001000000}" uniqueName="1">
      <xmlPr mapId="43" xpath="/ns1:Root/ns1:F3/ns1:Disbursed_by_Global_Fund_Reporting_period__in___" xmlDataType="double"/>
    </xmlCellPr>
  </singleXmlCell>
  <singleXmlCell id="478" xr6:uid="{00000000-000C-0000-FFFF-FFFF3B000000}" r="C56"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6" connectionId="0">
    <xmlCellPr id="1" xr6:uid="{00000000-0010-0000-3C00-000001000000}" uniqueName="1">
      <xmlPr mapId="43" xpath="/ns1:Root/ns1:F3/ns1:PR_expenditure_and_disbursement_Reporting_period__in___" xmlDataType="double"/>
    </xmlCellPr>
  </singleXmlCell>
  <singleXmlCell id="480" xr6:uid="{00000000-000C-0000-FFFF-FFFF3D000000}" r="C57" connectionId="0">
    <xmlCellPr id="1" xr6:uid="{00000000-0010-0000-3D00-000001000000}" uniqueName="1">
      <xmlPr mapId="43" xpath="/ns1:Root/ns1:F3/ns1:Disbursed_to_SRs_Prior_to_reporting_period__in___" xmlDataType="double"/>
    </xmlCellPr>
  </singleXmlCell>
  <singleXmlCell id="481" xr6:uid="{00000000-000C-0000-FFFF-FFFF3E000000}" r="D57" connectionId="0">
    <xmlCellPr id="1" xr6:uid="{00000000-0010-0000-3E00-000001000000}" uniqueName="1">
      <xmlPr mapId="43" xpath="/ns1:Root/ns1:F3/ns1:Disbursed_to_SRs_Reporting_period__in___" xmlDataType="double"/>
    </xmlCellPr>
  </singleXmlCell>
  <singleXmlCell id="482" xr6:uid="{00000000-000C-0000-FFFF-FFFF3F000000}" r="C58" connectionId="0">
    <xmlCellPr id="1" xr6:uid="{00000000-0010-0000-3F00-000001000000}" uniqueName="1">
      <xmlPr mapId="43" xpath="/ns1:Root/ns1:F3/ns1:SR_expenditures_Prior_to_reporting_period__in___" xmlDataType="double"/>
    </xmlCellPr>
  </singleXmlCell>
  <singleXmlCell id="483" xr6:uid="{00000000-000C-0000-FFFF-FFFF40000000}" r="D58" connectionId="0">
    <xmlCellPr id="1" xr6:uid="{00000000-0010-0000-4000-000001000000}" uniqueName="1">
      <xmlPr mapId="43" xpath="/ns1:Root/ns1:F3/ns1:SR_expenditures_Reporting_period__in___" xmlDataType="double"/>
    </xmlCellPr>
  </singleXmlCell>
  <singleXmlCell id="484" xr6:uid="{00000000-000C-0000-FFFF-FFFF41000000}" r="C65" connectionId="0">
    <xmlCellPr id="1" xr6:uid="{00000000-0010-0000-4100-000001000000}" uniqueName="1">
      <xmlPr mapId="43" xpath="/ns1:Root/ns1:F4/ns1:Days_taken_to_submit_acceptable_PU_DR_to_LFA_Expected__days_" xmlDataType="double"/>
    </xmlCellPr>
  </singleXmlCell>
  <singleXmlCell id="485" xr6:uid="{00000000-000C-0000-FFFF-FFFF42000000}" r="D65" connectionId="0">
    <xmlCellPr id="1" xr6:uid="{00000000-0010-0000-4200-000001000000}" uniqueName="1">
      <xmlPr mapId="43" xpath="/ns1:Root/ns1:F4/ns1:Days_taken_to_submit_acceptable_PU_DR_to_LFA_Actual__days_" xmlDataType="double"/>
    </xmlCellPr>
  </singleXmlCell>
  <singleXmlCell id="486" xr6:uid="{00000000-000C-0000-FFFF-FFFF43000000}" r="C66" connectionId="0">
    <xmlCellPr id="1" xr6:uid="{00000000-0010-0000-4300-000001000000}" uniqueName="1">
      <xmlPr mapId="43" xpath="/ns1:Root/ns1:F4/ns1:Days_taken_for_disbursement_to_reach_PR_Expected__days_" xmlDataType="double"/>
    </xmlCellPr>
  </singleXmlCell>
  <singleXmlCell id="487" xr6:uid="{00000000-000C-0000-FFFF-FFFF44000000}" r="D66" connectionId="0">
    <xmlCellPr id="1" xr6:uid="{00000000-0010-0000-4400-000001000000}" uniqueName="1">
      <xmlPr mapId="43" xpath="/ns1:Root/ns1:F4/ns1:Days_taken_for_disbursement_to_reach_PR_Actual__days_" xmlDataType="double"/>
    </xmlCellPr>
  </singleXmlCell>
  <singleXmlCell id="488" xr6:uid="{00000000-000C-0000-FFFF-FFFF45000000}" r="C67" connectionId="0">
    <xmlCellPr id="1" xr6:uid="{00000000-0010-0000-4500-000001000000}" uniqueName="1">
      <xmlPr mapId="43" xpath="/ns1:Root/ns1:F4/ns1:Days_taken_for_disbursement_to_reach_SRs__Expected__days_" xmlDataType="double"/>
    </xmlCellPr>
  </singleXmlCell>
  <singleXmlCell id="489" xr6:uid="{00000000-000C-0000-FFFF-FFFF46000000}" r="D67" connectionId="0">
    <xmlCellPr id="1" xr6:uid="{00000000-0010-0000-4600-000001000000}" uniqueName="1">
      <xmlPr mapId="43" xpath="/ns1:Root/ns1:F4/ns1:Days_taken_for_disbursement_to_reach_SRs__Actual__days_" xmlDataType="double"/>
    </xmlCellPr>
  </singleXmlCell>
  <singleXmlCell id="490" xr6:uid="{00000000-000C-0000-FFFF-FFFF47000000}" r="B75" connectionId="0">
    <xmlCellPr id="1" xr6:uid="{00000000-0010-0000-4700-000001000000}" uniqueName="1">
      <xmlPr mapId="43" xpath="/ns1:Root/ns1:M1/ns1:Conditions_precedents__CPs__" xmlDataType="string"/>
    </xmlCellPr>
  </singleXmlCell>
  <singleXmlCell id="491" xr6:uid="{00000000-000C-0000-FFFF-FFFF48000000}" r="D75" connectionId="0">
    <xmlCellPr id="1" xr6:uid="{00000000-0010-0000-4800-000001000000}" uniqueName="1">
      <xmlPr mapId="43" xpath="/ns1:Root/ns1:M1/ns1:Conditions_precedents__CPs__Fulfilled" xmlDataType="double"/>
    </xmlCellPr>
  </singleXmlCell>
  <singleXmlCell id="492" xr6:uid="{00000000-000C-0000-FFFF-FFFF49000000}" r="E75"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5"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6" connectionId="0">
    <xmlCellPr id="1" xr6:uid="{00000000-0010-0000-4B00-000001000000}" uniqueName="1">
      <xmlPr mapId="43" xpath="/ns1:Root/ns1:M1/ns1:Time_Bound_Actions__TBAs__" xmlDataType="string"/>
    </xmlCellPr>
  </singleXmlCell>
  <singleXmlCell id="495" xr6:uid="{00000000-000C-0000-FFFF-FFFF4C000000}" r="D76" connectionId="0">
    <xmlCellPr id="1" xr6:uid="{00000000-0010-0000-4C00-000001000000}" uniqueName="1">
      <xmlPr mapId="43" xpath="/ns1:Root/ns1:M1/ns1:Time_Bound_Actions__TBAs__Fulfilled" xmlDataType="double"/>
    </xmlCellPr>
  </singleXmlCell>
  <singleXmlCell id="496" xr6:uid="{00000000-000C-0000-FFFF-FFFF4D000000}" r="E76" connectionId="0">
    <xmlCellPr id="1" xr6:uid="{00000000-0010-0000-4D00-000001000000}" uniqueName="1">
      <xmlPr mapId="43" xpath="/ns1:Root/ns1:M1/ns1:Time_Bound_Actions__TBAs__Not_fulfilled__but_within_deadline" xmlDataType="string"/>
    </xmlCellPr>
  </singleXmlCell>
  <singleXmlCell id="497" xr6:uid="{00000000-000C-0000-FFFF-FFFF4E000000}" r="F76"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82" connectionId="0">
    <xmlCellPr id="1" xr6:uid="{00000000-0010-0000-4F00-000001000000}" uniqueName="1">
      <xmlPr mapId="43" xpath="/ns1:Root/ns1:M2/ns1:PMU_Planned" xmlDataType="double"/>
    </xmlCellPr>
  </singleXmlCell>
  <singleXmlCell id="499" xr6:uid="{00000000-000C-0000-FFFF-FFFF50000000}" r="D82" connectionId="0">
    <xmlCellPr id="1" xr6:uid="{00000000-0010-0000-5000-000001000000}" uniqueName="1">
      <xmlPr mapId="43" xpath="/ns1:Root/ns1:M2/ns1:PMU_Filled" xmlDataType="double"/>
    </xmlCellPr>
  </singleXmlCell>
  <singleXmlCell id="500" xr6:uid="{00000000-000C-0000-FFFF-FFFF51000000}" r="C87" connectionId="0">
    <xmlCellPr id="1" xr6:uid="{00000000-0010-0000-5100-000001000000}" uniqueName="1">
      <xmlPr mapId="43" xpath="/ns1:Root/ns1:M3/ns1:SRs_Identified" xmlDataType="double"/>
    </xmlCellPr>
  </singleXmlCell>
  <singleXmlCell id="501" xr6:uid="{00000000-000C-0000-FFFF-FFFF52000000}" r="D87" connectionId="0">
    <xmlCellPr id="1" xr6:uid="{00000000-0010-0000-5200-000001000000}" uniqueName="1">
      <xmlPr mapId="43" xpath="/ns1:Root/ns1:M3/ns1:SRs_Assessed" xmlDataType="double"/>
    </xmlCellPr>
  </singleXmlCell>
  <singleXmlCell id="502" xr6:uid="{00000000-000C-0000-FFFF-FFFF53000000}" r="E87" connectionId="0">
    <xmlCellPr id="1" xr6:uid="{00000000-0010-0000-5300-000001000000}" uniqueName="1">
      <xmlPr mapId="43" xpath="/ns1:Root/ns1:M3/ns1:SRs_Approved" xmlDataType="double"/>
    </xmlCellPr>
  </singleXmlCell>
  <singleXmlCell id="503" xr6:uid="{00000000-000C-0000-FFFF-FFFF54000000}" r="F87" connectionId="0">
    <xmlCellPr id="1" xr6:uid="{00000000-0010-0000-5400-000001000000}" uniqueName="1">
      <xmlPr mapId="43" xpath="/ns1:Root/ns1:M3/ns1:SRs_Signed" xmlDataType="double"/>
    </xmlCellPr>
  </singleXmlCell>
  <singleXmlCell id="504" xr6:uid="{00000000-000C-0000-FFFF-FFFF55000000}" r="G87" connectionId="0">
    <xmlCellPr id="1" xr6:uid="{00000000-0010-0000-5500-000001000000}" uniqueName="1">
      <xmlPr mapId="43" xpath="/ns1:Root/ns1:M3/ns1:SRs_Receiving_Funding" xmlDataType="double"/>
    </xmlCellPr>
  </singleXmlCell>
  <singleXmlCell id="506" xr6:uid="{00000000-000C-0000-FFFF-FFFF56000000}" r="C92" connectionId="0">
    <xmlCellPr id="1" xr6:uid="{00000000-0010-0000-5600-000001000000}" uniqueName="1">
      <xmlPr mapId="43" xpath="/ns1:Root/ns1:M4/ns1:SSR_to_SR__IR_____Expected" xmlDataType="string"/>
    </xmlCellPr>
  </singleXmlCell>
  <singleXmlCell id="507" xr6:uid="{00000000-000C-0000-FFFF-FFFF57000000}" r="D92" connectionId="0">
    <xmlCellPr id="1" xr6:uid="{00000000-0010-0000-5700-000001000000}" uniqueName="1">
      <xmlPr mapId="43" xpath="/ns1:Root/ns1:M4/ns1:SSR_to_SR__IR____Received" xmlDataType="string"/>
    </xmlCellPr>
  </singleXmlCell>
  <singleXmlCell id="509" xr6:uid="{00000000-000C-0000-FFFF-FFFF58000000}" r="C93" connectionId="0">
    <xmlCellPr id="1" xr6:uid="{00000000-0010-0000-5800-000001000000}" uniqueName="1">
      <xmlPr mapId="43" xpath="/ns1:Root/ns1:M4/ns1:SRs__IRs__to_PR____Expected" xmlDataType="double"/>
    </xmlCellPr>
  </singleXmlCell>
  <singleXmlCell id="510" xr6:uid="{00000000-000C-0000-FFFF-FFFF59000000}" r="D93" connectionId="0">
    <xmlCellPr id="1" xr6:uid="{00000000-0010-0000-5900-000001000000}" uniqueName="1">
      <xmlPr mapId="43" xpath="/ns1:Root/ns1:M4/ns1:SRs__IRs__to_PR___Received" xmlDataType="double"/>
    </xmlCellPr>
  </singleXmlCell>
  <singleXmlCell id="511" xr6:uid="{00000000-000C-0000-FFFF-FFFF5A000000}" r="C98" connectionId="0">
    <xmlCellPr id="1" xr6:uid="{00000000-0010-0000-5A00-000001000000}" uniqueName="1">
      <xmlPr mapId="43" xpath="/ns1:Root/ns1:M5/ns1:Budget_Approved__P1" xmlDataType="double"/>
    </xmlCellPr>
  </singleXmlCell>
  <singleXmlCell id="512" xr6:uid="{00000000-000C-0000-FFFF-FFFF5B000000}" r="D98" connectionId="0">
    <xmlCellPr id="1" xr6:uid="{00000000-0010-0000-5B00-000001000000}" uniqueName="1">
      <xmlPr mapId="43" xpath="/ns1:Root/ns1:M5/ns1:Budget_Approved__P2" xmlDataType="double"/>
    </xmlCellPr>
  </singleXmlCell>
  <singleXmlCell id="513" xr6:uid="{00000000-000C-0000-FFFF-FFFF5C000000}" r="E98" connectionId="0">
    <xmlCellPr id="1" xr6:uid="{00000000-0010-0000-5C00-000001000000}" uniqueName="1">
      <xmlPr mapId="43" xpath="/ns1:Root/ns1:M5/ns1:Budget_Approved__P3" xmlDataType="double"/>
    </xmlCellPr>
  </singleXmlCell>
  <singleXmlCell id="514" xr6:uid="{00000000-000C-0000-FFFF-FFFF5D000000}" r="F98" connectionId="0">
    <xmlCellPr id="1" xr6:uid="{00000000-0010-0000-5D00-000001000000}" uniqueName="1">
      <xmlPr mapId="43" xpath="/ns1:Root/ns1:M5/ns1:Budget_Approved__P4" xmlDataType="double"/>
    </xmlCellPr>
  </singleXmlCell>
  <singleXmlCell id="515" xr6:uid="{00000000-000C-0000-FFFF-FFFF5E000000}" r="G98" connectionId="0">
    <xmlCellPr id="1" xr6:uid="{00000000-0010-0000-5E00-000001000000}" uniqueName="1">
      <xmlPr mapId="43" xpath="/ns1:Root/ns1:M5/ns1:Budget_Approved__P5" xmlDataType="double"/>
    </xmlCellPr>
  </singleXmlCell>
  <singleXmlCell id="516" xr6:uid="{00000000-000C-0000-FFFF-FFFF5F000000}" r="H98" connectionId="0">
    <xmlCellPr id="1" xr6:uid="{00000000-0010-0000-5F00-000001000000}" uniqueName="1">
      <xmlPr mapId="43" xpath="/ns1:Root/ns1:M5/ns1:Budget_Approved__P6" xmlDataType="double"/>
    </xmlCellPr>
  </singleXmlCell>
  <singleXmlCell id="517" xr6:uid="{00000000-000C-0000-FFFF-FFFF60000000}" r="I98" connectionId="0">
    <xmlCellPr id="1" xr6:uid="{00000000-0010-0000-6000-000001000000}" uniqueName="1">
      <xmlPr mapId="43" xpath="/ns1:Root/ns1:M5/ns1:Budget_Approved__P7" xmlDataType="double"/>
    </xmlCellPr>
  </singleXmlCell>
  <singleXmlCell id="518" xr6:uid="{00000000-000C-0000-FFFF-FFFF61000000}" r="J98" connectionId="0">
    <xmlCellPr id="1" xr6:uid="{00000000-0010-0000-6100-000001000000}" uniqueName="1">
      <xmlPr mapId="43" xpath="/ns1:Root/ns1:M5/ns1:Budget_Approved__P8" xmlDataType="double"/>
    </xmlCellPr>
  </singleXmlCell>
  <singleXmlCell id="519" xr6:uid="{00000000-000C-0000-FFFF-FFFF62000000}" r="K98" connectionId="0">
    <xmlCellPr id="1" xr6:uid="{00000000-0010-0000-6200-000001000000}" uniqueName="1">
      <xmlPr mapId="43" xpath="/ns1:Root/ns1:M5/ns1:Budget_Approved__P9" xmlDataType="double"/>
    </xmlCellPr>
  </singleXmlCell>
  <singleXmlCell id="520" xr6:uid="{00000000-000C-0000-FFFF-FFFF63000000}" r="L98" connectionId="0">
    <xmlCellPr id="1" xr6:uid="{00000000-0010-0000-6300-000001000000}" uniqueName="1">
      <xmlPr mapId="43" xpath="/ns1:Root/ns1:M5/ns1:Budget_Approved__P10" xmlDataType="double"/>
    </xmlCellPr>
  </singleXmlCell>
  <singleXmlCell id="521" xr6:uid="{00000000-000C-0000-FFFF-FFFF64000000}" r="M98" connectionId="0">
    <xmlCellPr id="1" xr6:uid="{00000000-0010-0000-6400-000001000000}" uniqueName="1">
      <xmlPr mapId="43" xpath="/ns1:Root/ns1:M5/ns1:Budget_Approved__P11" xmlDataType="double"/>
    </xmlCellPr>
  </singleXmlCell>
  <singleXmlCell id="522" xr6:uid="{00000000-000C-0000-FFFF-FFFF65000000}" r="N98" connectionId="0">
    <xmlCellPr id="1" xr6:uid="{00000000-0010-0000-6500-000001000000}" uniqueName="1">
      <xmlPr mapId="43" xpath="/ns1:Root/ns1:M5/ns1:Budget_Approved__P12" xmlDataType="double"/>
    </xmlCellPr>
  </singleXmlCell>
  <singleXmlCell id="523" xr6:uid="{00000000-000C-0000-FFFF-FFFF66000000}" r="C99" connectionId="0">
    <xmlCellPr id="1" xr6:uid="{00000000-0010-0000-6600-000001000000}" uniqueName="1">
      <xmlPr mapId="43" xpath="/ns1:Root/ns1:M5/ns1:Obligations_P1" xmlDataType="double"/>
    </xmlCellPr>
  </singleXmlCell>
  <singleXmlCell id="524" xr6:uid="{00000000-000C-0000-FFFF-FFFF67000000}" r="D99" connectionId="0">
    <xmlCellPr id="1" xr6:uid="{00000000-0010-0000-6700-000001000000}" uniqueName="1">
      <xmlPr mapId="43" xpath="/ns1:Root/ns1:M5/ns1:Obligations_P2" xmlDataType="double"/>
    </xmlCellPr>
  </singleXmlCell>
  <singleXmlCell id="525" xr6:uid="{00000000-000C-0000-FFFF-FFFF68000000}" r="E99" connectionId="0">
    <xmlCellPr id="1" xr6:uid="{00000000-0010-0000-6800-000001000000}" uniqueName="1">
      <xmlPr mapId="43" xpath="/ns1:Root/ns1:M5/ns1:Obligations_P3" xmlDataType="double"/>
    </xmlCellPr>
  </singleXmlCell>
  <singleXmlCell id="526" xr6:uid="{00000000-000C-0000-FFFF-FFFF69000000}" r="F99" connectionId="0">
    <xmlCellPr id="1" xr6:uid="{00000000-0010-0000-6900-000001000000}" uniqueName="1">
      <xmlPr mapId="43" xpath="/ns1:Root/ns1:M5/ns1:Obligations_P4" xmlDataType="double"/>
    </xmlCellPr>
  </singleXmlCell>
  <singleXmlCell id="527" xr6:uid="{00000000-000C-0000-FFFF-FFFF6A000000}" r="G99" connectionId="0">
    <xmlCellPr id="1" xr6:uid="{00000000-0010-0000-6A00-000001000000}" uniqueName="1">
      <xmlPr mapId="43" xpath="/ns1:Root/ns1:M5/ns1:Obligations_P5" xmlDataType="double"/>
    </xmlCellPr>
  </singleXmlCell>
  <singleXmlCell id="528" xr6:uid="{00000000-000C-0000-FFFF-FFFF6B000000}" r="H99" connectionId="0">
    <xmlCellPr id="1" xr6:uid="{00000000-0010-0000-6B00-000001000000}" uniqueName="1">
      <xmlPr mapId="43" xpath="/ns1:Root/ns1:M5/ns1:Obligations_P6" xmlDataType="double"/>
    </xmlCellPr>
  </singleXmlCell>
  <singleXmlCell id="529" xr6:uid="{00000000-000C-0000-FFFF-FFFF6C000000}" r="I99" connectionId="0">
    <xmlCellPr id="1" xr6:uid="{00000000-0010-0000-6C00-000001000000}" uniqueName="1">
      <xmlPr mapId="43" xpath="/ns1:Root/ns1:M5/ns1:Obligations_P7" xmlDataType="double"/>
    </xmlCellPr>
  </singleXmlCell>
  <singleXmlCell id="530" xr6:uid="{00000000-000C-0000-FFFF-FFFF6D000000}" r="J99" connectionId="0">
    <xmlCellPr id="1" xr6:uid="{00000000-0010-0000-6D00-000001000000}" uniqueName="1">
      <xmlPr mapId="43" xpath="/ns1:Root/ns1:M5/ns1:Obligations_P8" xmlDataType="double"/>
    </xmlCellPr>
  </singleXmlCell>
  <singleXmlCell id="531" xr6:uid="{00000000-000C-0000-FFFF-FFFF6E000000}" r="K99" connectionId="0">
    <xmlCellPr id="1" xr6:uid="{00000000-0010-0000-6E00-000001000000}" uniqueName="1">
      <xmlPr mapId="43" xpath="/ns1:Root/ns1:M5/ns1:Obligations_P9" xmlDataType="double"/>
    </xmlCellPr>
  </singleXmlCell>
  <singleXmlCell id="532" xr6:uid="{00000000-000C-0000-FFFF-FFFF6F000000}" r="L99" connectionId="0">
    <xmlCellPr id="1" xr6:uid="{00000000-0010-0000-6F00-000001000000}" uniqueName="1">
      <xmlPr mapId="43" xpath="/ns1:Root/ns1:M5/ns1:Obligations_P10" xmlDataType="double"/>
    </xmlCellPr>
  </singleXmlCell>
  <singleXmlCell id="533" xr6:uid="{00000000-000C-0000-FFFF-FFFF70000000}" r="M99" connectionId="0">
    <xmlCellPr id="1" xr6:uid="{00000000-0010-0000-7000-000001000000}" uniqueName="1">
      <xmlPr mapId="43" xpath="/ns1:Root/ns1:M5/ns1:Obligations_P11" xmlDataType="double"/>
    </xmlCellPr>
  </singleXmlCell>
  <singleXmlCell id="534" xr6:uid="{00000000-000C-0000-FFFF-FFFF71000000}" r="N99" connectionId="0">
    <xmlCellPr id="1" xr6:uid="{00000000-0010-0000-7100-000001000000}" uniqueName="1">
      <xmlPr mapId="43" xpath="/ns1:Root/ns1:M5/ns1:Obligations_P12" xmlDataType="double"/>
    </xmlCellPr>
  </singleXmlCell>
  <singleXmlCell id="535" xr6:uid="{00000000-000C-0000-FFFF-FFFF72000000}" r="C100" connectionId="0">
    <xmlCellPr id="1" xr6:uid="{00000000-0010-0000-7200-000001000000}" uniqueName="1">
      <xmlPr mapId="43" xpath="/ns1:Root/ns1:M5/ns1:Expenditures_P1" xmlDataType="double"/>
    </xmlCellPr>
  </singleXmlCell>
  <singleXmlCell id="536" xr6:uid="{00000000-000C-0000-FFFF-FFFF73000000}" r="D100" connectionId="0">
    <xmlCellPr id="1" xr6:uid="{00000000-0010-0000-7300-000001000000}" uniqueName="1">
      <xmlPr mapId="43" xpath="/ns1:Root/ns1:M5/ns1:Expenditures_P2" xmlDataType="double"/>
    </xmlCellPr>
  </singleXmlCell>
  <singleXmlCell id="537" xr6:uid="{00000000-000C-0000-FFFF-FFFF74000000}" r="E100" connectionId="0">
    <xmlCellPr id="1" xr6:uid="{00000000-0010-0000-7400-000001000000}" uniqueName="1">
      <xmlPr mapId="43" xpath="/ns1:Root/ns1:M5/ns1:Expenditures_P3" xmlDataType="double"/>
    </xmlCellPr>
  </singleXmlCell>
  <singleXmlCell id="538" xr6:uid="{00000000-000C-0000-FFFF-FFFF75000000}" r="F100" connectionId="0">
    <xmlCellPr id="1" xr6:uid="{00000000-0010-0000-7500-000001000000}" uniqueName="1">
      <xmlPr mapId="43" xpath="/ns1:Root/ns1:M5/ns1:Expenditures_P4" xmlDataType="double"/>
    </xmlCellPr>
  </singleXmlCell>
  <singleXmlCell id="539" xr6:uid="{00000000-000C-0000-FFFF-FFFF76000000}" r="G100" connectionId="0">
    <xmlCellPr id="1" xr6:uid="{00000000-0010-0000-7600-000001000000}" uniqueName="1">
      <xmlPr mapId="43" xpath="/ns1:Root/ns1:M5/ns1:Expenditures_P5" xmlDataType="double"/>
    </xmlCellPr>
  </singleXmlCell>
  <singleXmlCell id="540" xr6:uid="{00000000-000C-0000-FFFF-FFFF77000000}" r="H100" connectionId="0">
    <xmlCellPr id="1" xr6:uid="{00000000-0010-0000-7700-000001000000}" uniqueName="1">
      <xmlPr mapId="43" xpath="/ns1:Root/ns1:M5/ns1:Expenditures_P6" xmlDataType="double"/>
    </xmlCellPr>
  </singleXmlCell>
  <singleXmlCell id="541" xr6:uid="{00000000-000C-0000-FFFF-FFFF78000000}" r="I100" connectionId="0">
    <xmlCellPr id="1" xr6:uid="{00000000-0010-0000-7800-000001000000}" uniqueName="1">
      <xmlPr mapId="43" xpath="/ns1:Root/ns1:M5/ns1:Expenditures_P7" xmlDataType="double"/>
    </xmlCellPr>
  </singleXmlCell>
  <singleXmlCell id="542" xr6:uid="{00000000-000C-0000-FFFF-FFFF79000000}" r="J100" connectionId="0">
    <xmlCellPr id="1" xr6:uid="{00000000-0010-0000-7900-000001000000}" uniqueName="1">
      <xmlPr mapId="43" xpath="/ns1:Root/ns1:M5/ns1:Expenditures_P8" xmlDataType="double"/>
    </xmlCellPr>
  </singleXmlCell>
  <singleXmlCell id="543" xr6:uid="{00000000-000C-0000-FFFF-FFFF7A000000}" r="K100" connectionId="0">
    <xmlCellPr id="1" xr6:uid="{00000000-0010-0000-7A00-000001000000}" uniqueName="1">
      <xmlPr mapId="43" xpath="/ns1:Root/ns1:M5/ns1:Expenditures_P9" xmlDataType="double"/>
    </xmlCellPr>
  </singleXmlCell>
  <singleXmlCell id="544" xr6:uid="{00000000-000C-0000-FFFF-FFFF7B000000}" r="L100" connectionId="0">
    <xmlCellPr id="1" xr6:uid="{00000000-0010-0000-7B00-000001000000}" uniqueName="1">
      <xmlPr mapId="43" xpath="/ns1:Root/ns1:M5/ns1:Expenditures_P10" xmlDataType="double"/>
    </xmlCellPr>
  </singleXmlCell>
  <singleXmlCell id="545" xr6:uid="{00000000-000C-0000-FFFF-FFFF7C000000}" r="M100" connectionId="0">
    <xmlCellPr id="1" xr6:uid="{00000000-0010-0000-7C00-000001000000}" uniqueName="1">
      <xmlPr mapId="43" xpath="/ns1:Root/ns1:M5/ns1:Expenditures_P11" xmlDataType="double"/>
    </xmlCellPr>
  </singleXmlCell>
  <singleXmlCell id="546" xr6:uid="{00000000-000C-0000-FFFF-FFFF7D000000}" r="N100" connectionId="0">
    <xmlCellPr id="1" xr6:uid="{00000000-0010-0000-7D00-000001000000}" uniqueName="1">
      <xmlPr mapId="43" xpath="/ns1:Root/ns1:M5/ns1:Expenditures_P12" xmlDataType="double"/>
    </xmlCellPr>
  </singleXmlCell>
  <singleXmlCell id="547" xr6:uid="{00000000-000C-0000-FFFF-FFFF7E000000}" r="C111" connectionId="0">
    <xmlCellPr id="1" xr6:uid="{00000000-0010-0000-7E00-000001000000}" uniqueName="1">
      <xmlPr mapId="43" xpath="/ns1:Root/ns1:M6/ns1:HIV___AIDS_Products" xmlDataType="string"/>
    </xmlCellPr>
  </singleXmlCell>
  <singleXmlCell id="548" xr6:uid="{00000000-000C-0000-FFFF-FFFF7F000000}" r="D111"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11" connectionId="0">
    <xmlCellPr id="1" xr6:uid="{00000000-0010-0000-8000-000001000000}" uniqueName="1">
      <xmlPr mapId="43" xpath="/ns1:Root/ns1:M6/ns1:HIV___AIDS__3__Total_patients_in_treatment" xmlDataType="double"/>
    </xmlCellPr>
  </singleXmlCell>
  <singleXmlCell id="550" xr6:uid="{00000000-000C-0000-FFFF-FFFF81000000}" r="H111"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11"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12" connectionId="0">
    <xmlCellPr id="1" xr6:uid="{00000000-0010-0000-8300-000001000000}" uniqueName="1">
      <xmlPr mapId="43" xpath="/ns1:Root/ns1:M6/ns1:_Products_1" xmlDataType="string"/>
    </xmlCellPr>
  </singleXmlCell>
  <singleXmlCell id="553" xr6:uid="{00000000-000C-0000-FFFF-FFFF84000000}" r="D112"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12" connectionId="0">
    <xmlCellPr id="1" xr6:uid="{00000000-0010-0000-8500-000001000000}" uniqueName="1">
      <xmlPr mapId="43" xpath="/ns1:Root/ns1:M6/ns1:__3__Total_patients_in_treatment_1" xmlDataType="double"/>
    </xmlCellPr>
  </singleXmlCell>
  <singleXmlCell id="555" xr6:uid="{00000000-000C-0000-FFFF-FFFF86000000}" r="H112"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12"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3" connectionId="0">
    <xmlCellPr id="1" xr6:uid="{00000000-0010-0000-8800-000001000000}" uniqueName="1">
      <xmlPr mapId="43" xpath="/ns1:Root/ns1:M6/ns1:_Products_2" xmlDataType="string"/>
    </xmlCellPr>
  </singleXmlCell>
  <singleXmlCell id="558" xr6:uid="{00000000-000C-0000-FFFF-FFFF89000000}" r="D113"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3" connectionId="0">
    <xmlCellPr id="1" xr6:uid="{00000000-0010-0000-8A00-000001000000}" uniqueName="1">
      <xmlPr mapId="43" xpath="/ns1:Root/ns1:M6/ns1:__3__Total_patients_in_treatment_2" xmlDataType="double"/>
    </xmlCellPr>
  </singleXmlCell>
  <singleXmlCell id="560" xr6:uid="{00000000-000C-0000-FFFF-FFFF8B000000}" r="H113"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3"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4" connectionId="0">
    <xmlCellPr id="1" xr6:uid="{00000000-0010-0000-8D00-000001000000}" uniqueName="1">
      <xmlPr mapId="43" xpath="/ns1:Root/ns1:M6/ns1:_Products" xmlDataType="string"/>
    </xmlCellPr>
  </singleXmlCell>
  <singleXmlCell id="563" xr6:uid="{00000000-000C-0000-FFFF-FFFF8E000000}" r="D114"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4" connectionId="0">
    <xmlCellPr id="1" xr6:uid="{00000000-0010-0000-8F00-000001000000}" uniqueName="1">
      <xmlPr mapId="43" xpath="/ns1:Root/ns1:M6/ns1:__3__Total_patients_in_treatment" xmlDataType="double"/>
    </xmlCellPr>
  </singleXmlCell>
  <singleXmlCell id="565" xr6:uid="{00000000-000C-0000-FFFF-FFFF90000000}" r="H114"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4"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21" connectionId="0">
    <xmlCellPr id="1" xr6:uid="{00000000-0010-0000-9200-000001000000}" uniqueName="1">
      <xmlPr mapId="43" xpath="/ns1:Root/ns1:Prog/ns1:Target_P1_1" xmlDataType="double"/>
    </xmlCellPr>
  </singleXmlCell>
  <singleXmlCell id="568" xr6:uid="{00000000-000C-0000-FFFF-FFFF93000000}" r="I121" connectionId="0">
    <xmlCellPr id="1" xr6:uid="{00000000-0010-0000-9300-000001000000}" uniqueName="1">
      <xmlPr mapId="43" xpath="/ns1:Root/ns1:Prog/ns1:Target_P2_1" xmlDataType="double"/>
    </xmlCellPr>
  </singleXmlCell>
  <singleXmlCell id="569" xr6:uid="{00000000-000C-0000-FFFF-FFFF94000000}" r="J121" connectionId="0">
    <xmlCellPr id="1" xr6:uid="{00000000-0010-0000-9400-000001000000}" uniqueName="1">
      <xmlPr mapId="43" xpath="/ns1:Root/ns1:Prog/ns1:Target_P3_1" xmlDataType="double"/>
    </xmlCellPr>
  </singleXmlCell>
  <singleXmlCell id="570" xr6:uid="{00000000-000C-0000-FFFF-FFFF95000000}" r="K121" connectionId="0">
    <xmlCellPr id="1" xr6:uid="{00000000-0010-0000-9500-000001000000}" uniqueName="1">
      <xmlPr mapId="43" xpath="/ns1:Root/ns1:Prog/ns1:Target_P4_1" xmlDataType="double"/>
    </xmlCellPr>
  </singleXmlCell>
  <singleXmlCell id="571" xr6:uid="{00000000-000C-0000-FFFF-FFFF96000000}" r="L121" connectionId="0">
    <xmlCellPr id="1" xr6:uid="{00000000-0010-0000-9600-000001000000}" uniqueName="1">
      <xmlPr mapId="43" xpath="/ns1:Root/ns1:Prog/ns1:Target_P5_1" xmlDataType="double"/>
    </xmlCellPr>
  </singleXmlCell>
  <singleXmlCell id="572" xr6:uid="{00000000-000C-0000-FFFF-FFFF97000000}" r="M121" connectionId="0">
    <xmlCellPr id="1" xr6:uid="{00000000-0010-0000-9700-000001000000}" uniqueName="1">
      <xmlPr mapId="43" xpath="/ns1:Root/ns1:Prog/ns1:Target_P6_1" xmlDataType="double"/>
    </xmlCellPr>
  </singleXmlCell>
  <singleXmlCell id="573" xr6:uid="{00000000-000C-0000-FFFF-FFFF98000000}" r="N121" connectionId="0">
    <xmlCellPr id="1" xr6:uid="{00000000-0010-0000-9800-000001000000}" uniqueName="1">
      <xmlPr mapId="43" xpath="/ns1:Root/ns1:Prog/ns1:Target_P7_1" xmlDataType="double"/>
    </xmlCellPr>
  </singleXmlCell>
  <singleXmlCell id="574" xr6:uid="{00000000-000C-0000-FFFF-FFFF99000000}" r="O121" connectionId="0">
    <xmlCellPr id="1" xr6:uid="{00000000-0010-0000-9900-000001000000}" uniqueName="1">
      <xmlPr mapId="43" xpath="/ns1:Root/ns1:Prog/ns1:Target_P8_1" xmlDataType="double"/>
    </xmlCellPr>
  </singleXmlCell>
  <singleXmlCell id="575" xr6:uid="{00000000-000C-0000-FFFF-FFFF9A000000}" r="P121" connectionId="0">
    <xmlCellPr id="1" xr6:uid="{00000000-0010-0000-9A00-000001000000}" uniqueName="1">
      <xmlPr mapId="43" xpath="/ns1:Root/ns1:Prog/ns1:Target_P9_1" xmlDataType="double"/>
    </xmlCellPr>
  </singleXmlCell>
  <singleXmlCell id="576" xr6:uid="{00000000-000C-0000-FFFF-FFFF9B000000}" r="Q121" connectionId="0">
    <xmlCellPr id="1" xr6:uid="{00000000-0010-0000-9B00-000001000000}" uniqueName="1">
      <xmlPr mapId="43" xpath="/ns1:Root/ns1:Prog/ns1:Target_P10_1" xmlDataType="double"/>
    </xmlCellPr>
  </singleXmlCell>
  <singleXmlCell id="577" xr6:uid="{00000000-000C-0000-FFFF-FFFF9C000000}" r="R121" connectionId="0">
    <xmlCellPr id="1" xr6:uid="{00000000-0010-0000-9C00-000001000000}" uniqueName="1">
      <xmlPr mapId="43" xpath="/ns1:Root/ns1:Prog/ns1:Target_P11_1" xmlDataType="double"/>
    </xmlCellPr>
  </singleXmlCell>
  <singleXmlCell id="578" xr6:uid="{00000000-000C-0000-FFFF-FFFF9D000000}" r="S121" connectionId="0">
    <xmlCellPr id="1" xr6:uid="{00000000-0010-0000-9D00-000001000000}" uniqueName="1">
      <xmlPr mapId="43" xpath="/ns1:Root/ns1:Prog/ns1:Target_P12_1" xmlDataType="double"/>
    </xmlCellPr>
  </singleXmlCell>
  <singleXmlCell id="579" xr6:uid="{00000000-000C-0000-FFFF-FFFF9E000000}" r="H122" connectionId="0">
    <xmlCellPr id="1" xr6:uid="{00000000-0010-0000-9E00-000001000000}" uniqueName="1">
      <xmlPr mapId="43" xpath="/ns1:Root/ns1:Prog/ns1:Achieved__P1_1" xmlDataType="double"/>
    </xmlCellPr>
  </singleXmlCell>
  <singleXmlCell id="580" xr6:uid="{00000000-000C-0000-FFFF-FFFF9F000000}" r="I122" connectionId="0">
    <xmlCellPr id="1" xr6:uid="{00000000-0010-0000-9F00-000001000000}" uniqueName="1">
      <xmlPr mapId="43" xpath="/ns1:Root/ns1:Prog/ns1:Achieved__P2_1" xmlDataType="double"/>
    </xmlCellPr>
  </singleXmlCell>
  <singleXmlCell id="581" xr6:uid="{00000000-000C-0000-FFFF-FFFFA0000000}" r="J122" connectionId="0">
    <xmlCellPr id="1" xr6:uid="{00000000-0010-0000-A000-000001000000}" uniqueName="1">
      <xmlPr mapId="43" xpath="/ns1:Root/ns1:Prog/ns1:Achieved__P3_1" xmlDataType="double"/>
    </xmlCellPr>
  </singleXmlCell>
  <singleXmlCell id="582" xr6:uid="{00000000-000C-0000-FFFF-FFFFA1000000}" r="K122" connectionId="0">
    <xmlCellPr id="1" xr6:uid="{00000000-0010-0000-A100-000001000000}" uniqueName="1">
      <xmlPr mapId="43" xpath="/ns1:Root/ns1:Prog/ns1:Achieved__P4_1" xmlDataType="double"/>
    </xmlCellPr>
  </singleXmlCell>
  <singleXmlCell id="583" xr6:uid="{00000000-000C-0000-FFFF-FFFFA2000000}" r="L122" connectionId="0">
    <xmlCellPr id="1" xr6:uid="{00000000-0010-0000-A200-000001000000}" uniqueName="1">
      <xmlPr mapId="43" xpath="/ns1:Root/ns1:Prog/ns1:Achieved__P5_1" xmlDataType="string"/>
    </xmlCellPr>
  </singleXmlCell>
  <singleXmlCell id="584" xr6:uid="{00000000-000C-0000-FFFF-FFFFA3000000}" r="M122" connectionId="0">
    <xmlCellPr id="1" xr6:uid="{00000000-0010-0000-A300-000001000000}" uniqueName="1">
      <xmlPr mapId="43" xpath="/ns1:Root/ns1:Prog/ns1:Achieved__P6_1" xmlDataType="string"/>
    </xmlCellPr>
  </singleXmlCell>
  <singleXmlCell id="585" xr6:uid="{00000000-000C-0000-FFFF-FFFFA4000000}" r="N122" connectionId="0">
    <xmlCellPr id="1" xr6:uid="{00000000-0010-0000-A400-000001000000}" uniqueName="1">
      <xmlPr mapId="43" xpath="/ns1:Root/ns1:Prog/ns1:Achieved__P7_1" xmlDataType="string"/>
    </xmlCellPr>
  </singleXmlCell>
  <singleXmlCell id="586" xr6:uid="{00000000-000C-0000-FFFF-FFFFA5000000}" r="O122" connectionId="0">
    <xmlCellPr id="1" xr6:uid="{00000000-0010-0000-A500-000001000000}" uniqueName="1">
      <xmlPr mapId="43" xpath="/ns1:Root/ns1:Prog/ns1:Achieved__P8_1" xmlDataType="string"/>
    </xmlCellPr>
  </singleXmlCell>
  <singleXmlCell id="587" xr6:uid="{00000000-000C-0000-FFFF-FFFFA6000000}" r="P122" connectionId="0">
    <xmlCellPr id="1" xr6:uid="{00000000-0010-0000-A600-000001000000}" uniqueName="1">
      <xmlPr mapId="43" xpath="/ns1:Root/ns1:Prog/ns1:Achieved__P9_1" xmlDataType="string"/>
    </xmlCellPr>
  </singleXmlCell>
  <singleXmlCell id="588" xr6:uid="{00000000-000C-0000-FFFF-FFFFA7000000}" r="Q122" connectionId="0">
    <xmlCellPr id="1" xr6:uid="{00000000-0010-0000-A700-000001000000}" uniqueName="1">
      <xmlPr mapId="43" xpath="/ns1:Root/ns1:Prog/ns1:Achieved__P10_1" xmlDataType="string"/>
    </xmlCellPr>
  </singleXmlCell>
  <singleXmlCell id="589" xr6:uid="{00000000-000C-0000-FFFF-FFFFA8000000}" r="R122" connectionId="0">
    <xmlCellPr id="1" xr6:uid="{00000000-0010-0000-A800-000001000000}" uniqueName="1">
      <xmlPr mapId="43" xpath="/ns1:Root/ns1:Prog/ns1:Achieved__P11_1" xmlDataType="string"/>
    </xmlCellPr>
  </singleXmlCell>
  <singleXmlCell id="590" xr6:uid="{00000000-000C-0000-FFFF-FFFFA9000000}" r="S122" connectionId="0">
    <xmlCellPr id="1" xr6:uid="{00000000-0010-0000-A900-000001000000}" uniqueName="1">
      <xmlPr mapId="43" xpath="/ns1:Root/ns1:Prog/ns1:Achieved__P12_1" xmlDataType="string"/>
    </xmlCellPr>
  </singleXmlCell>
  <singleXmlCell id="591" xr6:uid="{00000000-000C-0000-FFFF-FFFFAA000000}" r="H123" connectionId="0">
    <xmlCellPr id="1" xr6:uid="{00000000-0010-0000-AA00-000001000000}" uniqueName="1">
      <xmlPr mapId="43" xpath="/ns1:Root/ns1:Prog/ns1:Target_P1_2" xmlDataType="double"/>
    </xmlCellPr>
  </singleXmlCell>
  <singleXmlCell id="592" xr6:uid="{00000000-000C-0000-FFFF-FFFFAB000000}" r="I123" connectionId="0">
    <xmlCellPr id="1" xr6:uid="{00000000-0010-0000-AB00-000001000000}" uniqueName="1">
      <xmlPr mapId="43" xpath="/ns1:Root/ns1:Prog/ns1:Target_P2_2" xmlDataType="double"/>
    </xmlCellPr>
  </singleXmlCell>
  <singleXmlCell id="593" xr6:uid="{00000000-000C-0000-FFFF-FFFFAC000000}" r="J123" connectionId="0">
    <xmlCellPr id="1" xr6:uid="{00000000-0010-0000-AC00-000001000000}" uniqueName="1">
      <xmlPr mapId="43" xpath="/ns1:Root/ns1:Prog/ns1:Target_P3_2" xmlDataType="double"/>
    </xmlCellPr>
  </singleXmlCell>
  <singleXmlCell id="594" xr6:uid="{00000000-000C-0000-FFFF-FFFFAD000000}" r="L123" connectionId="0">
    <xmlCellPr id="1" xr6:uid="{00000000-0010-0000-AD00-000001000000}" uniqueName="1">
      <xmlPr mapId="43" xpath="/ns1:Root/ns1:Prog/ns1:Target_P5_2" xmlDataType="double"/>
    </xmlCellPr>
  </singleXmlCell>
  <singleXmlCell id="595" xr6:uid="{00000000-000C-0000-FFFF-FFFFAE000000}" r="M123" connectionId="0">
    <xmlCellPr id="1" xr6:uid="{00000000-0010-0000-AE00-000001000000}" uniqueName="1">
      <xmlPr mapId="43" xpath="/ns1:Root/ns1:Prog/ns1:Target_P6_2" xmlDataType="double"/>
    </xmlCellPr>
  </singleXmlCell>
  <singleXmlCell id="596" xr6:uid="{00000000-000C-0000-FFFF-FFFFAF000000}" r="N123" connectionId="0">
    <xmlCellPr id="1" xr6:uid="{00000000-0010-0000-AF00-000001000000}" uniqueName="1">
      <xmlPr mapId="43" xpath="/ns1:Root/ns1:Prog/ns1:Target_P7_2" xmlDataType="double"/>
    </xmlCellPr>
  </singleXmlCell>
  <singleXmlCell id="597" xr6:uid="{00000000-000C-0000-FFFF-FFFFB0000000}" r="O123" connectionId="0">
    <xmlCellPr id="1" xr6:uid="{00000000-0010-0000-B000-000001000000}" uniqueName="1">
      <xmlPr mapId="43" xpath="/ns1:Root/ns1:Prog/ns1:Target_P8_2" xmlDataType="double"/>
    </xmlCellPr>
  </singleXmlCell>
  <singleXmlCell id="598" xr6:uid="{00000000-000C-0000-FFFF-FFFFB1000000}" r="P123" connectionId="0">
    <xmlCellPr id="1" xr6:uid="{00000000-0010-0000-B100-000001000000}" uniqueName="1">
      <xmlPr mapId="43" xpath="/ns1:Root/ns1:Prog/ns1:Target_P9_2" xmlDataType="double"/>
    </xmlCellPr>
  </singleXmlCell>
  <singleXmlCell id="599" xr6:uid="{00000000-000C-0000-FFFF-FFFFB2000000}" r="Q123" connectionId="0">
    <xmlCellPr id="1" xr6:uid="{00000000-0010-0000-B200-000001000000}" uniqueName="1">
      <xmlPr mapId="43" xpath="/ns1:Root/ns1:Prog/ns1:Target_P10_2" xmlDataType="double"/>
    </xmlCellPr>
  </singleXmlCell>
  <singleXmlCell id="600" xr6:uid="{00000000-000C-0000-FFFF-FFFFB3000000}" r="R123" connectionId="0">
    <xmlCellPr id="1" xr6:uid="{00000000-0010-0000-B300-000001000000}" uniqueName="1">
      <xmlPr mapId="43" xpath="/ns1:Root/ns1:Prog/ns1:Target_P11_2" xmlDataType="double"/>
    </xmlCellPr>
  </singleXmlCell>
  <singleXmlCell id="601" xr6:uid="{00000000-000C-0000-FFFF-FFFFB4000000}" r="S123" connectionId="0">
    <xmlCellPr id="1" xr6:uid="{00000000-0010-0000-B400-000001000000}" uniqueName="1">
      <xmlPr mapId="43" xpath="/ns1:Root/ns1:Prog/ns1:Target_P12_2" xmlDataType="double"/>
    </xmlCellPr>
  </singleXmlCell>
  <singleXmlCell id="602" xr6:uid="{00000000-000C-0000-FFFF-FFFFB5000000}" r="H124" connectionId="0">
    <xmlCellPr id="1" xr6:uid="{00000000-0010-0000-B500-000001000000}" uniqueName="1">
      <xmlPr mapId="43" xpath="/ns1:Root/ns1:Prog/ns1:Achieved__P1_2" xmlDataType="double"/>
    </xmlCellPr>
  </singleXmlCell>
  <singleXmlCell id="603" xr6:uid="{00000000-000C-0000-FFFF-FFFFB6000000}" r="I124" connectionId="0">
    <xmlCellPr id="1" xr6:uid="{00000000-0010-0000-B600-000001000000}" uniqueName="1">
      <xmlPr mapId="43" xpath="/ns1:Root/ns1:Prog/ns1:Achieved__P2_2" xmlDataType="double"/>
    </xmlCellPr>
  </singleXmlCell>
  <singleXmlCell id="604" xr6:uid="{00000000-000C-0000-FFFF-FFFFB7000000}" r="J124" connectionId="0">
    <xmlCellPr id="1" xr6:uid="{00000000-0010-0000-B700-000001000000}" uniqueName="1">
      <xmlPr mapId="43" xpath="/ns1:Root/ns1:Prog/ns1:Achieved__P3_2" xmlDataType="double"/>
    </xmlCellPr>
  </singleXmlCell>
  <singleXmlCell id="605" xr6:uid="{00000000-000C-0000-FFFF-FFFFB8000000}" r="K124" connectionId="0">
    <xmlCellPr id="1" xr6:uid="{00000000-0010-0000-B800-000001000000}" uniqueName="1">
      <xmlPr mapId="43" xpath="/ns1:Root/ns1:Prog/ns1:Achieved__P4_2" xmlDataType="double"/>
    </xmlCellPr>
  </singleXmlCell>
  <singleXmlCell id="606" xr6:uid="{00000000-000C-0000-FFFF-FFFFB9000000}" r="L124" connectionId="0">
    <xmlCellPr id="1" xr6:uid="{00000000-0010-0000-B900-000001000000}" uniqueName="1">
      <xmlPr mapId="43" xpath="/ns1:Root/ns1:Prog/ns1:Achieved__P5_2" xmlDataType="string"/>
    </xmlCellPr>
  </singleXmlCell>
  <singleXmlCell id="607" xr6:uid="{00000000-000C-0000-FFFF-FFFFBA000000}" r="M124" connectionId="0">
    <xmlCellPr id="1" xr6:uid="{00000000-0010-0000-BA00-000001000000}" uniqueName="1">
      <xmlPr mapId="43" xpath="/ns1:Root/ns1:Prog/ns1:Achieved__P6_2" xmlDataType="string"/>
    </xmlCellPr>
  </singleXmlCell>
  <singleXmlCell id="608" xr6:uid="{00000000-000C-0000-FFFF-FFFFBB000000}" r="N124" connectionId="0">
    <xmlCellPr id="1" xr6:uid="{00000000-0010-0000-BB00-000001000000}" uniqueName="1">
      <xmlPr mapId="43" xpath="/ns1:Root/ns1:Prog/ns1:Achieved__P7_2" xmlDataType="string"/>
    </xmlCellPr>
  </singleXmlCell>
  <singleXmlCell id="609" xr6:uid="{00000000-000C-0000-FFFF-FFFFBC000000}" r="O124" connectionId="0">
    <xmlCellPr id="1" xr6:uid="{00000000-0010-0000-BC00-000001000000}" uniqueName="1">
      <xmlPr mapId="43" xpath="/ns1:Root/ns1:Prog/ns1:Achieved__P8_2" xmlDataType="string"/>
    </xmlCellPr>
  </singleXmlCell>
  <singleXmlCell id="610" xr6:uid="{00000000-000C-0000-FFFF-FFFFBD000000}" r="P124" connectionId="0">
    <xmlCellPr id="1" xr6:uid="{00000000-0010-0000-BD00-000001000000}" uniqueName="1">
      <xmlPr mapId="43" xpath="/ns1:Root/ns1:Prog/ns1:Achieved__P9_2" xmlDataType="string"/>
    </xmlCellPr>
  </singleXmlCell>
  <singleXmlCell id="611" xr6:uid="{00000000-000C-0000-FFFF-FFFFBE000000}" r="Q124" connectionId="0">
    <xmlCellPr id="1" xr6:uid="{00000000-0010-0000-BE00-000001000000}" uniqueName="1">
      <xmlPr mapId="43" xpath="/ns1:Root/ns1:Prog/ns1:Achieved__P10_2" xmlDataType="string"/>
    </xmlCellPr>
  </singleXmlCell>
  <singleXmlCell id="612" xr6:uid="{00000000-000C-0000-FFFF-FFFFBF000000}" r="R124" connectionId="0">
    <xmlCellPr id="1" xr6:uid="{00000000-0010-0000-BF00-000001000000}" uniqueName="1">
      <xmlPr mapId="43" xpath="/ns1:Root/ns1:Prog/ns1:Achieved__P11_2" xmlDataType="string"/>
    </xmlCellPr>
  </singleXmlCell>
  <singleXmlCell id="613" xr6:uid="{00000000-000C-0000-FFFF-FFFFC0000000}" r="S124" connectionId="0">
    <xmlCellPr id="1" xr6:uid="{00000000-0010-0000-C000-000001000000}" uniqueName="1">
      <xmlPr mapId="43" xpath="/ns1:Root/ns1:Prog/ns1:Achieved__P12_2" xmlDataType="string"/>
    </xmlCellPr>
  </singleXmlCell>
  <singleXmlCell id="614" xr6:uid="{00000000-000C-0000-FFFF-FFFFC1000000}" r="H125" connectionId="0">
    <xmlCellPr id="1" xr6:uid="{00000000-0010-0000-C100-000001000000}" uniqueName="1">
      <xmlPr mapId="43" xpath="/ns1:Root/ns1:Prog/ns1:Target_P1_3" xmlDataType="double"/>
    </xmlCellPr>
  </singleXmlCell>
  <singleXmlCell id="615" xr6:uid="{00000000-000C-0000-FFFF-FFFFC2000000}" r="I125" connectionId="0">
    <xmlCellPr id="1" xr6:uid="{00000000-0010-0000-C200-000001000000}" uniqueName="1">
      <xmlPr mapId="43" xpath="/ns1:Root/ns1:Prog/ns1:Target_P2_3" xmlDataType="double"/>
    </xmlCellPr>
  </singleXmlCell>
  <singleXmlCell id="616" xr6:uid="{00000000-000C-0000-FFFF-FFFFC3000000}" r="J125" connectionId="0">
    <xmlCellPr id="1" xr6:uid="{00000000-0010-0000-C300-000001000000}" uniqueName="1">
      <xmlPr mapId="43" xpath="/ns1:Root/ns1:Prog/ns1:Target_P3_3" xmlDataType="double"/>
    </xmlCellPr>
  </singleXmlCell>
  <singleXmlCell id="617" xr6:uid="{00000000-000C-0000-FFFF-FFFFC4000000}" r="K125" connectionId="0">
    <xmlCellPr id="1" xr6:uid="{00000000-0010-0000-C400-000001000000}" uniqueName="1">
      <xmlPr mapId="43" xpath="/ns1:Root/ns1:Prog/ns1:Target_P4_3" xmlDataType="double"/>
    </xmlCellPr>
  </singleXmlCell>
  <singleXmlCell id="618" xr6:uid="{00000000-000C-0000-FFFF-FFFFC5000000}" r="L125" connectionId="0">
    <xmlCellPr id="1" xr6:uid="{00000000-0010-0000-C500-000001000000}" uniqueName="1">
      <xmlPr mapId="43" xpath="/ns1:Root/ns1:Prog/ns1:Target_P5_3" xmlDataType="double"/>
    </xmlCellPr>
  </singleXmlCell>
  <singleXmlCell id="619" xr6:uid="{00000000-000C-0000-FFFF-FFFFC6000000}" r="M125" connectionId="0">
    <xmlCellPr id="1" xr6:uid="{00000000-0010-0000-C600-000001000000}" uniqueName="1">
      <xmlPr mapId="43" xpath="/ns1:Root/ns1:Prog/ns1:Target_P6_3" xmlDataType="double"/>
    </xmlCellPr>
  </singleXmlCell>
  <singleXmlCell id="620" xr6:uid="{00000000-000C-0000-FFFF-FFFFC7000000}" r="N125" connectionId="0">
    <xmlCellPr id="1" xr6:uid="{00000000-0010-0000-C700-000001000000}" uniqueName="1">
      <xmlPr mapId="43" xpath="/ns1:Root/ns1:Prog/ns1:Target_P7_3" xmlDataType="double"/>
    </xmlCellPr>
  </singleXmlCell>
  <singleXmlCell id="621" xr6:uid="{00000000-000C-0000-FFFF-FFFFC8000000}" r="O125" connectionId="0">
    <xmlCellPr id="1" xr6:uid="{00000000-0010-0000-C800-000001000000}" uniqueName="1">
      <xmlPr mapId="43" xpath="/ns1:Root/ns1:Prog/ns1:Target_P8_3" xmlDataType="double"/>
    </xmlCellPr>
  </singleXmlCell>
  <singleXmlCell id="622" xr6:uid="{00000000-000C-0000-FFFF-FFFFC9000000}" r="P125" connectionId="0">
    <xmlCellPr id="1" xr6:uid="{00000000-0010-0000-C900-000001000000}" uniqueName="1">
      <xmlPr mapId="43" xpath="/ns1:Root/ns1:Prog/ns1:Target_P9_3" xmlDataType="double"/>
    </xmlCellPr>
  </singleXmlCell>
  <singleXmlCell id="623" xr6:uid="{00000000-000C-0000-FFFF-FFFFCA000000}" r="Q125" connectionId="0">
    <xmlCellPr id="1" xr6:uid="{00000000-0010-0000-CA00-000001000000}" uniqueName="1">
      <xmlPr mapId="43" xpath="/ns1:Root/ns1:Prog/ns1:Target_P10_3" xmlDataType="string"/>
    </xmlCellPr>
  </singleXmlCell>
  <singleXmlCell id="624" xr6:uid="{00000000-000C-0000-FFFF-FFFFCB000000}" r="R125" connectionId="0">
    <xmlCellPr id="1" xr6:uid="{00000000-0010-0000-CB00-000001000000}" uniqueName="1">
      <xmlPr mapId="43" xpath="/ns1:Root/ns1:Prog/ns1:Target_P11_3" xmlDataType="string"/>
    </xmlCellPr>
  </singleXmlCell>
  <singleXmlCell id="625" xr6:uid="{00000000-000C-0000-FFFF-FFFFCC000000}" r="S125" connectionId="0">
    <xmlCellPr id="1" xr6:uid="{00000000-0010-0000-CC00-000001000000}" uniqueName="1">
      <xmlPr mapId="43" xpath="/ns1:Root/ns1:Prog/ns1:Target_P12_3" xmlDataType="double"/>
    </xmlCellPr>
  </singleXmlCell>
  <singleXmlCell id="626" xr6:uid="{00000000-000C-0000-FFFF-FFFFCD000000}" r="H126" connectionId="0">
    <xmlCellPr id="1" xr6:uid="{00000000-0010-0000-CD00-000001000000}" uniqueName="1">
      <xmlPr mapId="43" xpath="/ns1:Root/ns1:Prog/ns1:Achieved__P1_3" xmlDataType="string"/>
    </xmlCellPr>
  </singleXmlCell>
  <singleXmlCell id="627" xr6:uid="{00000000-000C-0000-FFFF-FFFFCE000000}" r="I126" connectionId="0">
    <xmlCellPr id="1" xr6:uid="{00000000-0010-0000-CE00-000001000000}" uniqueName="1">
      <xmlPr mapId="43" xpath="/ns1:Root/ns1:Prog/ns1:Achieved__P2_3" xmlDataType="double"/>
    </xmlCellPr>
  </singleXmlCell>
  <singleXmlCell id="628" xr6:uid="{00000000-000C-0000-FFFF-FFFFCF000000}" r="J126" connectionId="0">
    <xmlCellPr id="1" xr6:uid="{00000000-0010-0000-CF00-000001000000}" uniqueName="1">
      <xmlPr mapId="43" xpath="/ns1:Root/ns1:Prog/ns1:Achieved__P3_3" xmlDataType="string"/>
    </xmlCellPr>
  </singleXmlCell>
  <singleXmlCell id="629" xr6:uid="{00000000-000C-0000-FFFF-FFFFD0000000}" r="K126" connectionId="0">
    <xmlCellPr id="1" xr6:uid="{00000000-0010-0000-D000-000001000000}" uniqueName="1">
      <xmlPr mapId="43" xpath="/ns1:Root/ns1:Prog/ns1:Achieved__P4_3" xmlDataType="double"/>
    </xmlCellPr>
  </singleXmlCell>
  <singleXmlCell id="630" xr6:uid="{00000000-000C-0000-FFFF-FFFFD1000000}" r="L126" connectionId="0">
    <xmlCellPr id="1" xr6:uid="{00000000-0010-0000-D100-000001000000}" uniqueName="1">
      <xmlPr mapId="43" xpath="/ns1:Root/ns1:Prog/ns1:Achieved__P5_3" xmlDataType="string"/>
    </xmlCellPr>
  </singleXmlCell>
  <singleXmlCell id="631" xr6:uid="{00000000-000C-0000-FFFF-FFFFD2000000}" r="M126" connectionId="0">
    <xmlCellPr id="1" xr6:uid="{00000000-0010-0000-D200-000001000000}" uniqueName="1">
      <xmlPr mapId="43" xpath="/ns1:Root/ns1:Prog/ns1:Achieved__P6_3" xmlDataType="string"/>
    </xmlCellPr>
  </singleXmlCell>
  <singleXmlCell id="632" xr6:uid="{00000000-000C-0000-FFFF-FFFFD3000000}" r="N126" connectionId="0">
    <xmlCellPr id="1" xr6:uid="{00000000-0010-0000-D300-000001000000}" uniqueName="1">
      <xmlPr mapId="43" xpath="/ns1:Root/ns1:Prog/ns1:Achieved__P7_3" xmlDataType="string"/>
    </xmlCellPr>
  </singleXmlCell>
  <singleXmlCell id="633" xr6:uid="{00000000-000C-0000-FFFF-FFFFD4000000}" r="O126" connectionId="0">
    <xmlCellPr id="1" xr6:uid="{00000000-0010-0000-D400-000001000000}" uniqueName="1">
      <xmlPr mapId="43" xpath="/ns1:Root/ns1:Prog/ns1:Achieved__P8_3" xmlDataType="string"/>
    </xmlCellPr>
  </singleXmlCell>
  <singleXmlCell id="634" xr6:uid="{00000000-000C-0000-FFFF-FFFFD5000000}" r="P126" connectionId="0">
    <xmlCellPr id="1" xr6:uid="{00000000-0010-0000-D500-000001000000}" uniqueName="1">
      <xmlPr mapId="43" xpath="/ns1:Root/ns1:Prog/ns1:Achieved__P9_3" xmlDataType="string"/>
    </xmlCellPr>
  </singleXmlCell>
  <singleXmlCell id="635" xr6:uid="{00000000-000C-0000-FFFF-FFFFD6000000}" r="Q126" connectionId="0">
    <xmlCellPr id="1" xr6:uid="{00000000-0010-0000-D600-000001000000}" uniqueName="1">
      <xmlPr mapId="43" xpath="/ns1:Root/ns1:Prog/ns1:Achieved__P10_3" xmlDataType="string"/>
    </xmlCellPr>
  </singleXmlCell>
  <singleXmlCell id="636" xr6:uid="{00000000-000C-0000-FFFF-FFFFD7000000}" r="R126" connectionId="0">
    <xmlCellPr id="1" xr6:uid="{00000000-0010-0000-D700-000001000000}" uniqueName="1">
      <xmlPr mapId="43" xpath="/ns1:Root/ns1:Prog/ns1:Achieved__P11_3" xmlDataType="string"/>
    </xmlCellPr>
  </singleXmlCell>
  <singleXmlCell id="637" xr6:uid="{00000000-000C-0000-FFFF-FFFFD8000000}" r="S126" connectionId="0">
    <xmlCellPr id="1" xr6:uid="{00000000-0010-0000-D800-000001000000}" uniqueName="1">
      <xmlPr mapId="43" xpath="/ns1:Root/ns1:Prog/ns1:Achieved__P12_3" xmlDataType="string"/>
    </xmlCellPr>
  </singleXmlCell>
  <singleXmlCell id="638" xr6:uid="{00000000-000C-0000-FFFF-FFFFD9000000}" r="H127" connectionId="0">
    <xmlCellPr id="1" xr6:uid="{00000000-0010-0000-D900-000001000000}" uniqueName="1">
      <xmlPr mapId="43" xpath="/ns1:Root/ns1:Prog/ns1:Target_P1_4" xmlDataType="string"/>
    </xmlCellPr>
  </singleXmlCell>
  <singleXmlCell id="639" xr6:uid="{00000000-000C-0000-FFFF-FFFFDA000000}" r="I127" connectionId="0">
    <xmlCellPr id="1" xr6:uid="{00000000-0010-0000-DA00-000001000000}" uniqueName="1">
      <xmlPr mapId="43" xpath="/ns1:Root/ns1:Prog/ns1:Target_P2_4" xmlDataType="string"/>
    </xmlCellPr>
  </singleXmlCell>
  <singleXmlCell id="640" xr6:uid="{00000000-000C-0000-FFFF-FFFFDB000000}" r="J127" connectionId="0">
    <xmlCellPr id="1" xr6:uid="{00000000-0010-0000-DB00-000001000000}" uniqueName="1">
      <xmlPr mapId="43" xpath="/ns1:Root/ns1:Prog/ns1:Target_P3_4" xmlDataType="string"/>
    </xmlCellPr>
  </singleXmlCell>
  <singleXmlCell id="641" xr6:uid="{00000000-000C-0000-FFFF-FFFFDC000000}" r="K127" connectionId="0">
    <xmlCellPr id="1" xr6:uid="{00000000-0010-0000-DC00-000001000000}" uniqueName="1">
      <xmlPr mapId="43" xpath="/ns1:Root/ns1:Prog/ns1:Target_P4_4" xmlDataType="double"/>
    </xmlCellPr>
  </singleXmlCell>
  <singleXmlCell id="642" xr6:uid="{00000000-000C-0000-FFFF-FFFFDD000000}" r="L127" connectionId="0">
    <xmlCellPr id="1" xr6:uid="{00000000-0010-0000-DD00-000001000000}" uniqueName="1">
      <xmlPr mapId="43" xpath="/ns1:Root/ns1:Prog/ns1:Target_P5_4" xmlDataType="string"/>
    </xmlCellPr>
  </singleXmlCell>
  <singleXmlCell id="643" xr6:uid="{00000000-000C-0000-FFFF-FFFFDE000000}" r="M127" connectionId="0">
    <xmlCellPr id="1" xr6:uid="{00000000-0010-0000-DE00-000001000000}" uniqueName="1">
      <xmlPr mapId="43" xpath="/ns1:Root/ns1:Prog/ns1:Target_P6_4" xmlDataType="string"/>
    </xmlCellPr>
  </singleXmlCell>
  <singleXmlCell id="644" xr6:uid="{00000000-000C-0000-FFFF-FFFFDF000000}" r="N127" connectionId="0">
    <xmlCellPr id="1" xr6:uid="{00000000-0010-0000-DF00-000001000000}" uniqueName="1">
      <xmlPr mapId="43" xpath="/ns1:Root/ns1:Prog/ns1:Target_P7_4" xmlDataType="string"/>
    </xmlCellPr>
  </singleXmlCell>
  <singleXmlCell id="645" xr6:uid="{00000000-000C-0000-FFFF-FFFFE0000000}" r="O127" connectionId="0">
    <xmlCellPr id="1" xr6:uid="{00000000-0010-0000-E000-000001000000}" uniqueName="1">
      <xmlPr mapId="43" xpath="/ns1:Root/ns1:Prog/ns1:Target_P8_4" xmlDataType="double"/>
    </xmlCellPr>
  </singleXmlCell>
  <singleXmlCell id="646" xr6:uid="{00000000-000C-0000-FFFF-FFFFE1000000}" r="P127" connectionId="0">
    <xmlCellPr id="1" xr6:uid="{00000000-0010-0000-E100-000001000000}" uniqueName="1">
      <xmlPr mapId="43" xpath="/ns1:Root/ns1:Prog/ns1:Target_P9_4" xmlDataType="string"/>
    </xmlCellPr>
  </singleXmlCell>
  <singleXmlCell id="647" xr6:uid="{00000000-000C-0000-FFFF-FFFFE2000000}" r="Q127" connectionId="0">
    <xmlCellPr id="1" xr6:uid="{00000000-0010-0000-E200-000001000000}" uniqueName="1">
      <xmlPr mapId="43" xpath="/ns1:Root/ns1:Prog/ns1:Target_P10_4" xmlDataType="string"/>
    </xmlCellPr>
  </singleXmlCell>
  <singleXmlCell id="648" xr6:uid="{00000000-000C-0000-FFFF-FFFFE3000000}" r="R127" connectionId="0">
    <xmlCellPr id="1" xr6:uid="{00000000-0010-0000-E300-000001000000}" uniqueName="1">
      <xmlPr mapId="43" xpath="/ns1:Root/ns1:Prog/ns1:Target_P11_4" xmlDataType="string"/>
    </xmlCellPr>
  </singleXmlCell>
  <singleXmlCell id="649" xr6:uid="{00000000-000C-0000-FFFF-FFFFE4000000}" r="S127" connectionId="0">
    <xmlCellPr id="1" xr6:uid="{00000000-0010-0000-E400-000001000000}" uniqueName="1">
      <xmlPr mapId="43" xpath="/ns1:Root/ns1:Prog/ns1:Target_P12_4" xmlDataType="double"/>
    </xmlCellPr>
  </singleXmlCell>
  <singleXmlCell id="650" xr6:uid="{00000000-000C-0000-FFFF-FFFFE5000000}" r="H128" connectionId="0">
    <xmlCellPr id="1" xr6:uid="{00000000-0010-0000-E500-000001000000}" uniqueName="1">
      <xmlPr mapId="43" xpath="/ns1:Root/ns1:Prog/ns1:Achieved__P1_4" xmlDataType="string"/>
    </xmlCellPr>
  </singleXmlCell>
  <singleXmlCell id="651" xr6:uid="{00000000-000C-0000-FFFF-FFFFE6000000}" r="I128" connectionId="0">
    <xmlCellPr id="1" xr6:uid="{00000000-0010-0000-E600-000001000000}" uniqueName="1">
      <xmlPr mapId="43" xpath="/ns1:Root/ns1:Prog/ns1:Achieved__P2_4" xmlDataType="string"/>
    </xmlCellPr>
  </singleXmlCell>
  <singleXmlCell id="652" xr6:uid="{00000000-000C-0000-FFFF-FFFFE7000000}" r="J128" connectionId="0">
    <xmlCellPr id="1" xr6:uid="{00000000-0010-0000-E700-000001000000}" uniqueName="1">
      <xmlPr mapId="43" xpath="/ns1:Root/ns1:Prog/ns1:Achieved__P3_4" xmlDataType="string"/>
    </xmlCellPr>
  </singleXmlCell>
  <singleXmlCell id="653" xr6:uid="{00000000-000C-0000-FFFF-FFFFE8000000}" r="K128" connectionId="0">
    <xmlCellPr id="1" xr6:uid="{00000000-0010-0000-E800-000001000000}" uniqueName="1">
      <xmlPr mapId="43" xpath="/ns1:Root/ns1:Prog/ns1:Achieved__P4_4" xmlDataType="double"/>
    </xmlCellPr>
  </singleXmlCell>
  <singleXmlCell id="654" xr6:uid="{00000000-000C-0000-FFFF-FFFFE9000000}" r="L128" connectionId="0">
    <xmlCellPr id="1" xr6:uid="{00000000-0010-0000-E900-000001000000}" uniqueName="1">
      <xmlPr mapId="43" xpath="/ns1:Root/ns1:Prog/ns1:Achieved__P5_4" xmlDataType="string"/>
    </xmlCellPr>
  </singleXmlCell>
  <singleXmlCell id="655" xr6:uid="{00000000-000C-0000-FFFF-FFFFEA000000}" r="M128" connectionId="0">
    <xmlCellPr id="1" xr6:uid="{00000000-0010-0000-EA00-000001000000}" uniqueName="1">
      <xmlPr mapId="43" xpath="/ns1:Root/ns1:Prog/ns1:Achieved__P6_4" xmlDataType="string"/>
    </xmlCellPr>
  </singleXmlCell>
  <singleXmlCell id="656" xr6:uid="{00000000-000C-0000-FFFF-FFFFEB000000}" r="N128" connectionId="0">
    <xmlCellPr id="1" xr6:uid="{00000000-0010-0000-EB00-000001000000}" uniqueName="1">
      <xmlPr mapId="43" xpath="/ns1:Root/ns1:Prog/ns1:Achieved__P7_4" xmlDataType="string"/>
    </xmlCellPr>
  </singleXmlCell>
  <singleXmlCell id="657" xr6:uid="{00000000-000C-0000-FFFF-FFFFEC000000}" r="O128" connectionId="0">
    <xmlCellPr id="1" xr6:uid="{00000000-0010-0000-EC00-000001000000}" uniqueName="1">
      <xmlPr mapId="43" xpath="/ns1:Root/ns1:Prog/ns1:Achieved__P8_4" xmlDataType="string"/>
    </xmlCellPr>
  </singleXmlCell>
  <singleXmlCell id="658" xr6:uid="{00000000-000C-0000-FFFF-FFFFED000000}" r="P128" connectionId="0">
    <xmlCellPr id="1" xr6:uid="{00000000-0010-0000-ED00-000001000000}" uniqueName="1">
      <xmlPr mapId="43" xpath="/ns1:Root/ns1:Prog/ns1:Achieved__P9_4" xmlDataType="string"/>
    </xmlCellPr>
  </singleXmlCell>
  <singleXmlCell id="659" xr6:uid="{00000000-000C-0000-FFFF-FFFFEE000000}" r="Q128" connectionId="0">
    <xmlCellPr id="1" xr6:uid="{00000000-0010-0000-EE00-000001000000}" uniqueName="1">
      <xmlPr mapId="43" xpath="/ns1:Root/ns1:Prog/ns1:Achieved__P10_4" xmlDataType="string"/>
    </xmlCellPr>
  </singleXmlCell>
  <singleXmlCell id="660" xr6:uid="{00000000-000C-0000-FFFF-FFFFEF000000}" r="R128" connectionId="0">
    <xmlCellPr id="1" xr6:uid="{00000000-0010-0000-EF00-000001000000}" uniqueName="1">
      <xmlPr mapId="43" xpath="/ns1:Root/ns1:Prog/ns1:Achieved__P11_4" xmlDataType="string"/>
    </xmlCellPr>
  </singleXmlCell>
  <singleXmlCell id="661" xr6:uid="{00000000-000C-0000-FFFF-FFFFF0000000}" r="S128" connectionId="0">
    <xmlCellPr id="1" xr6:uid="{00000000-0010-0000-F000-000001000000}" uniqueName="1">
      <xmlPr mapId="43" xpath="/ns1:Root/ns1:Prog/ns1:Achieved__P12_4" xmlDataType="string"/>
    </xmlCellPr>
  </singleXmlCell>
  <singleXmlCell id="662" xr6:uid="{00000000-000C-0000-FFFF-FFFFF1000000}" r="H129" connectionId="0">
    <xmlCellPr id="1" xr6:uid="{00000000-0010-0000-F100-000001000000}" uniqueName="1">
      <xmlPr mapId="43" xpath="/ns1:Root/ns1:Prog/ns1:Target_P1_5" xmlDataType="double"/>
    </xmlCellPr>
  </singleXmlCell>
  <singleXmlCell id="663" xr6:uid="{00000000-000C-0000-FFFF-FFFFF2000000}" r="I129" connectionId="0">
    <xmlCellPr id="1" xr6:uid="{00000000-0010-0000-F200-000001000000}" uniqueName="1">
      <xmlPr mapId="43" xpath="/ns1:Root/ns1:Prog/ns1:Target_P2_5" xmlDataType="double"/>
    </xmlCellPr>
  </singleXmlCell>
  <singleXmlCell id="664" xr6:uid="{00000000-000C-0000-FFFF-FFFFF3000000}" r="J129" connectionId="0">
    <xmlCellPr id="1" xr6:uid="{00000000-0010-0000-F300-000001000000}" uniqueName="1">
      <xmlPr mapId="43" xpath="/ns1:Root/ns1:Prog/ns1:Target_P3_5" xmlDataType="double"/>
    </xmlCellPr>
  </singleXmlCell>
  <singleXmlCell id="665" xr6:uid="{00000000-000C-0000-FFFF-FFFFF4000000}" r="K129" connectionId="0">
    <xmlCellPr id="1" xr6:uid="{00000000-0010-0000-F400-000001000000}" uniqueName="1">
      <xmlPr mapId="43" xpath="/ns1:Root/ns1:Prog/ns1:Target_P4_5" xmlDataType="double"/>
    </xmlCellPr>
  </singleXmlCell>
  <singleXmlCell id="666" xr6:uid="{00000000-000C-0000-FFFF-FFFFF5000000}" r="L129" connectionId="0">
    <xmlCellPr id="1" xr6:uid="{00000000-0010-0000-F500-000001000000}" uniqueName="1">
      <xmlPr mapId="43" xpath="/ns1:Root/ns1:Prog/ns1:Target_P5_5" xmlDataType="double"/>
    </xmlCellPr>
  </singleXmlCell>
  <singleXmlCell id="667" xr6:uid="{00000000-000C-0000-FFFF-FFFFF6000000}" r="M129" connectionId="0">
    <xmlCellPr id="1" xr6:uid="{00000000-0010-0000-F600-000001000000}" uniqueName="1">
      <xmlPr mapId="43" xpath="/ns1:Root/ns1:Prog/ns1:Target_P6_5" xmlDataType="double"/>
    </xmlCellPr>
  </singleXmlCell>
  <singleXmlCell id="668" xr6:uid="{00000000-000C-0000-FFFF-FFFFF7000000}" r="N129" connectionId="0">
    <xmlCellPr id="1" xr6:uid="{00000000-0010-0000-F700-000001000000}" uniqueName="1">
      <xmlPr mapId="43" xpath="/ns1:Root/ns1:Prog/ns1:Target_P7_5" xmlDataType="double"/>
    </xmlCellPr>
  </singleXmlCell>
  <singleXmlCell id="669" xr6:uid="{00000000-000C-0000-FFFF-FFFFF8000000}" r="O129" connectionId="0">
    <xmlCellPr id="1" xr6:uid="{00000000-0010-0000-F800-000001000000}" uniqueName="1">
      <xmlPr mapId="43" xpath="/ns1:Root/ns1:Prog/ns1:Target_P8_5" xmlDataType="double"/>
    </xmlCellPr>
  </singleXmlCell>
  <singleXmlCell id="670" xr6:uid="{00000000-000C-0000-FFFF-FFFFF9000000}" r="P129" connectionId="0">
    <xmlCellPr id="1" xr6:uid="{00000000-0010-0000-F900-000001000000}" uniqueName="1">
      <xmlPr mapId="43" xpath="/ns1:Root/ns1:Prog/ns1:Target_P9_5" xmlDataType="double"/>
    </xmlCellPr>
  </singleXmlCell>
  <singleXmlCell id="671" xr6:uid="{00000000-000C-0000-FFFF-FFFFFA000000}" r="Q129" connectionId="0">
    <xmlCellPr id="1" xr6:uid="{00000000-0010-0000-FA00-000001000000}" uniqueName="1">
      <xmlPr mapId="43" xpath="/ns1:Root/ns1:Prog/ns1:Target_P10_5" xmlDataType="double"/>
    </xmlCellPr>
  </singleXmlCell>
  <singleXmlCell id="672" xr6:uid="{00000000-000C-0000-FFFF-FFFFFB000000}" r="R129" connectionId="0">
    <xmlCellPr id="1" xr6:uid="{00000000-0010-0000-FB00-000001000000}" uniqueName="1">
      <xmlPr mapId="43" xpath="/ns1:Root/ns1:Prog/ns1:Target_P11_5" xmlDataType="double"/>
    </xmlCellPr>
  </singleXmlCell>
  <singleXmlCell id="673" xr6:uid="{00000000-000C-0000-FFFF-FFFFFC000000}" r="S129" connectionId="0">
    <xmlCellPr id="1" xr6:uid="{00000000-0010-0000-FC00-000001000000}" uniqueName="1">
      <xmlPr mapId="43" xpath="/ns1:Root/ns1:Prog/ns1:Target_P12_5" xmlDataType="double"/>
    </xmlCellPr>
  </singleXmlCell>
  <singleXmlCell id="674" xr6:uid="{00000000-000C-0000-FFFF-FFFFFD000000}" r="H130" connectionId="0">
    <xmlCellPr id="1" xr6:uid="{00000000-0010-0000-FD00-000001000000}" uniqueName="1">
      <xmlPr mapId="43" xpath="/ns1:Root/ns1:Prog/ns1:Achieved__P1_5" xmlDataType="double"/>
    </xmlCellPr>
  </singleXmlCell>
  <singleXmlCell id="675" xr6:uid="{00000000-000C-0000-FFFF-FFFFFE000000}" r="I130" connectionId="0">
    <xmlCellPr id="1" xr6:uid="{00000000-0010-0000-FE00-000001000000}" uniqueName="1">
      <xmlPr mapId="43" xpath="/ns1:Root/ns1:Prog/ns1:Achieved__P2_5" xmlDataType="double"/>
    </xmlCellPr>
  </singleXmlCell>
  <singleXmlCell id="676" xr6:uid="{00000000-000C-0000-FFFF-FFFFFF000000}" r="J130" connectionId="0">
    <xmlCellPr id="1" xr6:uid="{00000000-0010-0000-FF00-000001000000}" uniqueName="1">
      <xmlPr mapId="43" xpath="/ns1:Root/ns1:Prog/ns1:Achieved__P3_5" xmlDataType="double"/>
    </xmlCellPr>
  </singleXmlCell>
  <singleXmlCell id="677" xr6:uid="{00000000-000C-0000-FFFF-FFFF00010000}" r="K130" connectionId="0">
    <xmlCellPr id="1" xr6:uid="{00000000-0010-0000-0001-000001000000}" uniqueName="1">
      <xmlPr mapId="43" xpath="/ns1:Root/ns1:Prog/ns1:Achieved__P4_5" xmlDataType="double"/>
    </xmlCellPr>
  </singleXmlCell>
  <singleXmlCell id="678" xr6:uid="{00000000-000C-0000-FFFF-FFFF01010000}" r="L130" connectionId="0">
    <xmlCellPr id="1" xr6:uid="{00000000-0010-0000-0101-000001000000}" uniqueName="1">
      <xmlPr mapId="43" xpath="/ns1:Root/ns1:Prog/ns1:Achieved__P5_5" xmlDataType="string"/>
    </xmlCellPr>
  </singleXmlCell>
  <singleXmlCell id="679" xr6:uid="{00000000-000C-0000-FFFF-FFFF02010000}" r="M130" connectionId="0">
    <xmlCellPr id="1" xr6:uid="{00000000-0010-0000-0201-000001000000}" uniqueName="1">
      <xmlPr mapId="43" xpath="/ns1:Root/ns1:Prog/ns1:Achieved__P6_5" xmlDataType="string"/>
    </xmlCellPr>
  </singleXmlCell>
  <singleXmlCell id="680" xr6:uid="{00000000-000C-0000-FFFF-FFFF03010000}" r="N130" connectionId="0">
    <xmlCellPr id="1" xr6:uid="{00000000-0010-0000-0301-000001000000}" uniqueName="1">
      <xmlPr mapId="43" xpath="/ns1:Root/ns1:Prog/ns1:Achieved__P7_5" xmlDataType="string"/>
    </xmlCellPr>
  </singleXmlCell>
  <singleXmlCell id="681" xr6:uid="{00000000-000C-0000-FFFF-FFFF04010000}" r="O130" connectionId="0">
    <xmlCellPr id="1" xr6:uid="{00000000-0010-0000-0401-000001000000}" uniqueName="1">
      <xmlPr mapId="43" xpath="/ns1:Root/ns1:Prog/ns1:Achieved__P8_5" xmlDataType="string"/>
    </xmlCellPr>
  </singleXmlCell>
  <singleXmlCell id="682" xr6:uid="{00000000-000C-0000-FFFF-FFFF05010000}" r="P130" connectionId="0">
    <xmlCellPr id="1" xr6:uid="{00000000-0010-0000-0501-000001000000}" uniqueName="1">
      <xmlPr mapId="43" xpath="/ns1:Root/ns1:Prog/ns1:Achieved__P9_5" xmlDataType="string"/>
    </xmlCellPr>
  </singleXmlCell>
  <singleXmlCell id="683" xr6:uid="{00000000-000C-0000-FFFF-FFFF06010000}" r="Q130" connectionId="0">
    <xmlCellPr id="1" xr6:uid="{00000000-0010-0000-0601-000001000000}" uniqueName="1">
      <xmlPr mapId="43" xpath="/ns1:Root/ns1:Prog/ns1:Achieved__P10_5" xmlDataType="string"/>
    </xmlCellPr>
  </singleXmlCell>
  <singleXmlCell id="684" xr6:uid="{00000000-000C-0000-FFFF-FFFF07010000}" r="R130" connectionId="0">
    <xmlCellPr id="1" xr6:uid="{00000000-0010-0000-0701-000001000000}" uniqueName="1">
      <xmlPr mapId="43" xpath="/ns1:Root/ns1:Prog/ns1:Achieved__P11_5" xmlDataType="string"/>
    </xmlCellPr>
  </singleXmlCell>
  <singleXmlCell id="685" xr6:uid="{00000000-000C-0000-FFFF-FFFF08010000}" r="S130" connectionId="0">
    <xmlCellPr id="1" xr6:uid="{00000000-0010-0000-0801-000001000000}" uniqueName="1">
      <xmlPr mapId="43" xpath="/ns1:Root/ns1:Prog/ns1:Achieved__P12_5" xmlDataType="string"/>
    </xmlCellPr>
  </singleXmlCell>
  <singleXmlCell id="686" xr6:uid="{00000000-000C-0000-FFFF-FFFF09010000}" r="H131" connectionId="0">
    <xmlCellPr id="1" xr6:uid="{00000000-0010-0000-0901-000001000000}" uniqueName="1">
      <xmlPr mapId="43" xpath="/ns1:Root/ns1:Prog/ns1:Target_P1_6" xmlDataType="double"/>
    </xmlCellPr>
  </singleXmlCell>
  <singleXmlCell id="687" xr6:uid="{00000000-000C-0000-FFFF-FFFF0A010000}" r="I131" connectionId="0">
    <xmlCellPr id="1" xr6:uid="{00000000-0010-0000-0A01-000001000000}" uniqueName="1">
      <xmlPr mapId="43" xpath="/ns1:Root/ns1:Prog/ns1:Target_P2_6" xmlDataType="double"/>
    </xmlCellPr>
  </singleXmlCell>
  <singleXmlCell id="688" xr6:uid="{00000000-000C-0000-FFFF-FFFF0B010000}" r="J131" connectionId="0">
    <xmlCellPr id="1" xr6:uid="{00000000-0010-0000-0B01-000001000000}" uniqueName="1">
      <xmlPr mapId="43" xpath="/ns1:Root/ns1:Prog/ns1:Target_P3_6" xmlDataType="double"/>
    </xmlCellPr>
  </singleXmlCell>
  <singleXmlCell id="689" xr6:uid="{00000000-000C-0000-FFFF-FFFF0C010000}" r="K131" connectionId="0">
    <xmlCellPr id="1" xr6:uid="{00000000-0010-0000-0C01-000001000000}" uniqueName="1">
      <xmlPr mapId="43" xpath="/ns1:Root/ns1:Prog/ns1:Target_P4_6" xmlDataType="double"/>
    </xmlCellPr>
  </singleXmlCell>
  <singleXmlCell id="690" xr6:uid="{00000000-000C-0000-FFFF-FFFF0D010000}" r="L131" connectionId="0">
    <xmlCellPr id="1" xr6:uid="{00000000-0010-0000-0D01-000001000000}" uniqueName="1">
      <xmlPr mapId="43" xpath="/ns1:Root/ns1:Prog/ns1:Target_P5_6" xmlDataType="double"/>
    </xmlCellPr>
  </singleXmlCell>
  <singleXmlCell id="691" xr6:uid="{00000000-000C-0000-FFFF-FFFF0E010000}" r="M131" connectionId="0">
    <xmlCellPr id="1" xr6:uid="{00000000-0010-0000-0E01-000001000000}" uniqueName="1">
      <xmlPr mapId="43" xpath="/ns1:Root/ns1:Prog/ns1:Target_P6_6" xmlDataType="double"/>
    </xmlCellPr>
  </singleXmlCell>
  <singleXmlCell id="692" xr6:uid="{00000000-000C-0000-FFFF-FFFF0F010000}" r="N131" connectionId="0">
    <xmlCellPr id="1" xr6:uid="{00000000-0010-0000-0F01-000001000000}" uniqueName="1">
      <xmlPr mapId="43" xpath="/ns1:Root/ns1:Prog/ns1:Target_P7_6" xmlDataType="double"/>
    </xmlCellPr>
  </singleXmlCell>
  <singleXmlCell id="693" xr6:uid="{00000000-000C-0000-FFFF-FFFF10010000}" r="O131" connectionId="0">
    <xmlCellPr id="1" xr6:uid="{00000000-0010-0000-1001-000001000000}" uniqueName="1">
      <xmlPr mapId="43" xpath="/ns1:Root/ns1:Prog/ns1:Target_P8_6" xmlDataType="double"/>
    </xmlCellPr>
  </singleXmlCell>
  <singleXmlCell id="694" xr6:uid="{00000000-000C-0000-FFFF-FFFF11010000}" r="P131" connectionId="0">
    <xmlCellPr id="1" xr6:uid="{00000000-0010-0000-1101-000001000000}" uniqueName="1">
      <xmlPr mapId="43" xpath="/ns1:Root/ns1:Prog/ns1:Target_P9_6" xmlDataType="double"/>
    </xmlCellPr>
  </singleXmlCell>
  <singleXmlCell id="695" xr6:uid="{00000000-000C-0000-FFFF-FFFF12010000}" r="Q131" connectionId="0">
    <xmlCellPr id="1" xr6:uid="{00000000-0010-0000-1201-000001000000}" uniqueName="1">
      <xmlPr mapId="43" xpath="/ns1:Root/ns1:Prog/ns1:Target_P10_6" xmlDataType="double"/>
    </xmlCellPr>
  </singleXmlCell>
  <singleXmlCell id="696" xr6:uid="{00000000-000C-0000-FFFF-FFFF13010000}" r="R131" connectionId="0">
    <xmlCellPr id="1" xr6:uid="{00000000-0010-0000-1301-000001000000}" uniqueName="1">
      <xmlPr mapId="43" xpath="/ns1:Root/ns1:Prog/ns1:Target_P11_6" xmlDataType="double"/>
    </xmlCellPr>
  </singleXmlCell>
  <singleXmlCell id="697" xr6:uid="{00000000-000C-0000-FFFF-FFFF14010000}" r="S131" connectionId="0">
    <xmlCellPr id="1" xr6:uid="{00000000-0010-0000-1401-000001000000}" uniqueName="1">
      <xmlPr mapId="43" xpath="/ns1:Root/ns1:Prog/ns1:Target_P12_6" xmlDataType="double"/>
    </xmlCellPr>
  </singleXmlCell>
  <singleXmlCell id="698" xr6:uid="{00000000-000C-0000-FFFF-FFFF15010000}" r="H132" connectionId="0">
    <xmlCellPr id="1" xr6:uid="{00000000-0010-0000-1501-000001000000}" uniqueName="1">
      <xmlPr mapId="43" xpath="/ns1:Root/ns1:Prog/ns1:Achieved__P1_6" xmlDataType="double"/>
    </xmlCellPr>
  </singleXmlCell>
  <singleXmlCell id="699" xr6:uid="{00000000-000C-0000-FFFF-FFFF16010000}" r="I132" connectionId="0">
    <xmlCellPr id="1" xr6:uid="{00000000-0010-0000-1601-000001000000}" uniqueName="1">
      <xmlPr mapId="43" xpath="/ns1:Root/ns1:Prog/ns1:Achieved__P2_6" xmlDataType="double"/>
    </xmlCellPr>
  </singleXmlCell>
  <singleXmlCell id="700" xr6:uid="{00000000-000C-0000-FFFF-FFFF17010000}" r="J132" connectionId="0">
    <xmlCellPr id="1" xr6:uid="{00000000-0010-0000-1701-000001000000}" uniqueName="1">
      <xmlPr mapId="43" xpath="/ns1:Root/ns1:Prog/ns1:Achieved__P3_6" xmlDataType="double"/>
    </xmlCellPr>
  </singleXmlCell>
  <singleXmlCell id="701" xr6:uid="{00000000-000C-0000-FFFF-FFFF18010000}" r="K132" connectionId="0">
    <xmlCellPr id="1" xr6:uid="{00000000-0010-0000-1801-000001000000}" uniqueName="1">
      <xmlPr mapId="43" xpath="/ns1:Root/ns1:Prog/ns1:Achieved__P4_6" xmlDataType="double"/>
    </xmlCellPr>
  </singleXmlCell>
  <singleXmlCell id="702" xr6:uid="{00000000-000C-0000-FFFF-FFFF19010000}" r="L132" connectionId="0">
    <xmlCellPr id="1" xr6:uid="{00000000-0010-0000-1901-000001000000}" uniqueName="1">
      <xmlPr mapId="43" xpath="/ns1:Root/ns1:Prog/ns1:Achieved__P5_6" xmlDataType="string"/>
    </xmlCellPr>
  </singleXmlCell>
  <singleXmlCell id="703" xr6:uid="{00000000-000C-0000-FFFF-FFFF1A010000}" r="M132" connectionId="0">
    <xmlCellPr id="1" xr6:uid="{00000000-0010-0000-1A01-000001000000}" uniqueName="1">
      <xmlPr mapId="43" xpath="/ns1:Root/ns1:Prog/ns1:Achieved__P6_6" xmlDataType="string"/>
    </xmlCellPr>
  </singleXmlCell>
  <singleXmlCell id="704" xr6:uid="{00000000-000C-0000-FFFF-FFFF1B010000}" r="N132" connectionId="0">
    <xmlCellPr id="1" xr6:uid="{00000000-0010-0000-1B01-000001000000}" uniqueName="1">
      <xmlPr mapId="43" xpath="/ns1:Root/ns1:Prog/ns1:Achieved__P7_6" xmlDataType="string"/>
    </xmlCellPr>
  </singleXmlCell>
  <singleXmlCell id="705" xr6:uid="{00000000-000C-0000-FFFF-FFFF1C010000}" r="O132" connectionId="0">
    <xmlCellPr id="1" xr6:uid="{00000000-0010-0000-1C01-000001000000}" uniqueName="1">
      <xmlPr mapId="43" xpath="/ns1:Root/ns1:Prog/ns1:Achieved__P8_6" xmlDataType="string"/>
    </xmlCellPr>
  </singleXmlCell>
  <singleXmlCell id="706" xr6:uid="{00000000-000C-0000-FFFF-FFFF1D010000}" r="P132" connectionId="0">
    <xmlCellPr id="1" xr6:uid="{00000000-0010-0000-1D01-000001000000}" uniqueName="1">
      <xmlPr mapId="43" xpath="/ns1:Root/ns1:Prog/ns1:Achieved__P9_6" xmlDataType="string"/>
    </xmlCellPr>
  </singleXmlCell>
  <singleXmlCell id="707" xr6:uid="{00000000-000C-0000-FFFF-FFFF1E010000}" r="Q132" connectionId="0">
    <xmlCellPr id="1" xr6:uid="{00000000-0010-0000-1E01-000001000000}" uniqueName="1">
      <xmlPr mapId="43" xpath="/ns1:Root/ns1:Prog/ns1:Achieved__P10_6" xmlDataType="string"/>
    </xmlCellPr>
  </singleXmlCell>
  <singleXmlCell id="708" xr6:uid="{00000000-000C-0000-FFFF-FFFF1F010000}" r="R132" connectionId="0">
    <xmlCellPr id="1" xr6:uid="{00000000-0010-0000-1F01-000001000000}" uniqueName="1">
      <xmlPr mapId="43" xpath="/ns1:Root/ns1:Prog/ns1:Achieved__P11_6" xmlDataType="string"/>
    </xmlCellPr>
  </singleXmlCell>
  <singleXmlCell id="709" xr6:uid="{00000000-000C-0000-FFFF-FFFF20010000}" r="S132" connectionId="0">
    <xmlCellPr id="1" xr6:uid="{00000000-0010-0000-2001-000001000000}" uniqueName="1">
      <xmlPr mapId="43" xpath="/ns1:Root/ns1:Prog/ns1:Achieved__P12_6" xmlDataType="string"/>
    </xmlCellPr>
  </singleXmlCell>
  <singleXmlCell id="710" xr6:uid="{00000000-000C-0000-FFFF-FFFF21010000}" r="H133" connectionId="0">
    <xmlCellPr id="1" xr6:uid="{00000000-0010-0000-2101-000001000000}" uniqueName="1">
      <xmlPr mapId="43" xpath="/ns1:Root/ns1:Prog/ns1:Target_P1_7" xmlDataType="double"/>
    </xmlCellPr>
  </singleXmlCell>
  <singleXmlCell id="711" xr6:uid="{00000000-000C-0000-FFFF-FFFF22010000}" r="I133" connectionId="0">
    <xmlCellPr id="1" xr6:uid="{00000000-0010-0000-2201-000001000000}" uniqueName="1">
      <xmlPr mapId="43" xpath="/ns1:Root/ns1:Prog/ns1:Target_P2_7" xmlDataType="double"/>
    </xmlCellPr>
  </singleXmlCell>
  <singleXmlCell id="712" xr6:uid="{00000000-000C-0000-FFFF-FFFF23010000}" r="J133" connectionId="0">
    <xmlCellPr id="1" xr6:uid="{00000000-0010-0000-2301-000001000000}" uniqueName="1">
      <xmlPr mapId="43" xpath="/ns1:Root/ns1:Prog/ns1:Target_P3_7" xmlDataType="double"/>
    </xmlCellPr>
  </singleXmlCell>
  <singleXmlCell id="713" xr6:uid="{00000000-000C-0000-FFFF-FFFF24010000}" r="K133" connectionId="0">
    <xmlCellPr id="1" xr6:uid="{00000000-0010-0000-2401-000001000000}" uniqueName="1">
      <xmlPr mapId="43" xpath="/ns1:Root/ns1:Prog/ns1:Target_P4_7" xmlDataType="double"/>
    </xmlCellPr>
  </singleXmlCell>
  <singleXmlCell id="714" xr6:uid="{00000000-000C-0000-FFFF-FFFF25010000}" r="L133" connectionId="0">
    <xmlCellPr id="1" xr6:uid="{00000000-0010-0000-2501-000001000000}" uniqueName="1">
      <xmlPr mapId="43" xpath="/ns1:Root/ns1:Prog/ns1:Target_P5_7" xmlDataType="double"/>
    </xmlCellPr>
  </singleXmlCell>
  <singleXmlCell id="715" xr6:uid="{00000000-000C-0000-FFFF-FFFF26010000}" r="M133" connectionId="0">
    <xmlCellPr id="1" xr6:uid="{00000000-0010-0000-2601-000001000000}" uniqueName="1">
      <xmlPr mapId="43" xpath="/ns1:Root/ns1:Prog/ns1:Target_P6_7" xmlDataType="double"/>
    </xmlCellPr>
  </singleXmlCell>
  <singleXmlCell id="716" xr6:uid="{00000000-000C-0000-FFFF-FFFF27010000}" r="N133" connectionId="0">
    <xmlCellPr id="1" xr6:uid="{00000000-0010-0000-2701-000001000000}" uniqueName="1">
      <xmlPr mapId="43" xpath="/ns1:Root/ns1:Prog/ns1:Target_P7_7" xmlDataType="double"/>
    </xmlCellPr>
  </singleXmlCell>
  <singleXmlCell id="717" xr6:uid="{00000000-000C-0000-FFFF-FFFF28010000}" r="O133" connectionId="0">
    <xmlCellPr id="1" xr6:uid="{00000000-0010-0000-2801-000001000000}" uniqueName="1">
      <xmlPr mapId="43" xpath="/ns1:Root/ns1:Prog/ns1:Target_P8_7" xmlDataType="double"/>
    </xmlCellPr>
  </singleXmlCell>
  <singleXmlCell id="718" xr6:uid="{00000000-000C-0000-FFFF-FFFF29010000}" r="P133" connectionId="0">
    <xmlCellPr id="1" xr6:uid="{00000000-0010-0000-2901-000001000000}" uniqueName="1">
      <xmlPr mapId="43" xpath="/ns1:Root/ns1:Prog/ns1:Target_P9_7" xmlDataType="double"/>
    </xmlCellPr>
  </singleXmlCell>
  <singleXmlCell id="719" xr6:uid="{00000000-000C-0000-FFFF-FFFF2A010000}" r="Q133" connectionId="0">
    <xmlCellPr id="1" xr6:uid="{00000000-0010-0000-2A01-000001000000}" uniqueName="1">
      <xmlPr mapId="43" xpath="/ns1:Root/ns1:Prog/ns1:Target_P10_7" xmlDataType="double"/>
    </xmlCellPr>
  </singleXmlCell>
  <singleXmlCell id="720" xr6:uid="{00000000-000C-0000-FFFF-FFFF2B010000}" r="R133" connectionId="0">
    <xmlCellPr id="1" xr6:uid="{00000000-0010-0000-2B01-000001000000}" uniqueName="1">
      <xmlPr mapId="43" xpath="/ns1:Root/ns1:Prog/ns1:Target_P11_7" xmlDataType="double"/>
    </xmlCellPr>
  </singleXmlCell>
  <singleXmlCell id="721" xr6:uid="{00000000-000C-0000-FFFF-FFFF2C010000}" r="S133" connectionId="0">
    <xmlCellPr id="1" xr6:uid="{00000000-0010-0000-2C01-000001000000}" uniqueName="1">
      <xmlPr mapId="43" xpath="/ns1:Root/ns1:Prog/ns1:Target_P12_7" xmlDataType="double"/>
    </xmlCellPr>
  </singleXmlCell>
  <singleXmlCell id="722" xr6:uid="{00000000-000C-0000-FFFF-FFFF2D010000}" r="H134" connectionId="0">
    <xmlCellPr id="1" xr6:uid="{00000000-0010-0000-2D01-000001000000}" uniqueName="1">
      <xmlPr mapId="43" xpath="/ns1:Root/ns1:Prog/ns1:Achieved__P1_7" xmlDataType="double"/>
    </xmlCellPr>
  </singleXmlCell>
  <singleXmlCell id="723" xr6:uid="{00000000-000C-0000-FFFF-FFFF2E010000}" r="I134" connectionId="0">
    <xmlCellPr id="1" xr6:uid="{00000000-0010-0000-2E01-000001000000}" uniqueName="1">
      <xmlPr mapId="43" xpath="/ns1:Root/ns1:Prog/ns1:Achieved__P2_7" xmlDataType="double"/>
    </xmlCellPr>
  </singleXmlCell>
  <singleXmlCell id="724" xr6:uid="{00000000-000C-0000-FFFF-FFFF2F010000}" r="J134" connectionId="0">
    <xmlCellPr id="1" xr6:uid="{00000000-0010-0000-2F01-000001000000}" uniqueName="1">
      <xmlPr mapId="43" xpath="/ns1:Root/ns1:Prog/ns1:Achieved__P3_7" xmlDataType="double"/>
    </xmlCellPr>
  </singleXmlCell>
  <singleXmlCell id="725" xr6:uid="{00000000-000C-0000-FFFF-FFFF30010000}" r="K134" connectionId="0">
    <xmlCellPr id="1" xr6:uid="{00000000-0010-0000-3001-000001000000}" uniqueName="1">
      <xmlPr mapId="43" xpath="/ns1:Root/ns1:Prog/ns1:Achieved__P4_7" xmlDataType="double"/>
    </xmlCellPr>
  </singleXmlCell>
  <singleXmlCell id="726" xr6:uid="{00000000-000C-0000-FFFF-FFFF31010000}" r="L134" connectionId="0">
    <xmlCellPr id="1" xr6:uid="{00000000-0010-0000-3101-000001000000}" uniqueName="1">
      <xmlPr mapId="43" xpath="/ns1:Root/ns1:Prog/ns1:Achieved__P5_7" xmlDataType="string"/>
    </xmlCellPr>
  </singleXmlCell>
  <singleXmlCell id="727" xr6:uid="{00000000-000C-0000-FFFF-FFFF32010000}" r="M134" connectionId="0">
    <xmlCellPr id="1" xr6:uid="{00000000-0010-0000-3201-000001000000}" uniqueName="1">
      <xmlPr mapId="43" xpath="/ns1:Root/ns1:Prog/ns1:Achieved__P6_7" xmlDataType="string"/>
    </xmlCellPr>
  </singleXmlCell>
  <singleXmlCell id="728" xr6:uid="{00000000-000C-0000-FFFF-FFFF33010000}" r="N134" connectionId="0">
    <xmlCellPr id="1" xr6:uid="{00000000-0010-0000-3301-000001000000}" uniqueName="1">
      <xmlPr mapId="43" xpath="/ns1:Root/ns1:Prog/ns1:Achieved__P7_7" xmlDataType="string"/>
    </xmlCellPr>
  </singleXmlCell>
  <singleXmlCell id="729" xr6:uid="{00000000-000C-0000-FFFF-FFFF34010000}" r="O134" connectionId="0">
    <xmlCellPr id="1" xr6:uid="{00000000-0010-0000-3401-000001000000}" uniqueName="1">
      <xmlPr mapId="43" xpath="/ns1:Root/ns1:Prog/ns1:Achieved__P8_7" xmlDataType="string"/>
    </xmlCellPr>
  </singleXmlCell>
  <singleXmlCell id="730" xr6:uid="{00000000-000C-0000-FFFF-FFFF35010000}" r="P134" connectionId="0">
    <xmlCellPr id="1" xr6:uid="{00000000-0010-0000-3501-000001000000}" uniqueName="1">
      <xmlPr mapId="43" xpath="/ns1:Root/ns1:Prog/ns1:Achieved__P9_7" xmlDataType="string"/>
    </xmlCellPr>
  </singleXmlCell>
  <singleXmlCell id="731" xr6:uid="{00000000-000C-0000-FFFF-FFFF36010000}" r="Q134" connectionId="0">
    <xmlCellPr id="1" xr6:uid="{00000000-0010-0000-3601-000001000000}" uniqueName="1">
      <xmlPr mapId="43" xpath="/ns1:Root/ns1:Prog/ns1:Achieved__P10_7" xmlDataType="string"/>
    </xmlCellPr>
  </singleXmlCell>
  <singleXmlCell id="732" xr6:uid="{00000000-000C-0000-FFFF-FFFF37010000}" r="R134" connectionId="0">
    <xmlCellPr id="1" xr6:uid="{00000000-0010-0000-3701-000001000000}" uniqueName="1">
      <xmlPr mapId="43" xpath="/ns1:Root/ns1:Prog/ns1:Achieved__P11_7" xmlDataType="string"/>
    </xmlCellPr>
  </singleXmlCell>
  <singleXmlCell id="733" xr6:uid="{00000000-000C-0000-FFFF-FFFF38010000}" r="S134" connectionId="0">
    <xmlCellPr id="1" xr6:uid="{00000000-0010-0000-3801-000001000000}" uniqueName="1">
      <xmlPr mapId="43" xpath="/ns1:Root/ns1:Prog/ns1:Achieved__P12_7" xmlDataType="string"/>
    </xmlCellPr>
  </singleXmlCell>
  <singleXmlCell id="734" xr6:uid="{00000000-000C-0000-FFFF-FFFF39010000}" r="H135" connectionId="0">
    <xmlCellPr id="1" xr6:uid="{00000000-0010-0000-3901-000001000000}" uniqueName="1">
      <xmlPr mapId="43" xpath="/ns1:Root/ns1:Prog/ns1:Target_P1_8" xmlDataType="string"/>
    </xmlCellPr>
  </singleXmlCell>
  <singleXmlCell id="735" xr6:uid="{00000000-000C-0000-FFFF-FFFF3A010000}" r="I135" connectionId="0">
    <xmlCellPr id="1" xr6:uid="{00000000-0010-0000-3A01-000001000000}" uniqueName="1">
      <xmlPr mapId="43" xpath="/ns1:Root/ns1:Prog/ns1:Target_P2_8" xmlDataType="double"/>
    </xmlCellPr>
  </singleXmlCell>
  <singleXmlCell id="736" xr6:uid="{00000000-000C-0000-FFFF-FFFF3B010000}" r="J135" connectionId="0">
    <xmlCellPr id="1" xr6:uid="{00000000-0010-0000-3B01-000001000000}" uniqueName="1">
      <xmlPr mapId="43" xpath="/ns1:Root/ns1:Prog/ns1:Target_P3_8" xmlDataType="string"/>
    </xmlCellPr>
  </singleXmlCell>
  <singleXmlCell id="737" xr6:uid="{00000000-000C-0000-FFFF-FFFF3C010000}" r="K135" connectionId="0">
    <xmlCellPr id="1" xr6:uid="{00000000-0010-0000-3C01-000001000000}" uniqueName="1">
      <xmlPr mapId="43" xpath="/ns1:Root/ns1:Prog/ns1:Target_P4_8" xmlDataType="double"/>
    </xmlCellPr>
  </singleXmlCell>
  <singleXmlCell id="738" xr6:uid="{00000000-000C-0000-FFFF-FFFF3D010000}" r="L135" connectionId="0">
    <xmlCellPr id="1" xr6:uid="{00000000-0010-0000-3D01-000001000000}" uniqueName="1">
      <xmlPr mapId="43" xpath="/ns1:Root/ns1:Prog/ns1:Target_P5_8" xmlDataType="string"/>
    </xmlCellPr>
  </singleXmlCell>
  <singleXmlCell id="739" xr6:uid="{00000000-000C-0000-FFFF-FFFF3E010000}" r="M135" connectionId="0">
    <xmlCellPr id="1" xr6:uid="{00000000-0010-0000-3E01-000001000000}" uniqueName="1">
      <xmlPr mapId="43" xpath="/ns1:Root/ns1:Prog/ns1:Target_P6_8" xmlDataType="double"/>
    </xmlCellPr>
  </singleXmlCell>
  <singleXmlCell id="740" xr6:uid="{00000000-000C-0000-FFFF-FFFF3F010000}" r="N135" connectionId="0">
    <xmlCellPr id="1" xr6:uid="{00000000-0010-0000-3F01-000001000000}" uniqueName="1">
      <xmlPr mapId="43" xpath="/ns1:Root/ns1:Prog/ns1:Target_P7_8" xmlDataType="string"/>
    </xmlCellPr>
  </singleXmlCell>
  <singleXmlCell id="741" xr6:uid="{00000000-000C-0000-FFFF-FFFF40010000}" r="O135" connectionId="0">
    <xmlCellPr id="1" xr6:uid="{00000000-0010-0000-4001-000001000000}" uniqueName="1">
      <xmlPr mapId="43" xpath="/ns1:Root/ns1:Prog/ns1:Target_P8_8" xmlDataType="double"/>
    </xmlCellPr>
  </singleXmlCell>
  <singleXmlCell id="742" xr6:uid="{00000000-000C-0000-FFFF-FFFF41010000}" r="P135" connectionId="0">
    <xmlCellPr id="1" xr6:uid="{00000000-0010-0000-4101-000001000000}" uniqueName="1">
      <xmlPr mapId="43" xpath="/ns1:Root/ns1:Prog/ns1:Target_P9_8" xmlDataType="double"/>
    </xmlCellPr>
  </singleXmlCell>
  <singleXmlCell id="743" xr6:uid="{00000000-000C-0000-FFFF-FFFF42010000}" r="Q135" connectionId="0">
    <xmlCellPr id="1" xr6:uid="{00000000-0010-0000-4201-000001000000}" uniqueName="1">
      <xmlPr mapId="43" xpath="/ns1:Root/ns1:Prog/ns1:Target_P10_8" xmlDataType="double"/>
    </xmlCellPr>
  </singleXmlCell>
  <singleXmlCell id="744" xr6:uid="{00000000-000C-0000-FFFF-FFFF43010000}" r="R135" connectionId="0">
    <xmlCellPr id="1" xr6:uid="{00000000-0010-0000-4301-000001000000}" uniqueName="1">
      <xmlPr mapId="43" xpath="/ns1:Root/ns1:Prog/ns1:Target_P11_8" xmlDataType="double"/>
    </xmlCellPr>
  </singleXmlCell>
  <singleXmlCell id="745" xr6:uid="{00000000-000C-0000-FFFF-FFFF44010000}" r="S135" connectionId="0">
    <xmlCellPr id="1" xr6:uid="{00000000-0010-0000-4401-000001000000}" uniqueName="1">
      <xmlPr mapId="43" xpath="/ns1:Root/ns1:Prog/ns1:Target_P12_8" xmlDataType="double"/>
    </xmlCellPr>
  </singleXmlCell>
  <singleXmlCell id="746" xr6:uid="{00000000-000C-0000-FFFF-FFFF45010000}" r="H136" connectionId="0">
    <xmlCellPr id="1" xr6:uid="{00000000-0010-0000-4501-000001000000}" uniqueName="1">
      <xmlPr mapId="43" xpath="/ns1:Root/ns1:Prog/ns1:Achieved__P1_8" xmlDataType="string"/>
    </xmlCellPr>
  </singleXmlCell>
  <singleXmlCell id="747" xr6:uid="{00000000-000C-0000-FFFF-FFFF46010000}" r="I136" connectionId="0">
    <xmlCellPr id="1" xr6:uid="{00000000-0010-0000-4601-000001000000}" uniqueName="1">
      <xmlPr mapId="43" xpath="/ns1:Root/ns1:Prog/ns1:Achieved__P2_8" xmlDataType="string"/>
    </xmlCellPr>
  </singleXmlCell>
  <singleXmlCell id="748" xr6:uid="{00000000-000C-0000-FFFF-FFFF47010000}" r="J136" connectionId="0">
    <xmlCellPr id="1" xr6:uid="{00000000-0010-0000-4701-000001000000}" uniqueName="1">
      <xmlPr mapId="43" xpath="/ns1:Root/ns1:Prog/ns1:Achieved__P3_8" xmlDataType="string"/>
    </xmlCellPr>
  </singleXmlCell>
  <singleXmlCell id="749" xr6:uid="{00000000-000C-0000-FFFF-FFFF48010000}" r="K136" connectionId="0">
    <xmlCellPr id="1" xr6:uid="{00000000-0010-0000-4801-000001000000}" uniqueName="1">
      <xmlPr mapId="43" xpath="/ns1:Root/ns1:Prog/ns1:Achieved__P4_8" xmlDataType="string"/>
    </xmlCellPr>
  </singleXmlCell>
  <singleXmlCell id="750" xr6:uid="{00000000-000C-0000-FFFF-FFFF49010000}" r="L136" connectionId="0">
    <xmlCellPr id="1" xr6:uid="{00000000-0010-0000-4901-000001000000}" uniqueName="1">
      <xmlPr mapId="43" xpath="/ns1:Root/ns1:Prog/ns1:Achieved__P5_8" xmlDataType="string"/>
    </xmlCellPr>
  </singleXmlCell>
  <singleXmlCell id="751" xr6:uid="{00000000-000C-0000-FFFF-FFFF4A010000}" r="M136" connectionId="0">
    <xmlCellPr id="1" xr6:uid="{00000000-0010-0000-4A01-000001000000}" uniqueName="1">
      <xmlPr mapId="43" xpath="/ns1:Root/ns1:Prog/ns1:Achieved__P6_8" xmlDataType="string"/>
    </xmlCellPr>
  </singleXmlCell>
  <singleXmlCell id="752" xr6:uid="{00000000-000C-0000-FFFF-FFFF4B010000}" r="N136" connectionId="0">
    <xmlCellPr id="1" xr6:uid="{00000000-0010-0000-4B01-000001000000}" uniqueName="1">
      <xmlPr mapId="43" xpath="/ns1:Root/ns1:Prog/ns1:Achieved__P7_8" xmlDataType="string"/>
    </xmlCellPr>
  </singleXmlCell>
  <singleXmlCell id="753" xr6:uid="{00000000-000C-0000-FFFF-FFFF4C010000}" r="O136" connectionId="0">
    <xmlCellPr id="1" xr6:uid="{00000000-0010-0000-4C01-000001000000}" uniqueName="1">
      <xmlPr mapId="43" xpath="/ns1:Root/ns1:Prog/ns1:Achieved__P8_8" xmlDataType="string"/>
    </xmlCellPr>
  </singleXmlCell>
  <singleXmlCell id="754" xr6:uid="{00000000-000C-0000-FFFF-FFFF4D010000}" r="P136" connectionId="0">
    <xmlCellPr id="1" xr6:uid="{00000000-0010-0000-4D01-000001000000}" uniqueName="1">
      <xmlPr mapId="43" xpath="/ns1:Root/ns1:Prog/ns1:Achieved__P9_8" xmlDataType="string"/>
    </xmlCellPr>
  </singleXmlCell>
  <singleXmlCell id="755" xr6:uid="{00000000-000C-0000-FFFF-FFFF4E010000}" r="Q136" connectionId="0">
    <xmlCellPr id="1" xr6:uid="{00000000-0010-0000-4E01-000001000000}" uniqueName="1">
      <xmlPr mapId="43" xpath="/ns1:Root/ns1:Prog/ns1:Achieved__P10_8" xmlDataType="string"/>
    </xmlCellPr>
  </singleXmlCell>
  <singleXmlCell id="756" xr6:uid="{00000000-000C-0000-FFFF-FFFF4F010000}" r="R136" connectionId="0">
    <xmlCellPr id="1" xr6:uid="{00000000-0010-0000-4F01-000001000000}" uniqueName="1">
      <xmlPr mapId="43" xpath="/ns1:Root/ns1:Prog/ns1:Achieved__P11_8" xmlDataType="string"/>
    </xmlCellPr>
  </singleXmlCell>
  <singleXmlCell id="757" xr6:uid="{00000000-000C-0000-FFFF-FFFF50010000}" r="S136" connectionId="0">
    <xmlCellPr id="1" xr6:uid="{00000000-0010-0000-5001-000001000000}" uniqueName="1">
      <xmlPr mapId="43" xpath="/ns1:Root/ns1:Prog/ns1:Achieved__P12_8" xmlDataType="string"/>
    </xmlCellPr>
  </singleXmlCell>
  <singleXmlCell id="758" xr6:uid="{00000000-000C-0000-FFFF-FFFF51010000}" r="H137" connectionId="0">
    <xmlCellPr id="1" xr6:uid="{00000000-0010-0000-5101-000001000000}" uniqueName="1">
      <xmlPr mapId="43" xpath="/ns1:Root/ns1:Prog/ns1:Target_P1_9" xmlDataType="double"/>
    </xmlCellPr>
  </singleXmlCell>
  <singleXmlCell id="759" xr6:uid="{00000000-000C-0000-FFFF-FFFF52010000}" r="I137" connectionId="0">
    <xmlCellPr id="1" xr6:uid="{00000000-0010-0000-5201-000001000000}" uniqueName="1">
      <xmlPr mapId="43" xpath="/ns1:Root/ns1:Prog/ns1:Target_P2_9" xmlDataType="double"/>
    </xmlCellPr>
  </singleXmlCell>
  <singleXmlCell id="760" xr6:uid="{00000000-000C-0000-FFFF-FFFF53010000}" r="J137" connectionId="0">
    <xmlCellPr id="1" xr6:uid="{00000000-0010-0000-5301-000001000000}" uniqueName="1">
      <xmlPr mapId="43" xpath="/ns1:Root/ns1:Prog/ns1:Target_P3_9" xmlDataType="double"/>
    </xmlCellPr>
  </singleXmlCell>
  <singleXmlCell id="761" xr6:uid="{00000000-000C-0000-FFFF-FFFF54010000}" r="K137" connectionId="0">
    <xmlCellPr id="1" xr6:uid="{00000000-0010-0000-5401-000001000000}" uniqueName="1">
      <xmlPr mapId="43" xpath="/ns1:Root/ns1:Prog/ns1:Target_P4_9" xmlDataType="double"/>
    </xmlCellPr>
  </singleXmlCell>
  <singleXmlCell id="762" xr6:uid="{00000000-000C-0000-FFFF-FFFF55010000}" r="L137" connectionId="0">
    <xmlCellPr id="1" xr6:uid="{00000000-0010-0000-5501-000001000000}" uniqueName="1">
      <xmlPr mapId="43" xpath="/ns1:Root/ns1:Prog/ns1:Target_P5_9" xmlDataType="double"/>
    </xmlCellPr>
  </singleXmlCell>
  <singleXmlCell id="763" xr6:uid="{00000000-000C-0000-FFFF-FFFF56010000}" r="M137" connectionId="0">
    <xmlCellPr id="1" xr6:uid="{00000000-0010-0000-5601-000001000000}" uniqueName="1">
      <xmlPr mapId="43" xpath="/ns1:Root/ns1:Prog/ns1:Target_P6_9" xmlDataType="double"/>
    </xmlCellPr>
  </singleXmlCell>
  <singleXmlCell id="764" xr6:uid="{00000000-000C-0000-FFFF-FFFF57010000}" r="N137" connectionId="0">
    <xmlCellPr id="1" xr6:uid="{00000000-0010-0000-5701-000001000000}" uniqueName="1">
      <xmlPr mapId="43" xpath="/ns1:Root/ns1:Prog/ns1:Target_P7_9" xmlDataType="double"/>
    </xmlCellPr>
  </singleXmlCell>
  <singleXmlCell id="765" xr6:uid="{00000000-000C-0000-FFFF-FFFF58010000}" r="O137" connectionId="0">
    <xmlCellPr id="1" xr6:uid="{00000000-0010-0000-5801-000001000000}" uniqueName="1">
      <xmlPr mapId="43" xpath="/ns1:Root/ns1:Prog/ns1:Target_P8_9" xmlDataType="double"/>
    </xmlCellPr>
  </singleXmlCell>
  <singleXmlCell id="766" xr6:uid="{00000000-000C-0000-FFFF-FFFF59010000}" r="P137" connectionId="0">
    <xmlCellPr id="1" xr6:uid="{00000000-0010-0000-5901-000001000000}" uniqueName="1">
      <xmlPr mapId="43" xpath="/ns1:Root/ns1:Prog/ns1:Target_P9_9" xmlDataType="double"/>
    </xmlCellPr>
  </singleXmlCell>
  <singleXmlCell id="767" xr6:uid="{00000000-000C-0000-FFFF-FFFF5A010000}" r="Q137" connectionId="0">
    <xmlCellPr id="1" xr6:uid="{00000000-0010-0000-5A01-000001000000}" uniqueName="1">
      <xmlPr mapId="43" xpath="/ns1:Root/ns1:Prog/ns1:Target_P10_9" xmlDataType="double"/>
    </xmlCellPr>
  </singleXmlCell>
  <singleXmlCell id="768" xr6:uid="{00000000-000C-0000-FFFF-FFFF5B010000}" r="R137" connectionId="0">
    <xmlCellPr id="1" xr6:uid="{00000000-0010-0000-5B01-000001000000}" uniqueName="1">
      <xmlPr mapId="43" xpath="/ns1:Root/ns1:Prog/ns1:Target_P11_9" xmlDataType="double"/>
    </xmlCellPr>
  </singleXmlCell>
  <singleXmlCell id="769" xr6:uid="{00000000-000C-0000-FFFF-FFFF5C010000}" r="S137" connectionId="0">
    <xmlCellPr id="1" xr6:uid="{00000000-0010-0000-5C01-000001000000}" uniqueName="1">
      <xmlPr mapId="43" xpath="/ns1:Root/ns1:Prog/ns1:Target_P12_9" xmlDataType="double"/>
    </xmlCellPr>
  </singleXmlCell>
  <singleXmlCell id="770" xr6:uid="{00000000-000C-0000-FFFF-FFFF5D010000}" r="H138" connectionId="0">
    <xmlCellPr id="1" xr6:uid="{00000000-0010-0000-5D01-000001000000}" uniqueName="1">
      <xmlPr mapId="43" xpath="/ns1:Root/ns1:Prog/ns1:Achieved__P1_9" xmlDataType="string"/>
    </xmlCellPr>
  </singleXmlCell>
  <singleXmlCell id="771" xr6:uid="{00000000-000C-0000-FFFF-FFFF5E010000}" r="I138" connectionId="0">
    <xmlCellPr id="1" xr6:uid="{00000000-0010-0000-5E01-000001000000}" uniqueName="1">
      <xmlPr mapId="43" xpath="/ns1:Root/ns1:Prog/ns1:Achieved__P2_9" xmlDataType="double"/>
    </xmlCellPr>
  </singleXmlCell>
  <singleXmlCell id="772" xr6:uid="{00000000-000C-0000-FFFF-FFFF5F010000}" r="J138" connectionId="0">
    <xmlCellPr id="1" xr6:uid="{00000000-0010-0000-5F01-000001000000}" uniqueName="1">
      <xmlPr mapId="43" xpath="/ns1:Root/ns1:Prog/ns1:Achieved__P3_9" xmlDataType="string"/>
    </xmlCellPr>
  </singleXmlCell>
  <singleXmlCell id="773" xr6:uid="{00000000-000C-0000-FFFF-FFFF60010000}" r="K138" connectionId="0">
    <xmlCellPr id="1" xr6:uid="{00000000-0010-0000-6001-000001000000}" uniqueName="1">
      <xmlPr mapId="43" xpath="/ns1:Root/ns1:Prog/ns1:Achieved__P4_9" xmlDataType="double"/>
    </xmlCellPr>
  </singleXmlCell>
  <singleXmlCell id="774" xr6:uid="{00000000-000C-0000-FFFF-FFFF61010000}" r="L138" connectionId="0">
    <xmlCellPr id="1" xr6:uid="{00000000-0010-0000-6101-000001000000}" uniqueName="1">
      <xmlPr mapId="43" xpath="/ns1:Root/ns1:Prog/ns1:Achieved__P5_9" xmlDataType="string"/>
    </xmlCellPr>
  </singleXmlCell>
  <singleXmlCell id="775" xr6:uid="{00000000-000C-0000-FFFF-FFFF62010000}" r="M138" connectionId="0">
    <xmlCellPr id="1" xr6:uid="{00000000-0010-0000-6201-000001000000}" uniqueName="1">
      <xmlPr mapId="43" xpath="/ns1:Root/ns1:Prog/ns1:Achieved__P6_9" xmlDataType="string"/>
    </xmlCellPr>
  </singleXmlCell>
  <singleXmlCell id="776" xr6:uid="{00000000-000C-0000-FFFF-FFFF63010000}" r="N138" connectionId="0">
    <xmlCellPr id="1" xr6:uid="{00000000-0010-0000-6301-000001000000}" uniqueName="1">
      <xmlPr mapId="43" xpath="/ns1:Root/ns1:Prog/ns1:Achieved__P7_9" xmlDataType="string"/>
    </xmlCellPr>
  </singleXmlCell>
  <singleXmlCell id="777" xr6:uid="{00000000-000C-0000-FFFF-FFFF64010000}" r="O138" connectionId="0">
    <xmlCellPr id="1" xr6:uid="{00000000-0010-0000-6401-000001000000}" uniqueName="1">
      <xmlPr mapId="43" xpath="/ns1:Root/ns1:Prog/ns1:Achieved__P8_9" xmlDataType="string"/>
    </xmlCellPr>
  </singleXmlCell>
  <singleXmlCell id="778" xr6:uid="{00000000-000C-0000-FFFF-FFFF65010000}" r="P138" connectionId="0">
    <xmlCellPr id="1" xr6:uid="{00000000-0010-0000-6501-000001000000}" uniqueName="1">
      <xmlPr mapId="43" xpath="/ns1:Root/ns1:Prog/ns1:Achieved__P9_9" xmlDataType="string"/>
    </xmlCellPr>
  </singleXmlCell>
  <singleXmlCell id="779" xr6:uid="{00000000-000C-0000-FFFF-FFFF66010000}" r="Q138" connectionId="0">
    <xmlCellPr id="1" xr6:uid="{00000000-0010-0000-6601-000001000000}" uniqueName="1">
      <xmlPr mapId="43" xpath="/ns1:Root/ns1:Prog/ns1:Achieved__P10_9" xmlDataType="string"/>
    </xmlCellPr>
  </singleXmlCell>
  <singleXmlCell id="780" xr6:uid="{00000000-000C-0000-FFFF-FFFF67010000}" r="R138" connectionId="0">
    <xmlCellPr id="1" xr6:uid="{00000000-0010-0000-6701-000001000000}" uniqueName="1">
      <xmlPr mapId="43" xpath="/ns1:Root/ns1:Prog/ns1:Achieved__P11_9" xmlDataType="string"/>
    </xmlCellPr>
  </singleXmlCell>
  <singleXmlCell id="781" xr6:uid="{00000000-000C-0000-FFFF-FFFF68010000}" r="S138" connectionId="0">
    <xmlCellPr id="1" xr6:uid="{00000000-0010-0000-6801-000001000000}" uniqueName="1">
      <xmlPr mapId="43" xpath="/ns1:Root/ns1:Prog/ns1:Achieved__P12_9" xmlDataType="string"/>
    </xmlCellPr>
  </singleXmlCell>
  <singleXmlCell id="782" xr6:uid="{00000000-000C-0000-FFFF-FFFF69010000}" r="H139" connectionId="0">
    <xmlCellPr id="1" xr6:uid="{00000000-0010-0000-6901-000001000000}" uniqueName="1">
      <xmlPr mapId="43" xpath="/ns1:Root/ns1:Prog/ns1:Target_P1" xmlDataType="string"/>
    </xmlCellPr>
  </singleXmlCell>
  <singleXmlCell id="783" xr6:uid="{00000000-000C-0000-FFFF-FFFF6A010000}" r="I139" connectionId="0">
    <xmlCellPr id="1" xr6:uid="{00000000-0010-0000-6A01-000001000000}" uniqueName="1">
      <xmlPr mapId="43" xpath="/ns1:Root/ns1:Prog/ns1:Target_P2" xmlDataType="string"/>
    </xmlCellPr>
  </singleXmlCell>
  <singleXmlCell id="784" xr6:uid="{00000000-000C-0000-FFFF-FFFF6B010000}" r="J139" connectionId="0">
    <xmlCellPr id="1" xr6:uid="{00000000-0010-0000-6B01-000001000000}" uniqueName="1">
      <xmlPr mapId="43" xpath="/ns1:Root/ns1:Prog/ns1:Target_P3" xmlDataType="string"/>
    </xmlCellPr>
  </singleXmlCell>
  <singleXmlCell id="785" xr6:uid="{00000000-000C-0000-FFFF-FFFF6C010000}" r="K139" connectionId="0">
    <xmlCellPr id="1" xr6:uid="{00000000-0010-0000-6C01-000001000000}" uniqueName="1">
      <xmlPr mapId="43" xpath="/ns1:Root/ns1:Prog/ns1:Target_P4" xmlDataType="double"/>
    </xmlCellPr>
  </singleXmlCell>
  <singleXmlCell id="786" xr6:uid="{00000000-000C-0000-FFFF-FFFF6D010000}" r="L139" connectionId="0">
    <xmlCellPr id="1" xr6:uid="{00000000-0010-0000-6D01-000001000000}" uniqueName="1">
      <xmlPr mapId="43" xpath="/ns1:Root/ns1:Prog/ns1:Target_P5" xmlDataType="string"/>
    </xmlCellPr>
  </singleXmlCell>
  <singleXmlCell id="787" xr6:uid="{00000000-000C-0000-FFFF-FFFF6E010000}" r="M139" connectionId="0">
    <xmlCellPr id="1" xr6:uid="{00000000-0010-0000-6E01-000001000000}" uniqueName="1">
      <xmlPr mapId="43" xpath="/ns1:Root/ns1:Prog/ns1:Target_P6" xmlDataType="string"/>
    </xmlCellPr>
  </singleXmlCell>
  <singleXmlCell id="788" xr6:uid="{00000000-000C-0000-FFFF-FFFF6F010000}" r="N139" connectionId="0">
    <xmlCellPr id="1" xr6:uid="{00000000-0010-0000-6F01-000001000000}" uniqueName="1">
      <xmlPr mapId="43" xpath="/ns1:Root/ns1:Prog/ns1:Target_P7" xmlDataType="string"/>
    </xmlCellPr>
  </singleXmlCell>
  <singleXmlCell id="789" xr6:uid="{00000000-000C-0000-FFFF-FFFF70010000}" r="O139" connectionId="0">
    <xmlCellPr id="1" xr6:uid="{00000000-0010-0000-7001-000001000000}" uniqueName="1">
      <xmlPr mapId="43" xpath="/ns1:Root/ns1:Prog/ns1:Target_P8" xmlDataType="string"/>
    </xmlCellPr>
  </singleXmlCell>
  <singleXmlCell id="790" xr6:uid="{00000000-000C-0000-FFFF-FFFF71010000}" r="P139" connectionId="0">
    <xmlCellPr id="1" xr6:uid="{00000000-0010-0000-7101-000001000000}" uniqueName="1">
      <xmlPr mapId="43" xpath="/ns1:Root/ns1:Prog/ns1:Target_P9" xmlDataType="string"/>
    </xmlCellPr>
  </singleXmlCell>
  <singleXmlCell id="791" xr6:uid="{00000000-000C-0000-FFFF-FFFF72010000}" r="Q139" connectionId="0">
    <xmlCellPr id="1" xr6:uid="{00000000-0010-0000-7201-000001000000}" uniqueName="1">
      <xmlPr mapId="43" xpath="/ns1:Root/ns1:Prog/ns1:Target_P10" xmlDataType="string"/>
    </xmlCellPr>
  </singleXmlCell>
  <singleXmlCell id="792" xr6:uid="{00000000-000C-0000-FFFF-FFFF73010000}" r="R139" connectionId="0">
    <xmlCellPr id="1" xr6:uid="{00000000-0010-0000-7301-000001000000}" uniqueName="1">
      <xmlPr mapId="43" xpath="/ns1:Root/ns1:Prog/ns1:Target_P11" xmlDataType="string"/>
    </xmlCellPr>
  </singleXmlCell>
  <singleXmlCell id="793" xr6:uid="{00000000-000C-0000-FFFF-FFFF74010000}" r="S139" connectionId="0">
    <xmlCellPr id="1" xr6:uid="{00000000-0010-0000-7401-000001000000}" uniqueName="1">
      <xmlPr mapId="43" xpath="/ns1:Root/ns1:Prog/ns1:Target_P12" xmlDataType="string"/>
    </xmlCellPr>
  </singleXmlCell>
  <singleXmlCell id="794" xr6:uid="{00000000-000C-0000-FFFF-FFFF75010000}" r="H140" connectionId="0">
    <xmlCellPr id="1" xr6:uid="{00000000-0010-0000-7501-000001000000}" uniqueName="1">
      <xmlPr mapId="43" xpath="/ns1:Root/ns1:Prog/ns1:Achieved__P1" xmlDataType="string"/>
    </xmlCellPr>
  </singleXmlCell>
  <singleXmlCell id="795" xr6:uid="{00000000-000C-0000-FFFF-FFFF76010000}" r="I140" connectionId="0">
    <xmlCellPr id="1" xr6:uid="{00000000-0010-0000-7601-000001000000}" uniqueName="1">
      <xmlPr mapId="43" xpath="/ns1:Root/ns1:Prog/ns1:Achieved__P2" xmlDataType="string"/>
    </xmlCellPr>
  </singleXmlCell>
  <singleXmlCell id="796" xr6:uid="{00000000-000C-0000-FFFF-FFFF77010000}" r="J140" connectionId="0">
    <xmlCellPr id="1" xr6:uid="{00000000-0010-0000-7701-000001000000}" uniqueName="1">
      <xmlPr mapId="43" xpath="/ns1:Root/ns1:Prog/ns1:Achieved__P3" xmlDataType="string"/>
    </xmlCellPr>
  </singleXmlCell>
  <singleXmlCell id="797" xr6:uid="{00000000-000C-0000-FFFF-FFFF78010000}" r="K140" connectionId="0">
    <xmlCellPr id="1" xr6:uid="{00000000-0010-0000-7801-000001000000}" uniqueName="1">
      <xmlPr mapId="43" xpath="/ns1:Root/ns1:Prog/ns1:Achieved__P4" xmlDataType="string"/>
    </xmlCellPr>
  </singleXmlCell>
  <singleXmlCell id="798" xr6:uid="{00000000-000C-0000-FFFF-FFFF79010000}" r="L140" connectionId="0">
    <xmlCellPr id="1" xr6:uid="{00000000-0010-0000-7901-000001000000}" uniqueName="1">
      <xmlPr mapId="43" xpath="/ns1:Root/ns1:Prog/ns1:Achieved__P5" xmlDataType="string"/>
    </xmlCellPr>
  </singleXmlCell>
  <singleXmlCell id="799" xr6:uid="{00000000-000C-0000-FFFF-FFFF7A010000}" r="M140" connectionId="0">
    <xmlCellPr id="1" xr6:uid="{00000000-0010-0000-7A01-000001000000}" uniqueName="1">
      <xmlPr mapId="43" xpath="/ns1:Root/ns1:Prog/ns1:Achieved__P6" xmlDataType="string"/>
    </xmlCellPr>
  </singleXmlCell>
  <singleXmlCell id="800" xr6:uid="{00000000-000C-0000-FFFF-FFFF7B010000}" r="N140" connectionId="0">
    <xmlCellPr id="1" xr6:uid="{00000000-0010-0000-7B01-000001000000}" uniqueName="1">
      <xmlPr mapId="43" xpath="/ns1:Root/ns1:Prog/ns1:Achieved__P7" xmlDataType="string"/>
    </xmlCellPr>
  </singleXmlCell>
  <singleXmlCell id="801" xr6:uid="{00000000-000C-0000-FFFF-FFFF7C010000}" r="O140" connectionId="0">
    <xmlCellPr id="1" xr6:uid="{00000000-0010-0000-7C01-000001000000}" uniqueName="1">
      <xmlPr mapId="43" xpath="/ns1:Root/ns1:Prog/ns1:Achieved__P8" xmlDataType="string"/>
    </xmlCellPr>
  </singleXmlCell>
  <singleXmlCell id="802" xr6:uid="{00000000-000C-0000-FFFF-FFFF7D010000}" r="P140" connectionId="0">
    <xmlCellPr id="1" xr6:uid="{00000000-0010-0000-7D01-000001000000}" uniqueName="1">
      <xmlPr mapId="43" xpath="/ns1:Root/ns1:Prog/ns1:Achieved__P9" xmlDataType="string"/>
    </xmlCellPr>
  </singleXmlCell>
  <singleXmlCell id="803" xr6:uid="{00000000-000C-0000-FFFF-FFFF7E010000}" r="Q140" connectionId="0">
    <xmlCellPr id="1" xr6:uid="{00000000-0010-0000-7E01-000001000000}" uniqueName="1">
      <xmlPr mapId="43" xpath="/ns1:Root/ns1:Prog/ns1:Achieved__P10" xmlDataType="string"/>
    </xmlCellPr>
  </singleXmlCell>
  <singleXmlCell id="804" xr6:uid="{00000000-000C-0000-FFFF-FFFF7F010000}" r="R140" connectionId="0">
    <xmlCellPr id="1" xr6:uid="{00000000-0010-0000-7F01-000001000000}" uniqueName="1">
      <xmlPr mapId="43" xpath="/ns1:Root/ns1:Prog/ns1:Achieved__P11" xmlDataType="string"/>
    </xmlCellPr>
  </singleXmlCell>
  <singleXmlCell id="805" xr6:uid="{00000000-000C-0000-FFFF-FFFF80010000}" r="S140" connectionId="0">
    <xmlCellPr id="1" xr6:uid="{00000000-0010-0000-8001-000001000000}" uniqueName="1">
      <xmlPr mapId="43" xpath="/ns1:Root/ns1:Prog/ns1:Achieved__P12" xmlDataType="string"/>
    </xmlCellPr>
  </singleXmlCell>
  <singleXmlCell id="806" xr6:uid="{00000000-000C-0000-FFFF-FFFF81010000}" r="K123" connectionId="0">
    <xmlCellPr id="1" xr6:uid="{00000000-0010-0000-8101-000001000000}" uniqueName="1">
      <xmlPr mapId="43" xpath="/ns1:Root/ns1:Prog/ns1:Target_P4_2" xmlDataType="double"/>
    </xmlCellPr>
  </singleXmlCell>
  <singleXmlCell id="807" xr6:uid="{00000000-000C-0000-FFFF-FFFF82010000}" r="B121" connectionId="0">
    <xmlCellPr id="1" xr6:uid="{00000000-0010-0000-8201-000001000000}" uniqueName="1">
      <xmlPr mapId="43" xpath="/ns1:Root/ns1:P1" xmlDataType="string"/>
    </xmlCellPr>
  </singleXmlCell>
  <singleXmlCell id="808" xr6:uid="{00000000-000C-0000-FFFF-FFFF83010000}" r="E121" connectionId="0">
    <xmlCellPr id="1" xr6:uid="{00000000-0010-0000-8301-000001000000}" uniqueName="1">
      <xmlPr mapId="43" xpath="/ns1:Root/ns1:P1_Code" xmlDataType="double"/>
    </xmlCellPr>
  </singleXmlCell>
  <singleXmlCell id="809" xr6:uid="{00000000-000C-0000-FFFF-FFFF84010000}" r="F121" connectionId="0">
    <xmlCellPr id="1" xr6:uid="{00000000-0010-0000-8401-000001000000}" uniqueName="1">
      <xmlPr mapId="43" xpath="/ns1:Root/ns1:P1_Tied" xmlDataType="string"/>
    </xmlCellPr>
  </singleXmlCell>
  <singleXmlCell id="810" xr6:uid="{00000000-000C-0000-FFFF-FFFF85010000}" r="B123" connectionId="0">
    <xmlCellPr id="1" xr6:uid="{00000000-0010-0000-8501-000001000000}" uniqueName="1">
      <xmlPr mapId="43" xpath="/ns1:Root/ns1:P2" xmlDataType="string"/>
    </xmlCellPr>
  </singleXmlCell>
  <singleXmlCell id="811" xr6:uid="{00000000-000C-0000-FFFF-FFFF86010000}" r="E123" connectionId="0">
    <xmlCellPr id="1" xr6:uid="{00000000-0010-0000-8601-000001000000}" uniqueName="1">
      <xmlPr mapId="43" xpath="/ns1:Root/ns1:P2_Code" xmlDataType="double"/>
    </xmlCellPr>
  </singleXmlCell>
  <singleXmlCell id="812" xr6:uid="{00000000-000C-0000-FFFF-FFFF87010000}" r="F123" connectionId="0">
    <xmlCellPr id="1" xr6:uid="{00000000-0010-0000-8701-000001000000}" uniqueName="1">
      <xmlPr mapId="43" xpath="/ns1:Root/ns1:P2_Tied" xmlDataType="string"/>
    </xmlCellPr>
  </singleXmlCell>
  <singleXmlCell id="813" xr6:uid="{00000000-000C-0000-FFFF-FFFF88010000}" r="B125" connectionId="0">
    <xmlCellPr id="1" xr6:uid="{00000000-0010-0000-8801-000001000000}" uniqueName="1">
      <xmlPr mapId="43" xpath="/ns1:Root/ns1:P3" xmlDataType="string"/>
    </xmlCellPr>
  </singleXmlCell>
  <singleXmlCell id="814" xr6:uid="{00000000-000C-0000-FFFF-FFFF89010000}" r="E125" connectionId="0">
    <xmlCellPr id="1" xr6:uid="{00000000-0010-0000-8901-000001000000}" uniqueName="1">
      <xmlPr mapId="43" xpath="/ns1:Root/ns1:P3_Code" xmlDataType="double"/>
    </xmlCellPr>
  </singleXmlCell>
  <singleXmlCell id="815" xr6:uid="{00000000-000C-0000-FFFF-FFFF8A010000}" r="F125" connectionId="0">
    <xmlCellPr id="1" xr6:uid="{00000000-0010-0000-8A01-000001000000}" uniqueName="1">
      <xmlPr mapId="43" xpath="/ns1:Root/ns1:P3_Tied" xmlDataType="string"/>
    </xmlCellPr>
  </singleXmlCell>
  <singleXmlCell id="816" xr6:uid="{00000000-000C-0000-FFFF-FFFF8B010000}" r="B127" connectionId="0">
    <xmlCellPr id="1" xr6:uid="{00000000-0010-0000-8B01-000001000000}" uniqueName="1">
      <xmlPr mapId="43" xpath="/ns1:Root/ns1:P4" xmlDataType="string"/>
    </xmlCellPr>
  </singleXmlCell>
  <singleXmlCell id="817" xr6:uid="{00000000-000C-0000-FFFF-FFFF8C010000}" r="E127" connectionId="0">
    <xmlCellPr id="1" xr6:uid="{00000000-0010-0000-8C01-000001000000}" uniqueName="1">
      <xmlPr mapId="43" xpath="/ns1:Root/ns1:P4_Code" xmlDataType="double"/>
    </xmlCellPr>
  </singleXmlCell>
  <singleXmlCell id="818" xr6:uid="{00000000-000C-0000-FFFF-FFFF8D010000}" r="F127" connectionId="0">
    <xmlCellPr id="1" xr6:uid="{00000000-0010-0000-8D01-000001000000}" uniqueName="1">
      <xmlPr mapId="43" xpath="/ns1:Root/ns1:P4_Tied" xmlDataType="string"/>
    </xmlCellPr>
  </singleXmlCell>
  <singleXmlCell id="819" xr6:uid="{00000000-000C-0000-FFFF-FFFF8E010000}" r="B129" connectionId="0">
    <xmlCellPr id="1" xr6:uid="{00000000-0010-0000-8E01-000001000000}" uniqueName="1">
      <xmlPr mapId="43" xpath="/ns1:Root/ns1:P5" xmlDataType="string"/>
    </xmlCellPr>
  </singleXmlCell>
  <singleXmlCell id="820" xr6:uid="{00000000-000C-0000-FFFF-FFFF8F010000}" r="E129" connectionId="0">
    <xmlCellPr id="1" xr6:uid="{00000000-0010-0000-8F01-000001000000}" uniqueName="1">
      <xmlPr mapId="43" xpath="/ns1:Root/ns1:P5_Code" xmlDataType="double"/>
    </xmlCellPr>
  </singleXmlCell>
  <singleXmlCell id="821" xr6:uid="{00000000-000C-0000-FFFF-FFFF90010000}" r="F129" connectionId="0">
    <xmlCellPr id="1" xr6:uid="{00000000-0010-0000-9001-000001000000}" uniqueName="1">
      <xmlPr mapId="43" xpath="/ns1:Root/ns1:P5_Tied" xmlDataType="string"/>
    </xmlCellPr>
  </singleXmlCell>
  <singleXmlCell id="822" xr6:uid="{00000000-000C-0000-FFFF-FFFF91010000}" r="B131" connectionId="0">
    <xmlCellPr id="1" xr6:uid="{00000000-0010-0000-9101-000001000000}" uniqueName="1">
      <xmlPr mapId="43" xpath="/ns1:Root/ns1:P6" xmlDataType="string"/>
    </xmlCellPr>
  </singleXmlCell>
  <singleXmlCell id="823" xr6:uid="{00000000-000C-0000-FFFF-FFFF92010000}" r="E131" connectionId="0">
    <xmlCellPr id="1" xr6:uid="{00000000-0010-0000-9201-000001000000}" uniqueName="1">
      <xmlPr mapId="43" xpath="/ns1:Root/ns1:P6_Code" xmlDataType="double"/>
    </xmlCellPr>
  </singleXmlCell>
  <singleXmlCell id="824" xr6:uid="{00000000-000C-0000-FFFF-FFFF93010000}" r="F131" connectionId="0">
    <xmlCellPr id="1" xr6:uid="{00000000-0010-0000-9301-000001000000}" uniqueName="1">
      <xmlPr mapId="43" xpath="/ns1:Root/ns1:P6_Tied" xmlDataType="string"/>
    </xmlCellPr>
  </singleXmlCell>
  <singleXmlCell id="825" xr6:uid="{00000000-000C-0000-FFFF-FFFF94010000}" r="B133" connectionId="0">
    <xmlCellPr id="1" xr6:uid="{00000000-0010-0000-9401-000001000000}" uniqueName="1">
      <xmlPr mapId="43" xpath="/ns1:Root/ns1:P7" xmlDataType="string"/>
    </xmlCellPr>
  </singleXmlCell>
  <singleXmlCell id="826" xr6:uid="{00000000-000C-0000-FFFF-FFFF95010000}" r="E133" connectionId="0">
    <xmlCellPr id="1" xr6:uid="{00000000-0010-0000-9501-000001000000}" uniqueName="1">
      <xmlPr mapId="43" xpath="/ns1:Root/ns1:P7_Code" xmlDataType="double"/>
    </xmlCellPr>
  </singleXmlCell>
  <singleXmlCell id="827" xr6:uid="{00000000-000C-0000-FFFF-FFFF96010000}" r="F133" connectionId="0">
    <xmlCellPr id="1" xr6:uid="{00000000-0010-0000-9601-000001000000}" uniqueName="1">
      <xmlPr mapId="43" xpath="/ns1:Root/ns1:P7_Tied" xmlDataType="string"/>
    </xmlCellPr>
  </singleXmlCell>
  <singleXmlCell id="828" xr6:uid="{00000000-000C-0000-FFFF-FFFF97010000}" r="B135" connectionId="0">
    <xmlCellPr id="1" xr6:uid="{00000000-0010-0000-9701-000001000000}" uniqueName="1">
      <xmlPr mapId="43" xpath="/ns1:Root/ns1:P8" xmlDataType="string"/>
    </xmlCellPr>
  </singleXmlCell>
  <singleXmlCell id="829" xr6:uid="{00000000-000C-0000-FFFF-FFFF98010000}" r="E135" connectionId="0">
    <xmlCellPr id="1" xr6:uid="{00000000-0010-0000-9801-000001000000}" uniqueName="1">
      <xmlPr mapId="43" xpath="/ns1:Root/ns1:P8_Code" xmlDataType="double"/>
    </xmlCellPr>
  </singleXmlCell>
  <singleXmlCell id="830" xr6:uid="{00000000-000C-0000-FFFF-FFFF99010000}" r="F135" connectionId="0">
    <xmlCellPr id="1" xr6:uid="{00000000-0010-0000-9901-000001000000}" uniqueName="1">
      <xmlPr mapId="43" xpath="/ns1:Root/ns1:P8_Tied" xmlDataType="string"/>
    </xmlCellPr>
  </singleXmlCell>
  <singleXmlCell id="831" xr6:uid="{00000000-000C-0000-FFFF-FFFF9A010000}" r="B137" connectionId="0">
    <xmlCellPr id="1" xr6:uid="{00000000-0010-0000-9A01-000001000000}" uniqueName="1">
      <xmlPr mapId="43" xpath="/ns1:Root/ns1:P9" xmlDataType="string"/>
    </xmlCellPr>
  </singleXmlCell>
  <singleXmlCell id="832" xr6:uid="{00000000-000C-0000-FFFF-FFFF9B010000}" r="E137" connectionId="0">
    <xmlCellPr id="1" xr6:uid="{00000000-0010-0000-9B01-000001000000}" uniqueName="1">
      <xmlPr mapId="43" xpath="/ns1:Root/ns1:P9_Code" xmlDataType="double"/>
    </xmlCellPr>
  </singleXmlCell>
  <singleXmlCell id="833" xr6:uid="{00000000-000C-0000-FFFF-FFFF9C010000}" r="F137" connectionId="0">
    <xmlCellPr id="1" xr6:uid="{00000000-0010-0000-9C01-000001000000}" uniqueName="1">
      <xmlPr mapId="43" xpath="/ns1:Root/ns1:P9_Tied" xmlDataType="double"/>
    </xmlCellPr>
  </singleXmlCell>
  <singleXmlCell id="834" xr6:uid="{00000000-000C-0000-FFFF-FFFF9D010000}" r="B139" connectionId="0">
    <xmlCellPr id="1" xr6:uid="{00000000-0010-0000-9D01-000001000000}" uniqueName="1">
      <xmlPr mapId="43" xpath="/ns1:Root/ns1:P10" xmlDataType="string"/>
    </xmlCellPr>
  </singleXmlCell>
  <singleXmlCell id="835" xr6:uid="{00000000-000C-0000-FFFF-FFFF9E010000}" r="E139" connectionId="0">
    <xmlCellPr id="1" xr6:uid="{00000000-0010-0000-9E01-000001000000}" uniqueName="1">
      <xmlPr mapId="43" xpath="/ns1:Root/ns1:P10_Code" xmlDataType="double"/>
    </xmlCellPr>
  </singleXmlCell>
  <singleXmlCell id="836" xr6:uid="{00000000-000C-0000-FFFF-FFFF9F010000}" r="F139" connectionId="0">
    <xmlCellPr id="1" xr6:uid="{00000000-0010-0000-9F01-000001000000}" uniqueName="1">
      <xmlPr mapId="43" xpath="/ns1:Root/ns1:P10_Tied" xmlDataType="string"/>
    </xmlCellPr>
  </singleXmlCell>
  <singleXmlCell id="837" xr6:uid="{00000000-000C-0000-FFFF-FFFFA0010000}" r="D26" connectionId="0">
    <xmlCellPr id="1" xr6:uid="{00000000-0010-0000-A0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33" t="str">
        <f>+'Grant Detail'!B3:J3</f>
        <v>Dashboard:  Georgia - HIV / AIDS</v>
      </c>
      <c r="C2" s="533"/>
      <c r="D2" s="533"/>
      <c r="E2" s="533"/>
      <c r="F2" s="533"/>
      <c r="G2" s="533"/>
      <c r="H2" s="533"/>
      <c r="I2" s="533"/>
      <c r="J2" s="533"/>
      <c r="K2" s="533"/>
      <c r="L2" s="533"/>
      <c r="M2" s="1"/>
      <c r="N2" s="1"/>
      <c r="O2" s="1"/>
    </row>
    <row r="4" spans="2:15" ht="21">
      <c r="B4" s="534" t="str">
        <f>+IF('Data Entry'!G6="Please Select", "",'Data Entry'!G6) &amp;"  "&amp;+IF('Data Entry'!G8="Please Select", "", 'Data Entry'!G8&amp;",  ")&amp;+IF('Data Entry'!I8="Please Select","",'Data Entry'!I8)</f>
        <v>HIV / AIDS  NFM,  N/A</v>
      </c>
      <c r="C4" s="534"/>
      <c r="D4" s="534"/>
      <c r="E4" s="535"/>
      <c r="F4" s="229"/>
      <c r="G4" s="229"/>
      <c r="H4" s="350" t="str">
        <f>+'Data Entry'!B6&amp;" "&amp;+'Data Entry'!C6</f>
        <v>Grant No.: GEO-H-NCDC</v>
      </c>
      <c r="I4" s="350"/>
      <c r="J4" s="228"/>
      <c r="K4" s="229"/>
      <c r="L4" s="229"/>
    </row>
    <row r="22" spans="2:12" ht="26">
      <c r="B22" s="536" t="s">
        <v>405</v>
      </c>
      <c r="C22" s="537"/>
      <c r="D22" s="537"/>
      <c r="E22" s="537"/>
      <c r="F22" s="537"/>
      <c r="G22" s="537"/>
      <c r="H22" s="537"/>
      <c r="I22" s="537"/>
      <c r="J22" s="537"/>
      <c r="K22" s="537"/>
      <c r="L22" s="537"/>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24" t="str">
        <f>+"Dashboard: "&amp;" "&amp;+IF('Data Entry'!C4="Please Select","",'Data Entry'!C4&amp;" - ")&amp;+IF('Data Entry'!G6="Please Select","",'Data Entry'!G6)</f>
        <v>Dashboard:  Georgia - HIV / AIDS</v>
      </c>
      <c r="C2" s="624"/>
      <c r="D2" s="624"/>
      <c r="E2" s="624"/>
      <c r="F2" s="624"/>
      <c r="G2" s="624"/>
      <c r="H2" s="624"/>
      <c r="I2" s="624"/>
      <c r="J2" s="624"/>
      <c r="K2" s="624"/>
      <c r="L2" s="624"/>
      <c r="M2" s="624"/>
    </row>
    <row r="3" spans="1:15" ht="15.75" customHeight="1">
      <c r="A3" s="3"/>
      <c r="B3" s="220"/>
      <c r="C3" s="220"/>
      <c r="D3" s="220"/>
      <c r="E3" s="220"/>
      <c r="F3" s="220"/>
      <c r="G3" s="220"/>
      <c r="H3" s="220"/>
      <c r="I3" s="220"/>
      <c r="J3" s="220"/>
      <c r="K3" s="221"/>
      <c r="L3" s="221"/>
      <c r="M3" s="3"/>
    </row>
    <row r="5" spans="1:15" ht="24">
      <c r="B5" s="608" t="s">
        <v>283</v>
      </c>
      <c r="C5" s="608"/>
      <c r="D5" s="608"/>
      <c r="E5" s="608"/>
      <c r="F5" s="608"/>
      <c r="G5" s="608"/>
      <c r="H5" s="608"/>
      <c r="I5" s="608"/>
      <c r="J5" s="608"/>
      <c r="K5" s="608"/>
      <c r="L5" s="608"/>
      <c r="M5" s="608"/>
      <c r="N5" s="608"/>
      <c r="O5" s="608"/>
    </row>
    <row r="7" spans="1:15" ht="21">
      <c r="B7" s="625" t="s">
        <v>272</v>
      </c>
      <c r="C7" s="626"/>
      <c r="D7" s="627"/>
      <c r="E7" s="625" t="s">
        <v>273</v>
      </c>
      <c r="F7" s="626"/>
      <c r="G7" s="626"/>
      <c r="H7" s="626"/>
      <c r="I7" s="627"/>
      <c r="J7" s="625" t="s">
        <v>274</v>
      </c>
      <c r="K7" s="626"/>
      <c r="L7" s="627"/>
      <c r="M7" s="625" t="s">
        <v>347</v>
      </c>
      <c r="N7" s="626"/>
      <c r="O7" s="627"/>
    </row>
    <row r="8" spans="1:15" ht="92.25" customHeight="1">
      <c r="B8" s="553" t="str">
        <f>+'Data Entry'!B27</f>
        <v>F1: Budget and disbursements by Global Fund</v>
      </c>
      <c r="C8" s="636"/>
      <c r="D8" s="637"/>
      <c r="E8" s="628" t="s">
        <v>393</v>
      </c>
      <c r="F8" s="629"/>
      <c r="G8" s="629"/>
      <c r="H8" s="629"/>
      <c r="I8" s="630"/>
      <c r="J8" s="570" t="s">
        <v>348</v>
      </c>
      <c r="K8" s="571"/>
      <c r="L8" s="572"/>
      <c r="M8" s="570" t="s">
        <v>394</v>
      </c>
      <c r="N8" s="571"/>
      <c r="O8" s="572"/>
    </row>
    <row r="9" spans="1:15" ht="117.75" customHeight="1">
      <c r="B9" s="553" t="str">
        <f>+'Data Entry'!B36</f>
        <v>F2: Budget and actual expenditures by Grant Objective</v>
      </c>
      <c r="C9" s="636"/>
      <c r="D9" s="637"/>
      <c r="E9" s="585" t="s">
        <v>356</v>
      </c>
      <c r="F9" s="586"/>
      <c r="G9" s="586"/>
      <c r="H9" s="586"/>
      <c r="I9" s="587"/>
      <c r="J9" s="570" t="s">
        <v>350</v>
      </c>
      <c r="K9" s="571"/>
      <c r="L9" s="572"/>
      <c r="M9" s="570" t="s">
        <v>394</v>
      </c>
      <c r="N9" s="571"/>
      <c r="O9" s="572"/>
    </row>
    <row r="10" spans="1:15" ht="152.25" customHeight="1">
      <c r="B10" s="631" t="str">
        <f>+'Data Entry'!B52</f>
        <v>F3: Disbursements and expenditures</v>
      </c>
      <c r="C10" s="634"/>
      <c r="D10" s="635"/>
      <c r="E10" s="585" t="s">
        <v>395</v>
      </c>
      <c r="F10" s="586"/>
      <c r="G10" s="586"/>
      <c r="H10" s="586"/>
      <c r="I10" s="587"/>
      <c r="J10" s="570" t="s">
        <v>357</v>
      </c>
      <c r="K10" s="571"/>
      <c r="L10" s="572"/>
      <c r="M10" s="570" t="s">
        <v>349</v>
      </c>
      <c r="N10" s="571"/>
      <c r="O10" s="572"/>
    </row>
    <row r="11" spans="1:15" ht="279.75" customHeight="1">
      <c r="B11" s="631" t="str">
        <f>+'Data Entry'!B61</f>
        <v>F4: Latest PR reporting and disbursement cycle</v>
      </c>
      <c r="C11" s="632"/>
      <c r="D11" s="633"/>
      <c r="E11" s="585" t="s">
        <v>406</v>
      </c>
      <c r="F11" s="586"/>
      <c r="G11" s="586"/>
      <c r="H11" s="586"/>
      <c r="I11" s="587"/>
      <c r="J11" s="570" t="s">
        <v>358</v>
      </c>
      <c r="K11" s="571"/>
      <c r="L11" s="572"/>
      <c r="M11" s="570" t="s">
        <v>277</v>
      </c>
      <c r="N11" s="571"/>
      <c r="O11" s="572"/>
    </row>
    <row r="12" spans="1:15" s="19" customFormat="1">
      <c r="B12" s="638"/>
      <c r="C12" s="638"/>
      <c r="D12" s="638"/>
      <c r="E12" s="639"/>
      <c r="F12" s="639"/>
      <c r="G12" s="639"/>
      <c r="H12" s="639"/>
      <c r="I12" s="639"/>
      <c r="J12" s="639"/>
      <c r="K12" s="639"/>
      <c r="L12" s="639"/>
      <c r="M12" s="639"/>
      <c r="N12" s="639"/>
      <c r="O12" s="639"/>
    </row>
    <row r="13" spans="1:15" s="19" customFormat="1">
      <c r="B13" s="595"/>
      <c r="C13" s="595"/>
      <c r="D13" s="595"/>
      <c r="E13" s="596"/>
      <c r="F13" s="596"/>
      <c r="G13" s="596"/>
      <c r="H13" s="596"/>
      <c r="I13" s="596"/>
      <c r="J13" s="596"/>
      <c r="K13" s="596"/>
      <c r="L13" s="596"/>
      <c r="M13" s="596"/>
      <c r="N13" s="596"/>
      <c r="O13" s="596"/>
    </row>
    <row r="14" spans="1:15" s="19" customFormat="1">
      <c r="B14" s="595"/>
      <c r="C14" s="595"/>
      <c r="D14" s="595"/>
      <c r="E14" s="596"/>
      <c r="F14" s="596"/>
      <c r="G14" s="596"/>
      <c r="H14" s="596"/>
      <c r="I14" s="596"/>
      <c r="J14" s="596"/>
      <c r="K14" s="596"/>
      <c r="L14" s="596"/>
      <c r="M14" s="596"/>
      <c r="N14" s="596"/>
      <c r="O14" s="596"/>
    </row>
    <row r="15" spans="1:15" s="19" customFormat="1">
      <c r="B15" s="595"/>
      <c r="C15" s="595"/>
      <c r="D15" s="595"/>
      <c r="E15" s="596"/>
      <c r="F15" s="596"/>
      <c r="G15" s="596"/>
      <c r="H15" s="596"/>
      <c r="I15" s="596"/>
      <c r="J15" s="596"/>
      <c r="K15" s="596"/>
      <c r="L15" s="596"/>
      <c r="M15" s="596"/>
      <c r="N15" s="596"/>
      <c r="O15" s="596"/>
    </row>
    <row r="16" spans="1:15" ht="24">
      <c r="B16" s="608" t="s">
        <v>284</v>
      </c>
      <c r="C16" s="608"/>
      <c r="D16" s="608"/>
      <c r="E16" s="608"/>
      <c r="F16" s="608"/>
      <c r="G16" s="608"/>
      <c r="H16" s="608"/>
      <c r="I16" s="608"/>
      <c r="J16" s="608"/>
      <c r="K16" s="608"/>
      <c r="L16" s="608"/>
      <c r="M16" s="608"/>
      <c r="N16" s="608"/>
      <c r="O16" s="608"/>
    </row>
    <row r="18" spans="1:15" ht="21">
      <c r="B18" s="640" t="s">
        <v>272</v>
      </c>
      <c r="C18" s="641"/>
      <c r="D18" s="642"/>
      <c r="E18" s="640" t="s">
        <v>273</v>
      </c>
      <c r="F18" s="641"/>
      <c r="G18" s="641"/>
      <c r="H18" s="641"/>
      <c r="I18" s="642"/>
      <c r="J18" s="640" t="s">
        <v>274</v>
      </c>
      <c r="K18" s="641"/>
      <c r="L18" s="642"/>
      <c r="M18" s="640" t="s">
        <v>275</v>
      </c>
      <c r="N18" s="641"/>
      <c r="O18" s="642"/>
    </row>
    <row r="19" spans="1:15" ht="114" customHeight="1">
      <c r="B19" s="553" t="str">
        <f>+'Data Entry'!B72</f>
        <v>M1: Status of Conditions Precedent (CPs) and Time Bound Actions (TBAs)</v>
      </c>
      <c r="C19" s="554"/>
      <c r="D19" s="555"/>
      <c r="E19" s="585" t="s">
        <v>282</v>
      </c>
      <c r="F19" s="586"/>
      <c r="G19" s="586"/>
      <c r="H19" s="586"/>
      <c r="I19" s="587"/>
      <c r="J19" s="570" t="s">
        <v>351</v>
      </c>
      <c r="K19" s="571"/>
      <c r="L19" s="572"/>
      <c r="M19" s="570" t="s">
        <v>352</v>
      </c>
      <c r="N19" s="571"/>
      <c r="O19" s="572"/>
    </row>
    <row r="20" spans="1:15" ht="102.75" customHeight="1">
      <c r="B20" s="553" t="str">
        <f>+'Data Entry'!B79</f>
        <v>M2: Status of key PR management positions</v>
      </c>
      <c r="C20" s="554"/>
      <c r="D20" s="555"/>
      <c r="E20" s="585" t="s">
        <v>396</v>
      </c>
      <c r="F20" s="586"/>
      <c r="G20" s="586"/>
      <c r="H20" s="586"/>
      <c r="I20" s="587"/>
      <c r="J20" s="570" t="s">
        <v>279</v>
      </c>
      <c r="K20" s="571"/>
      <c r="L20" s="572"/>
      <c r="M20" s="570" t="s">
        <v>278</v>
      </c>
      <c r="N20" s="571"/>
      <c r="O20" s="572"/>
    </row>
    <row r="21" spans="1:15" ht="111.75" customHeight="1">
      <c r="B21" s="553" t="str">
        <f>+'Data Entry'!B84</f>
        <v xml:space="preserve">M3: Contractual arrangements (SRs) </v>
      </c>
      <c r="C21" s="554"/>
      <c r="D21" s="555"/>
      <c r="E21" s="588" t="s">
        <v>0</v>
      </c>
      <c r="F21" s="586"/>
      <c r="G21" s="586"/>
      <c r="H21" s="586"/>
      <c r="I21" s="587"/>
      <c r="J21" s="570" t="s">
        <v>353</v>
      </c>
      <c r="K21" s="571"/>
      <c r="L21" s="572"/>
      <c r="M21" s="570" t="s">
        <v>354</v>
      </c>
      <c r="N21" s="571"/>
      <c r="O21" s="572"/>
    </row>
    <row r="22" spans="1:15" ht="74.25" customHeight="1">
      <c r="B22" s="553" t="str">
        <f>+'Data Entry'!B89</f>
        <v>M4: Number of complete reports received on time</v>
      </c>
      <c r="C22" s="554"/>
      <c r="D22" s="555"/>
      <c r="E22" s="588" t="s">
        <v>407</v>
      </c>
      <c r="F22" s="597"/>
      <c r="G22" s="597"/>
      <c r="H22" s="597"/>
      <c r="I22" s="598"/>
      <c r="J22" s="570" t="s">
        <v>359</v>
      </c>
      <c r="K22" s="571"/>
      <c r="L22" s="572"/>
      <c r="M22" s="570" t="s">
        <v>280</v>
      </c>
      <c r="N22" s="571"/>
      <c r="O22" s="572"/>
    </row>
    <row r="23" spans="1:15" ht="207.75" customHeight="1">
      <c r="B23" s="589" t="str">
        <f>+'Data Entry'!B95</f>
        <v>M5: Budget and Procurement of health products, health equipment, medicines and pharmaceuticals</v>
      </c>
      <c r="C23" s="590"/>
      <c r="D23" s="591"/>
      <c r="E23" s="599" t="s">
        <v>360</v>
      </c>
      <c r="F23" s="600"/>
      <c r="G23" s="600"/>
      <c r="H23" s="600"/>
      <c r="I23" s="601"/>
      <c r="J23" s="579" t="s">
        <v>276</v>
      </c>
      <c r="K23" s="580"/>
      <c r="L23" s="581"/>
      <c r="M23" s="579" t="s">
        <v>281</v>
      </c>
      <c r="N23" s="580"/>
      <c r="O23" s="581"/>
    </row>
    <row r="24" spans="1:15" ht="114.75" customHeight="1">
      <c r="B24" s="592"/>
      <c r="C24" s="593"/>
      <c r="D24" s="594"/>
      <c r="E24" s="602" t="s">
        <v>355</v>
      </c>
      <c r="F24" s="603"/>
      <c r="G24" s="603"/>
      <c r="H24" s="603"/>
      <c r="I24" s="604"/>
      <c r="J24" s="582"/>
      <c r="K24" s="583"/>
      <c r="L24" s="584"/>
      <c r="M24" s="582"/>
      <c r="N24" s="583"/>
      <c r="O24" s="584"/>
    </row>
    <row r="25" spans="1:15" ht="409.5" customHeight="1">
      <c r="B25" s="553" t="str">
        <f>+'Data Entry'!B108</f>
        <v>M6: Difference between current and safety stock</v>
      </c>
      <c r="C25" s="554"/>
      <c r="D25" s="555"/>
      <c r="E25" s="564" t="s">
        <v>408</v>
      </c>
      <c r="F25" s="565"/>
      <c r="G25" s="565"/>
      <c r="H25" s="565"/>
      <c r="I25" s="566"/>
      <c r="J25" s="576" t="s">
        <v>361</v>
      </c>
      <c r="K25" s="577"/>
      <c r="L25" s="578"/>
      <c r="M25" s="573" t="s">
        <v>366</v>
      </c>
      <c r="N25" s="574"/>
      <c r="O25" s="575"/>
    </row>
    <row r="29" spans="1:15" ht="19">
      <c r="B29" s="255"/>
    </row>
    <row r="30" spans="1:15" ht="24">
      <c r="B30" s="608" t="s">
        <v>297</v>
      </c>
      <c r="C30" s="608"/>
      <c r="D30" s="608"/>
      <c r="E30" s="608"/>
      <c r="F30" s="608"/>
      <c r="G30" s="608"/>
      <c r="H30" s="608"/>
      <c r="I30" s="608"/>
      <c r="J30" s="608"/>
      <c r="K30" s="608"/>
      <c r="L30" s="608"/>
      <c r="M30" s="608"/>
      <c r="N30" s="608"/>
      <c r="O30" s="608"/>
    </row>
    <row r="32" spans="1:15" ht="28.5" customHeight="1">
      <c r="A32" s="246"/>
      <c r="B32" s="609" t="s">
        <v>345</v>
      </c>
      <c r="C32" s="610"/>
      <c r="D32" s="611"/>
      <c r="E32" s="612" t="s">
        <v>303</v>
      </c>
      <c r="F32" s="613"/>
      <c r="G32" s="613"/>
      <c r="H32" s="613"/>
      <c r="I32" s="614"/>
      <c r="J32" s="612" t="s">
        <v>274</v>
      </c>
      <c r="K32" s="613"/>
      <c r="L32" s="614"/>
      <c r="M32" s="612" t="s">
        <v>275</v>
      </c>
      <c r="N32" s="613"/>
      <c r="O32" s="614"/>
    </row>
    <row r="33" spans="1:15" ht="47.25" customHeight="1">
      <c r="A33" s="247"/>
      <c r="B33" s="556"/>
      <c r="C33" s="557"/>
      <c r="D33" s="558"/>
      <c r="E33" s="544"/>
      <c r="F33" s="545"/>
      <c r="G33" s="545"/>
      <c r="H33" s="545"/>
      <c r="I33" s="546"/>
      <c r="J33" s="550"/>
      <c r="K33" s="551"/>
      <c r="L33" s="552"/>
      <c r="M33" s="550"/>
      <c r="N33" s="551"/>
      <c r="O33" s="552"/>
    </row>
    <row r="34" spans="1:15" ht="59.25" customHeight="1">
      <c r="A34" s="247"/>
      <c r="B34" s="556"/>
      <c r="C34" s="557"/>
      <c r="D34" s="558"/>
      <c r="E34" s="544"/>
      <c r="F34" s="545"/>
      <c r="G34" s="545"/>
      <c r="H34" s="545"/>
      <c r="I34" s="546"/>
      <c r="J34" s="550"/>
      <c r="K34" s="551"/>
      <c r="L34" s="552"/>
      <c r="M34" s="550"/>
      <c r="N34" s="551"/>
      <c r="O34" s="552"/>
    </row>
    <row r="35" spans="1:15" ht="57.75" customHeight="1">
      <c r="A35" s="247"/>
      <c r="B35" s="556"/>
      <c r="C35" s="557"/>
      <c r="D35" s="558"/>
      <c r="E35" s="550"/>
      <c r="F35" s="551"/>
      <c r="G35" s="551"/>
      <c r="H35" s="551"/>
      <c r="I35" s="552"/>
      <c r="J35" s="550"/>
      <c r="K35" s="551"/>
      <c r="L35" s="552"/>
      <c r="M35" s="550"/>
      <c r="N35" s="551"/>
      <c r="O35" s="552"/>
    </row>
    <row r="36" spans="1:15" ht="9.75" customHeight="1">
      <c r="A36" s="247"/>
      <c r="B36" s="561"/>
      <c r="C36" s="562"/>
      <c r="D36" s="563"/>
      <c r="E36" s="248"/>
      <c r="F36" s="249"/>
      <c r="G36" s="249"/>
      <c r="H36" s="249"/>
      <c r="I36" s="250"/>
      <c r="J36" s="268"/>
      <c r="K36" s="269"/>
      <c r="L36" s="270"/>
      <c r="M36" s="268"/>
      <c r="N36" s="269"/>
      <c r="O36" s="270"/>
    </row>
    <row r="37" spans="1:15" ht="46.5" customHeight="1">
      <c r="A37" s="247"/>
      <c r="B37" s="556"/>
      <c r="C37" s="557"/>
      <c r="D37" s="558"/>
      <c r="E37" s="550"/>
      <c r="F37" s="559"/>
      <c r="G37" s="559"/>
      <c r="H37" s="559"/>
      <c r="I37" s="560"/>
      <c r="J37" s="263"/>
      <c r="K37" s="264"/>
      <c r="L37" s="265"/>
      <c r="M37" s="263"/>
      <c r="N37" s="264"/>
      <c r="O37" s="265"/>
    </row>
    <row r="38" spans="1:15" ht="69" customHeight="1">
      <c r="A38" s="247"/>
      <c r="B38" s="556"/>
      <c r="C38" s="557"/>
      <c r="D38" s="558"/>
      <c r="E38" s="544"/>
      <c r="F38" s="545"/>
      <c r="G38" s="545"/>
      <c r="H38" s="545"/>
      <c r="I38" s="546"/>
      <c r="J38" s="550"/>
      <c r="K38" s="551"/>
      <c r="L38" s="552"/>
      <c r="M38" s="550"/>
      <c r="N38" s="551"/>
      <c r="O38" s="552"/>
    </row>
    <row r="39" spans="1:15" ht="64.5" customHeight="1">
      <c r="A39" s="247"/>
      <c r="B39" s="556"/>
      <c r="C39" s="557"/>
      <c r="D39" s="558"/>
      <c r="E39" s="550"/>
      <c r="F39" s="551"/>
      <c r="G39" s="551"/>
      <c r="H39" s="551"/>
      <c r="I39" s="552"/>
      <c r="J39" s="263"/>
      <c r="K39" s="264"/>
      <c r="L39" s="265"/>
      <c r="M39" s="263"/>
      <c r="N39" s="264"/>
      <c r="O39" s="265"/>
    </row>
    <row r="40" spans="1:15" ht="45" customHeight="1">
      <c r="A40" s="247"/>
      <c r="B40" s="541"/>
      <c r="C40" s="542"/>
      <c r="D40" s="543"/>
      <c r="E40" s="567"/>
      <c r="F40" s="568"/>
      <c r="G40" s="568"/>
      <c r="H40" s="568"/>
      <c r="I40" s="569"/>
      <c r="J40" s="550"/>
      <c r="K40" s="551"/>
      <c r="L40" s="552"/>
      <c r="M40" s="550"/>
      <c r="N40" s="551"/>
      <c r="O40" s="552"/>
    </row>
    <row r="41" spans="1:15" ht="62.25" customHeight="1">
      <c r="A41" s="247"/>
      <c r="B41" s="538"/>
      <c r="C41" s="539"/>
      <c r="D41" s="540"/>
      <c r="E41" s="544"/>
      <c r="F41" s="545"/>
      <c r="G41" s="545"/>
      <c r="H41" s="545"/>
      <c r="I41" s="546"/>
      <c r="J41" s="550"/>
      <c r="K41" s="551"/>
      <c r="L41" s="552"/>
      <c r="M41" s="550"/>
      <c r="N41" s="551"/>
      <c r="O41" s="552"/>
    </row>
    <row r="42" spans="1:15" ht="84" customHeight="1">
      <c r="A42" s="247"/>
      <c r="B42" s="538"/>
      <c r="C42" s="539"/>
      <c r="D42" s="540"/>
      <c r="E42" s="550"/>
      <c r="F42" s="551"/>
      <c r="G42" s="551"/>
      <c r="H42" s="551"/>
      <c r="I42" s="552"/>
      <c r="J42" s="263"/>
      <c r="K42" s="264"/>
      <c r="L42" s="265"/>
      <c r="M42" s="263"/>
      <c r="N42" s="264"/>
      <c r="O42" s="265"/>
    </row>
    <row r="43" spans="1:15" ht="45" customHeight="1">
      <c r="A43" s="247"/>
      <c r="B43" s="538"/>
      <c r="C43" s="539"/>
      <c r="D43" s="540"/>
      <c r="E43" s="544"/>
      <c r="F43" s="545"/>
      <c r="G43" s="545"/>
      <c r="H43" s="545"/>
      <c r="I43" s="546"/>
      <c r="J43" s="550"/>
      <c r="K43" s="551"/>
      <c r="L43" s="552"/>
      <c r="M43" s="263"/>
      <c r="N43" s="264"/>
      <c r="O43" s="265"/>
    </row>
    <row r="44" spans="1:15" ht="64.5" customHeight="1">
      <c r="A44" s="247"/>
      <c r="B44" s="541"/>
      <c r="C44" s="542"/>
      <c r="D44" s="543"/>
      <c r="E44" s="544"/>
      <c r="F44" s="545"/>
      <c r="G44" s="545"/>
      <c r="H44" s="545"/>
      <c r="I44" s="546"/>
      <c r="J44" s="550"/>
      <c r="K44" s="551"/>
      <c r="L44" s="552"/>
      <c r="M44" s="263"/>
      <c r="N44" s="264"/>
      <c r="O44" s="265"/>
    </row>
    <row r="45" spans="1:15" ht="49.5" customHeight="1">
      <c r="B45" s="541"/>
      <c r="C45" s="542"/>
      <c r="D45" s="543"/>
      <c r="E45" s="544"/>
      <c r="F45" s="545"/>
      <c r="G45" s="545"/>
      <c r="H45" s="545"/>
      <c r="I45" s="546"/>
      <c r="J45" s="550"/>
      <c r="K45" s="551"/>
      <c r="L45" s="552"/>
      <c r="M45" s="263"/>
      <c r="N45" s="264"/>
      <c r="O45" s="265"/>
    </row>
    <row r="46" spans="1:15" ht="30" customHeight="1">
      <c r="B46" s="547"/>
      <c r="C46" s="548"/>
      <c r="D46" s="549"/>
      <c r="E46" s="251"/>
      <c r="F46" s="252"/>
      <c r="G46" s="252"/>
      <c r="H46" s="252"/>
      <c r="I46" s="253"/>
      <c r="J46" s="263"/>
      <c r="K46" s="264"/>
      <c r="L46" s="265"/>
      <c r="M46" s="263"/>
      <c r="N46" s="264"/>
      <c r="O46" s="265"/>
    </row>
    <row r="47" spans="1:15" ht="44.25" customHeight="1">
      <c r="B47" s="618" t="s">
        <v>298</v>
      </c>
      <c r="C47" s="619"/>
      <c r="D47" s="620"/>
      <c r="E47" s="621" t="s">
        <v>273</v>
      </c>
      <c r="F47" s="622"/>
      <c r="G47" s="622"/>
      <c r="H47" s="622"/>
      <c r="I47" s="623"/>
      <c r="J47" s="621" t="s">
        <v>274</v>
      </c>
      <c r="K47" s="622"/>
      <c r="L47" s="623"/>
      <c r="M47" s="621" t="s">
        <v>275</v>
      </c>
      <c r="N47" s="622"/>
      <c r="O47" s="623"/>
    </row>
    <row r="48" spans="1:15" ht="33.75" customHeight="1">
      <c r="B48" s="242"/>
      <c r="C48" s="243"/>
      <c r="D48" s="243"/>
      <c r="E48" s="236"/>
      <c r="F48" s="238"/>
      <c r="G48" s="238"/>
      <c r="H48" s="238"/>
      <c r="I48" s="238"/>
      <c r="J48" s="236"/>
      <c r="K48" s="236"/>
      <c r="L48" s="237"/>
      <c r="M48" s="235"/>
      <c r="N48" s="236"/>
      <c r="O48" s="237"/>
    </row>
    <row r="49" spans="2:15" ht="15.75" customHeight="1">
      <c r="B49" s="615" t="s">
        <v>295</v>
      </c>
      <c r="C49" s="616"/>
      <c r="D49" s="616"/>
      <c r="E49" s="616"/>
      <c r="F49" s="616"/>
      <c r="G49" s="616"/>
      <c r="H49" s="616"/>
      <c r="I49" s="616"/>
      <c r="J49" s="616"/>
      <c r="K49" s="616"/>
      <c r="L49" s="617"/>
      <c r="M49" s="605" t="s">
        <v>285</v>
      </c>
      <c r="N49" s="606"/>
      <c r="O49" s="607"/>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5"/>
  <sheetViews>
    <sheetView showGridLines="0" tabSelected="1" zoomScale="84" zoomScaleNormal="80" zoomScalePageLayoutView="90" workbookViewId="0">
      <selection activeCell="J17" sqref="J17"/>
    </sheetView>
  </sheetViews>
  <sheetFormatPr baseColWidth="10" defaultColWidth="11" defaultRowHeight="15"/>
  <cols>
    <col min="1" max="1" width="2.6640625" customWidth="1"/>
    <col min="2" max="2" width="46.1640625" customWidth="1"/>
    <col min="3" max="3" width="36" customWidth="1"/>
    <col min="4" max="4" width="19.1640625" customWidth="1"/>
    <col min="5" max="5" width="22.164062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74" t="s">
        <v>373</v>
      </c>
      <c r="C2" s="674"/>
      <c r="D2" s="674"/>
      <c r="E2" s="674"/>
      <c r="F2" s="674"/>
      <c r="G2" s="674"/>
      <c r="H2" s="674"/>
      <c r="I2" s="674"/>
      <c r="J2" s="674"/>
      <c r="K2" s="285"/>
      <c r="L2" s="285"/>
      <c r="M2" s="285"/>
    </row>
    <row r="3" spans="1:13" ht="4.5" customHeight="1">
      <c r="A3" s="3"/>
      <c r="B3" s="3"/>
      <c r="C3" s="3"/>
      <c r="D3" s="3"/>
      <c r="E3" s="3"/>
      <c r="F3" s="3"/>
      <c r="G3" s="3"/>
      <c r="H3" s="3"/>
      <c r="I3" s="3"/>
      <c r="J3" s="3"/>
      <c r="K3" s="3"/>
      <c r="L3" s="3"/>
      <c r="M3" s="3"/>
    </row>
    <row r="4" spans="1:13">
      <c r="A4" s="3"/>
      <c r="B4" s="283" t="s">
        <v>25</v>
      </c>
      <c r="C4" s="665" t="s">
        <v>176</v>
      </c>
      <c r="D4" s="666"/>
      <c r="E4" s="664" t="s">
        <v>11</v>
      </c>
      <c r="F4" s="664"/>
      <c r="G4" s="675" t="s">
        <v>439</v>
      </c>
      <c r="H4" s="676"/>
      <c r="I4" s="676"/>
      <c r="J4" s="677"/>
      <c r="K4" s="3"/>
      <c r="L4" s="3"/>
      <c r="M4" s="3"/>
    </row>
    <row r="5" spans="1:13" ht="3" customHeight="1">
      <c r="A5" s="3"/>
      <c r="B5" s="283"/>
      <c r="C5" s="3"/>
      <c r="D5" s="3"/>
      <c r="E5" s="286"/>
      <c r="F5" s="286"/>
      <c r="G5" s="3"/>
      <c r="H5" s="3"/>
      <c r="I5" s="3"/>
      <c r="J5" s="3"/>
      <c r="K5" s="3"/>
      <c r="L5" s="3"/>
      <c r="M5" s="3"/>
    </row>
    <row r="6" spans="1:13">
      <c r="A6" s="3"/>
      <c r="B6" s="283" t="s">
        <v>116</v>
      </c>
      <c r="C6" s="665" t="s">
        <v>413</v>
      </c>
      <c r="D6" s="666"/>
      <c r="E6" s="664" t="s">
        <v>26</v>
      </c>
      <c r="F6" s="664"/>
      <c r="G6" s="314" t="s">
        <v>27</v>
      </c>
      <c r="H6" s="283" t="s">
        <v>321</v>
      </c>
      <c r="I6" s="679">
        <v>17962183.992709801</v>
      </c>
      <c r="J6" s="680"/>
      <c r="K6" s="3"/>
      <c r="L6" s="3"/>
      <c r="M6" s="3"/>
    </row>
    <row r="7" spans="1:13" ht="3" customHeight="1">
      <c r="A7" s="3"/>
      <c r="B7" s="283"/>
      <c r="C7" s="3"/>
      <c r="D7" s="3"/>
      <c r="E7" s="286"/>
      <c r="F7" s="286"/>
      <c r="G7" s="3"/>
      <c r="H7" s="283"/>
      <c r="I7" s="3"/>
      <c r="J7" s="3"/>
      <c r="K7" s="3"/>
      <c r="L7" s="3"/>
      <c r="M7" s="3"/>
    </row>
    <row r="8" spans="1:13">
      <c r="A8" s="3"/>
      <c r="B8" s="283" t="s">
        <v>268</v>
      </c>
      <c r="C8" s="665" t="s">
        <v>414</v>
      </c>
      <c r="D8" s="666"/>
      <c r="E8" s="287"/>
      <c r="F8" s="282" t="s">
        <v>323</v>
      </c>
      <c r="G8" s="314" t="s">
        <v>438</v>
      </c>
      <c r="H8" s="282" t="s">
        <v>322</v>
      </c>
      <c r="I8" s="679" t="s">
        <v>437</v>
      </c>
      <c r="J8" s="680"/>
      <c r="K8" s="3"/>
      <c r="L8" s="3"/>
      <c r="M8" s="3"/>
    </row>
    <row r="9" spans="1:13" ht="3" customHeight="1">
      <c r="A9" s="3"/>
      <c r="B9" s="286"/>
      <c r="C9" s="3"/>
      <c r="D9" s="3"/>
      <c r="E9" s="286"/>
      <c r="F9" s="286"/>
      <c r="G9" s="3"/>
      <c r="H9" s="3"/>
      <c r="I9" s="3"/>
      <c r="J9" s="3"/>
      <c r="K9" s="3"/>
      <c r="L9" s="3"/>
      <c r="M9" s="3"/>
    </row>
    <row r="10" spans="1:13">
      <c r="A10" s="3"/>
      <c r="B10" s="283" t="s">
        <v>402</v>
      </c>
      <c r="C10" s="683">
        <v>42552</v>
      </c>
      <c r="D10" s="684"/>
      <c r="E10" s="678" t="s">
        <v>30</v>
      </c>
      <c r="F10" s="670"/>
      <c r="G10" s="665" t="s">
        <v>262</v>
      </c>
      <c r="H10" s="682"/>
      <c r="I10" s="682"/>
      <c r="J10" s="666"/>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63" t="s">
        <v>45</v>
      </c>
      <c r="D12" s="663"/>
      <c r="E12" s="678" t="s">
        <v>289</v>
      </c>
      <c r="F12" s="664"/>
      <c r="G12" s="681" t="s">
        <v>452</v>
      </c>
      <c r="H12" s="681"/>
      <c r="I12" s="681"/>
      <c r="J12" s="681"/>
      <c r="K12" s="3"/>
      <c r="L12" s="3"/>
      <c r="M12" s="3"/>
    </row>
    <row r="13" spans="1:13" ht="5.25" customHeight="1">
      <c r="A13" s="3"/>
      <c r="B13" s="3"/>
      <c r="C13" s="3"/>
      <c r="D13" s="3"/>
      <c r="E13" s="3"/>
      <c r="F13" s="3"/>
      <c r="G13" s="3"/>
      <c r="H13" s="3"/>
      <c r="I13" s="3"/>
      <c r="J13" s="3"/>
      <c r="K13" s="3"/>
      <c r="L13" s="3"/>
      <c r="M13" s="3"/>
    </row>
    <row r="14" spans="1:13" ht="15.75" customHeight="1">
      <c r="A14" s="3"/>
      <c r="B14" s="674" t="s">
        <v>2</v>
      </c>
      <c r="C14" s="674"/>
      <c r="D14" s="674"/>
      <c r="E14" s="674"/>
      <c r="F14" s="674"/>
      <c r="G14" s="674"/>
      <c r="H14" s="674"/>
      <c r="I14" s="674"/>
      <c r="J14" s="674"/>
      <c r="K14" s="3"/>
      <c r="L14" s="3"/>
      <c r="M14" s="3"/>
    </row>
    <row r="15" spans="1:13" ht="3" customHeight="1">
      <c r="A15" s="3"/>
      <c r="B15" s="3"/>
      <c r="C15" s="3"/>
      <c r="D15" s="3"/>
      <c r="E15" s="3"/>
      <c r="F15" s="3"/>
      <c r="G15" s="3"/>
      <c r="H15" s="3"/>
      <c r="I15" s="3"/>
      <c r="J15" s="3"/>
      <c r="K15" s="3"/>
      <c r="L15" s="3"/>
      <c r="M15" s="3"/>
    </row>
    <row r="16" spans="1:13">
      <c r="A16" s="3"/>
      <c r="B16" s="283" t="s">
        <v>20</v>
      </c>
      <c r="C16" s="398" t="s">
        <v>126</v>
      </c>
      <c r="D16" s="282" t="s">
        <v>324</v>
      </c>
      <c r="E16" s="288">
        <v>43466</v>
      </c>
      <c r="F16" s="284" t="s">
        <v>8</v>
      </c>
      <c r="G16" s="288">
        <v>43555</v>
      </c>
      <c r="H16" s="678" t="s">
        <v>325</v>
      </c>
      <c r="I16" s="670"/>
      <c r="J16" s="530">
        <v>43605</v>
      </c>
      <c r="K16" s="3"/>
      <c r="L16" s="3"/>
      <c r="M16" s="3"/>
    </row>
    <row r="17" spans="1:35" ht="3" customHeight="1">
      <c r="A17" s="3"/>
      <c r="B17" s="3"/>
      <c r="C17" s="3"/>
      <c r="D17" s="3"/>
      <c r="E17" s="3"/>
      <c r="F17" s="3"/>
      <c r="G17" s="3"/>
      <c r="H17" s="3"/>
      <c r="I17" s="3"/>
      <c r="J17" s="3"/>
      <c r="K17" s="3"/>
      <c r="L17" s="3"/>
      <c r="M17" s="3"/>
    </row>
    <row r="18" spans="1:35">
      <c r="A18" s="3"/>
      <c r="B18" s="669" t="s">
        <v>31</v>
      </c>
      <c r="C18" s="670"/>
      <c r="D18" s="671" t="s">
        <v>415</v>
      </c>
      <c r="E18" s="671"/>
      <c r="F18" s="671"/>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4" t="s">
        <v>362</v>
      </c>
      <c r="C21" s="674"/>
      <c r="D21" s="674"/>
      <c r="E21" s="674"/>
      <c r="F21" s="674"/>
      <c r="G21" s="674"/>
      <c r="H21" s="674"/>
      <c r="I21" s="674"/>
      <c r="J21" s="674"/>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6" thickBot="1">
      <c r="A24" s="3"/>
      <c r="B24" s="283" t="s">
        <v>398</v>
      </c>
      <c r="C24" s="389"/>
      <c r="D24" s="664" t="s">
        <v>399</v>
      </c>
      <c r="E24" s="664"/>
      <c r="F24" s="390"/>
      <c r="G24" s="664" t="s">
        <v>400</v>
      </c>
      <c r="H24" s="664"/>
      <c r="I24" s="725"/>
      <c r="J24" s="726"/>
      <c r="K24" s="3"/>
      <c r="L24" s="3"/>
      <c r="M24" s="3"/>
      <c r="N24" s="20"/>
    </row>
    <row r="25" spans="1:35" ht="20" thickBot="1">
      <c r="A25" s="3"/>
      <c r="B25" s="87" t="s">
        <v>398</v>
      </c>
      <c r="C25" s="88"/>
      <c r="D25" s="88"/>
      <c r="E25" s="88"/>
      <c r="F25" s="88"/>
      <c r="G25" s="88"/>
      <c r="H25" s="271"/>
      <c r="I25" s="89"/>
      <c r="J25" s="89"/>
      <c r="K25" s="271" t="s">
        <v>326</v>
      </c>
      <c r="L25" s="88"/>
      <c r="M25" s="88"/>
      <c r="N25" s="399"/>
      <c r="O25" s="40"/>
      <c r="AI25" s="44"/>
    </row>
    <row r="26" spans="1:35">
      <c r="A26" s="3"/>
      <c r="B26" s="715" t="s">
        <v>369</v>
      </c>
      <c r="C26" s="716"/>
      <c r="D26" s="409" t="s">
        <v>18</v>
      </c>
      <c r="E26" s="91"/>
      <c r="F26" s="91"/>
      <c r="G26" s="91"/>
      <c r="H26" s="91"/>
      <c r="I26" s="91"/>
      <c r="J26" s="92"/>
      <c r="K26" s="91"/>
      <c r="L26" s="91"/>
      <c r="M26" s="91"/>
      <c r="N26" s="40"/>
      <c r="O26" s="40"/>
      <c r="AI26" s="44"/>
    </row>
    <row r="27" spans="1:35" ht="19">
      <c r="A27" s="3"/>
      <c r="B27" s="90" t="s">
        <v>379</v>
      </c>
      <c r="C27" s="91"/>
      <c r="D27" s="91"/>
      <c r="E27" s="91"/>
      <c r="F27" s="91"/>
      <c r="G27" s="91"/>
      <c r="H27" s="91"/>
      <c r="I27" s="91"/>
      <c r="J27" s="92"/>
      <c r="K27" s="91"/>
      <c r="L27" s="91"/>
      <c r="M27" s="91"/>
      <c r="N27" s="40"/>
      <c r="O27" s="40"/>
      <c r="AI27" s="44"/>
    </row>
    <row r="28" spans="1:35" ht="16" thickBot="1">
      <c r="A28" s="3"/>
      <c r="B28" s="3"/>
      <c r="C28" s="3"/>
      <c r="D28" s="3"/>
      <c r="E28" s="3"/>
      <c r="F28" s="3"/>
      <c r="G28" s="3"/>
      <c r="H28" s="3"/>
      <c r="I28" s="3"/>
      <c r="J28" s="3"/>
      <c r="K28" s="3"/>
      <c r="L28" s="3"/>
      <c r="M28" s="3"/>
    </row>
    <row r="29" spans="1:35" ht="16" thickBot="1">
      <c r="A29" s="3"/>
      <c r="B29" s="644" t="s">
        <v>59</v>
      </c>
      <c r="C29" s="645"/>
      <c r="D29" s="645"/>
      <c r="E29" s="645"/>
      <c r="F29" s="645"/>
      <c r="G29" s="645"/>
      <c r="H29" s="645"/>
      <c r="I29" s="645"/>
      <c r="J29" s="645"/>
      <c r="K29" s="645"/>
      <c r="L29" s="645"/>
      <c r="M29" s="645"/>
      <c r="N29" s="646"/>
      <c r="P29" s="207"/>
      <c r="Q29" s="208"/>
      <c r="R29" s="209">
        <f>+C33</f>
        <v>1753207.6497905985</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3401736.7922998201</v>
      </c>
      <c r="S30" s="207"/>
    </row>
    <row r="31" spans="1:35">
      <c r="A31" s="3"/>
      <c r="B31" s="279" t="str">
        <f>CONCATENATE("Budget (in ",'Data Entry'!$D$26,")")</f>
        <v>Budget (in $)</v>
      </c>
      <c r="C31" s="380">
        <v>1753207.6497905985</v>
      </c>
      <c r="D31" s="379">
        <v>1648529.1425092216</v>
      </c>
      <c r="E31" s="379">
        <v>1203101.8906006217</v>
      </c>
      <c r="F31" s="379">
        <v>2402502.8144092588</v>
      </c>
      <c r="G31" s="379">
        <v>1065334.1015531267</v>
      </c>
      <c r="H31" s="379">
        <v>1449595.2447173872</v>
      </c>
      <c r="I31" s="379">
        <v>1017485.3641301848</v>
      </c>
      <c r="J31" s="379">
        <v>1381972.709636864</v>
      </c>
      <c r="K31" s="379">
        <v>1452287.9958838769</v>
      </c>
      <c r="L31" s="379">
        <v>1418021.7081180084</v>
      </c>
      <c r="M31" s="379">
        <v>1678154.3460412242</v>
      </c>
      <c r="N31" s="379">
        <v>1491991.025319383</v>
      </c>
      <c r="O31" s="732">
        <f>+SUM(C35:N35)</f>
        <v>0.98320531532702515</v>
      </c>
      <c r="P31" s="207"/>
      <c r="Q31" s="208"/>
      <c r="R31" s="209">
        <f>+E33</f>
        <v>4604838.6829004418</v>
      </c>
      <c r="S31" s="207"/>
    </row>
    <row r="32" spans="1:35">
      <c r="A32" s="3"/>
      <c r="B32" s="93" t="str">
        <f>CONCATENATE("Disbursements by GF (in ", $D$26,")")</f>
        <v>Disbursements by GF (in $)</v>
      </c>
      <c r="C32" s="380">
        <f>1284254+627977.72</f>
        <v>1912231.72</v>
      </c>
      <c r="D32" s="380">
        <v>2063549.52</v>
      </c>
      <c r="E32" s="380">
        <v>1240552.1499999999</v>
      </c>
      <c r="F32" s="379">
        <v>2624740.4699999997</v>
      </c>
      <c r="G32" s="380">
        <v>160958.97999999998</v>
      </c>
      <c r="H32" s="380">
        <v>1362781.42</v>
      </c>
      <c r="I32" s="518">
        <f>816070.3</f>
        <v>816070.3</v>
      </c>
      <c r="J32" s="518">
        <f>1865698.14</f>
        <v>1865698.14</v>
      </c>
      <c r="K32" s="518">
        <v>1436247.95</v>
      </c>
      <c r="L32" s="518">
        <v>1697024.4</v>
      </c>
      <c r="M32" s="379">
        <v>1013726.22</v>
      </c>
      <c r="N32" s="379"/>
      <c r="O32" s="733"/>
      <c r="P32" s="207"/>
      <c r="Q32" s="208"/>
      <c r="R32" s="209">
        <f>+F33</f>
        <v>7007341.4973097006</v>
      </c>
      <c r="S32" s="207"/>
    </row>
    <row r="33" spans="1:35">
      <c r="A33" s="3"/>
      <c r="B33" s="94" t="s">
        <v>385</v>
      </c>
      <c r="C33" s="381">
        <f>+C31</f>
        <v>1753207.6497905985</v>
      </c>
      <c r="D33" s="381">
        <f>IF(AND(D31=0,D32=0),0,+C33+D31)</f>
        <v>3401736.7922998201</v>
      </c>
      <c r="E33" s="381">
        <f t="shared" ref="E33:N33" si="0">IF(AND(E31=0,E32=0),0,+D33+E31)</f>
        <v>4604838.6829004418</v>
      </c>
      <c r="F33" s="381">
        <f t="shared" si="0"/>
        <v>7007341.4973097006</v>
      </c>
      <c r="G33" s="381">
        <f t="shared" si="0"/>
        <v>8072675.5988628268</v>
      </c>
      <c r="H33" s="381">
        <f t="shared" si="0"/>
        <v>9522270.8435802143</v>
      </c>
      <c r="I33" s="381">
        <f t="shared" si="0"/>
        <v>10539756.207710398</v>
      </c>
      <c r="J33" s="381">
        <f t="shared" si="0"/>
        <v>11921728.917347262</v>
      </c>
      <c r="K33" s="381">
        <f t="shared" si="0"/>
        <v>13374016.913231138</v>
      </c>
      <c r="L33" s="381">
        <f t="shared" si="0"/>
        <v>14792038.621349147</v>
      </c>
      <c r="M33" s="381">
        <f t="shared" si="0"/>
        <v>16470192.967390371</v>
      </c>
      <c r="N33" s="381">
        <f t="shared" si="0"/>
        <v>17962183.992709756</v>
      </c>
      <c r="O33" s="733"/>
      <c r="P33" s="362"/>
      <c r="Q33" s="208"/>
      <c r="R33" s="209">
        <f>+G33</f>
        <v>8072675.5988628268</v>
      </c>
      <c r="S33" s="207"/>
    </row>
    <row r="34" spans="1:35" ht="16" thickBot="1">
      <c r="A34" s="3"/>
      <c r="B34" s="95" t="s">
        <v>386</v>
      </c>
      <c r="C34" s="382">
        <f>+C32</f>
        <v>1912231.72</v>
      </c>
      <c r="D34" s="382">
        <f>IF(AND(D31=0,D32=0),0,+C34+D32)</f>
        <v>3975781.24</v>
      </c>
      <c r="E34" s="382">
        <f t="shared" ref="E34:N34" si="1">IF(AND(E31=0,E32=0),0,+D34+E32)</f>
        <v>5216333.3900000006</v>
      </c>
      <c r="F34" s="382">
        <f t="shared" si="1"/>
        <v>7841073.8600000003</v>
      </c>
      <c r="G34" s="382">
        <f>IF(AND(G31=0,G32=0),0,+F34+G32)</f>
        <v>8002032.8399999999</v>
      </c>
      <c r="H34" s="382">
        <f t="shared" si="1"/>
        <v>9364814.2599999998</v>
      </c>
      <c r="I34" s="382">
        <f t="shared" si="1"/>
        <v>10180884.560000001</v>
      </c>
      <c r="J34" s="382">
        <f t="shared" si="1"/>
        <v>12046582.700000001</v>
      </c>
      <c r="K34" s="382">
        <f t="shared" si="1"/>
        <v>13482830.65</v>
      </c>
      <c r="L34" s="382">
        <f t="shared" si="1"/>
        <v>15179855.050000001</v>
      </c>
      <c r="M34" s="382">
        <f>IF(AND(M31=0,M32=0),0,+L34+M32)</f>
        <v>16193581.270000001</v>
      </c>
      <c r="N34" s="382">
        <f t="shared" si="1"/>
        <v>16193581.270000001</v>
      </c>
      <c r="O34" s="734"/>
      <c r="P34" s="362"/>
      <c r="Q34" s="208"/>
      <c r="R34" s="209">
        <f>+H33</f>
        <v>9522270.8435802143</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v>
      </c>
      <c r="J35" s="342">
        <f t="shared" si="2"/>
        <v>0</v>
      </c>
      <c r="K35" s="342">
        <f t="shared" si="2"/>
        <v>0</v>
      </c>
      <c r="L35" s="342">
        <f t="shared" si="2"/>
        <v>0</v>
      </c>
      <c r="M35" s="342">
        <f t="shared" si="2"/>
        <v>0.98320531532702515</v>
      </c>
      <c r="N35" s="342">
        <f t="shared" si="2"/>
        <v>0</v>
      </c>
      <c r="O35" s="291"/>
      <c r="P35" s="210"/>
      <c r="Q35" s="211"/>
      <c r="R35" s="209">
        <f>+I33</f>
        <v>10539756.207710398</v>
      </c>
      <c r="S35" s="207"/>
    </row>
    <row r="36" spans="1:35" ht="19">
      <c r="A36" s="3"/>
      <c r="B36" s="90" t="s">
        <v>378</v>
      </c>
      <c r="C36" s="3"/>
      <c r="D36" s="3"/>
      <c r="E36" s="356"/>
      <c r="F36" s="3"/>
      <c r="G36" s="262"/>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466</v>
      </c>
      <c r="C39" s="472">
        <v>1569304.9617611337</v>
      </c>
      <c r="D39" s="473">
        <v>3577322.4002393009</v>
      </c>
      <c r="E39" s="531"/>
      <c r="F39" s="231"/>
      <c r="G39" s="363"/>
      <c r="H39" s="3"/>
      <c r="I39" s="201"/>
      <c r="J39" s="102"/>
      <c r="K39" s="43"/>
      <c r="N39"/>
      <c r="O39"/>
      <c r="AE39" s="20"/>
      <c r="AF39" s="36"/>
    </row>
    <row r="40" spans="1:35" ht="27" customHeight="1">
      <c r="A40" s="3"/>
      <c r="B40" s="394" t="s">
        <v>467</v>
      </c>
      <c r="C40" s="472">
        <v>973406.22567925486</v>
      </c>
      <c r="D40" s="473">
        <v>1305172.1254930482</v>
      </c>
      <c r="E40" s="531"/>
      <c r="F40" s="231"/>
      <c r="G40" s="363"/>
      <c r="H40" s="3"/>
      <c r="I40" s="201"/>
      <c r="J40" s="3"/>
      <c r="K40" s="43"/>
      <c r="N40"/>
      <c r="O40"/>
      <c r="AE40" s="20"/>
      <c r="AF40" s="36"/>
    </row>
    <row r="41" spans="1:35" ht="29" customHeight="1">
      <c r="A41" s="3"/>
      <c r="B41" s="394" t="s">
        <v>468</v>
      </c>
      <c r="C41" s="472">
        <v>5835580.2155774627</v>
      </c>
      <c r="D41" s="473">
        <v>1028172.7884601942</v>
      </c>
      <c r="E41" s="531"/>
      <c r="F41" s="231"/>
      <c r="G41" s="3"/>
      <c r="H41" s="3"/>
      <c r="I41" s="201"/>
      <c r="J41" s="3"/>
      <c r="K41" s="43"/>
      <c r="N41"/>
      <c r="O41"/>
      <c r="AE41" s="20"/>
      <c r="AF41" s="36"/>
    </row>
    <row r="42" spans="1:35" ht="30" customHeight="1">
      <c r="A42" s="3"/>
      <c r="B42" s="394" t="s">
        <v>469</v>
      </c>
      <c r="C42" s="472">
        <v>194992.5988234547</v>
      </c>
      <c r="D42" s="473">
        <v>3204695.1508214842</v>
      </c>
      <c r="E42" s="531"/>
      <c r="F42" s="231"/>
      <c r="G42" s="3"/>
      <c r="H42" s="3"/>
      <c r="I42" s="201"/>
      <c r="J42" s="3"/>
      <c r="K42" s="20"/>
      <c r="N42"/>
      <c r="O42"/>
      <c r="AE42" s="20"/>
      <c r="AF42" s="36"/>
    </row>
    <row r="43" spans="1:35">
      <c r="A43" s="3"/>
      <c r="B43" s="395" t="s">
        <v>419</v>
      </c>
      <c r="C43" s="472">
        <v>5536871.6349155242</v>
      </c>
      <c r="D43" s="473">
        <v>1662709.5095767083</v>
      </c>
      <c r="E43" s="531"/>
      <c r="F43" s="231"/>
      <c r="G43" s="3"/>
      <c r="H43" s="3"/>
      <c r="I43" s="201"/>
      <c r="J43" s="3"/>
      <c r="K43" s="20"/>
      <c r="N43"/>
      <c r="O43"/>
      <c r="AE43" s="20"/>
      <c r="AF43" s="36"/>
    </row>
    <row r="44" spans="1:35">
      <c r="A44" s="3"/>
      <c r="B44" s="395" t="s">
        <v>470</v>
      </c>
      <c r="C44" s="472">
        <v>570295.29697713791</v>
      </c>
      <c r="D44" s="473">
        <v>340447.86526762805</v>
      </c>
      <c r="E44" s="531"/>
      <c r="F44" s="231"/>
      <c r="G44" s="3"/>
      <c r="H44" s="3"/>
      <c r="I44" s="201"/>
      <c r="J44" s="3"/>
      <c r="K44" s="20"/>
      <c r="N44"/>
      <c r="O44"/>
      <c r="AE44" s="20"/>
      <c r="AF44" s="36"/>
    </row>
    <row r="45" spans="1:35" ht="32">
      <c r="A45" s="3"/>
      <c r="B45" s="394" t="s">
        <v>471</v>
      </c>
      <c r="C45" s="472">
        <v>483731.0775529212</v>
      </c>
      <c r="D45" s="473">
        <v>563740.3118552349</v>
      </c>
      <c r="E45" s="531"/>
      <c r="F45" s="231"/>
      <c r="G45" s="15"/>
      <c r="H45" s="15"/>
      <c r="I45" s="201"/>
      <c r="J45" s="15"/>
      <c r="K45" s="20"/>
      <c r="N45"/>
      <c r="O45"/>
      <c r="AE45" s="36"/>
      <c r="AF45" s="36"/>
    </row>
    <row r="46" spans="1:35" ht="16">
      <c r="A46" s="3"/>
      <c r="B46" s="396" t="s">
        <v>420</v>
      </c>
      <c r="C46" s="472">
        <v>1024861.7827633603</v>
      </c>
      <c r="D46" s="473">
        <v>1677514.5083318357</v>
      </c>
      <c r="E46" s="531"/>
      <c r="F46" s="231"/>
      <c r="G46" s="15"/>
      <c r="H46" s="15"/>
      <c r="I46" s="201"/>
      <c r="J46" s="15"/>
      <c r="K46" s="20"/>
      <c r="N46"/>
      <c r="O46"/>
      <c r="AE46" s="36"/>
      <c r="AF46" s="36"/>
    </row>
    <row r="47" spans="1:35" ht="14.25" customHeight="1">
      <c r="A47" s="3"/>
      <c r="B47" s="396" t="s">
        <v>462</v>
      </c>
      <c r="C47" s="472">
        <v>51625.74</v>
      </c>
      <c r="D47" s="473">
        <v>385998.23</v>
      </c>
      <c r="E47" s="531"/>
      <c r="F47" s="231"/>
      <c r="G47" s="15"/>
      <c r="H47" s="15"/>
      <c r="I47" s="201"/>
      <c r="J47" s="15"/>
      <c r="K47" s="20"/>
      <c r="N47"/>
      <c r="O47"/>
      <c r="AE47" s="36"/>
      <c r="AF47" s="36"/>
    </row>
    <row r="48" spans="1:35" ht="16">
      <c r="A48" s="3"/>
      <c r="B48" s="396" t="s">
        <v>463</v>
      </c>
      <c r="C48" s="472">
        <v>21752.751591871296</v>
      </c>
      <c r="D48" s="473">
        <v>362425.71448114701</v>
      </c>
      <c r="E48" s="531"/>
      <c r="F48" s="231"/>
      <c r="G48" s="15"/>
      <c r="H48" s="15"/>
      <c r="I48" s="201"/>
      <c r="J48" s="15"/>
      <c r="K48" s="20"/>
      <c r="N48"/>
      <c r="O48"/>
      <c r="AE48" s="36"/>
      <c r="AF48" s="36"/>
    </row>
    <row r="49" spans="1:35" ht="17" thickBot="1">
      <c r="A49" s="3"/>
      <c r="B49" s="396" t="s">
        <v>464</v>
      </c>
      <c r="C49" s="472">
        <v>207770.67570702793</v>
      </c>
      <c r="D49" s="473">
        <v>8454.3421333237402</v>
      </c>
      <c r="E49" s="531"/>
      <c r="F49" s="231"/>
      <c r="G49" s="15"/>
      <c r="H49" s="15"/>
      <c r="I49" s="201"/>
      <c r="J49" s="15"/>
      <c r="K49" s="20"/>
      <c r="N49"/>
      <c r="O49"/>
      <c r="AE49" s="36"/>
      <c r="AF49" s="36"/>
    </row>
    <row r="50" spans="1:35" ht="16" thickBot="1">
      <c r="A50" s="3"/>
      <c r="B50" s="397" t="s">
        <v>58</v>
      </c>
      <c r="C50" s="474">
        <f>SUM(C39:C49)</f>
        <v>16470192.961349148</v>
      </c>
      <c r="D50" s="474">
        <f>SUM(D39:D49)</f>
        <v>14116652.946659906</v>
      </c>
      <c r="E50" s="291"/>
      <c r="F50" s="738" t="str">
        <f ca="1">+IF((ROUND(C50,0)=ROUND(OFFSET(B33,0,RIGHT('Data Entry'!$C$16,LEN('Data Entry'!$C$16)-1),1,1),0)),"OK: Data match","Warning: Data does not match")</f>
        <v>OK: Data match</v>
      </c>
      <c r="G50" s="739"/>
      <c r="H50" s="739"/>
      <c r="I50" s="740"/>
      <c r="J50" s="201"/>
      <c r="K50" s="201"/>
      <c r="L50" s="201"/>
      <c r="M50" s="210"/>
      <c r="N50" s="211"/>
      <c r="O50" s="209"/>
      <c r="P50" s="207"/>
      <c r="AE50" s="36"/>
      <c r="AF50" s="36"/>
    </row>
    <row r="51" spans="1:35">
      <c r="A51" s="3"/>
      <c r="B51" s="3"/>
      <c r="C51" s="201"/>
      <c r="D51" s="201"/>
      <c r="E51" s="274"/>
      <c r="F51" s="201"/>
      <c r="G51" s="201"/>
      <c r="H51" s="201"/>
      <c r="I51" s="201"/>
      <c r="J51" s="201"/>
      <c r="K51" s="201"/>
      <c r="L51" s="201"/>
      <c r="M51" s="201"/>
      <c r="N51" s="201"/>
      <c r="O51" s="201"/>
      <c r="P51" s="210"/>
      <c r="Q51" s="211"/>
      <c r="R51" s="209"/>
      <c r="S51" s="207"/>
    </row>
    <row r="52" spans="1:35" ht="19">
      <c r="A52" s="3"/>
      <c r="B52" s="90" t="s">
        <v>377</v>
      </c>
      <c r="C52" s="3"/>
      <c r="D52" s="3"/>
      <c r="E52" s="3"/>
      <c r="F52" s="3"/>
      <c r="G52" s="3"/>
      <c r="H52" s="3"/>
      <c r="I52" s="3"/>
      <c r="J52" s="3"/>
      <c r="K52" s="3"/>
      <c r="L52" s="3"/>
      <c r="M52" s="3"/>
      <c r="P52" s="207"/>
      <c r="Q52" s="208"/>
      <c r="R52" s="209">
        <f>+J33</f>
        <v>11921728.917347262</v>
      </c>
      <c r="S52" s="207"/>
    </row>
    <row r="53" spans="1:35" ht="16" thickBot="1">
      <c r="A53" s="3"/>
      <c r="B53" s="3"/>
      <c r="C53" s="3"/>
      <c r="D53" s="3"/>
      <c r="E53" s="3"/>
      <c r="F53" s="201"/>
      <c r="G53" s="3"/>
      <c r="H53" s="3"/>
      <c r="I53" s="3"/>
      <c r="J53" s="3"/>
      <c r="K53" s="3"/>
      <c r="L53" s="3"/>
      <c r="M53" s="3"/>
      <c r="P53" s="207"/>
      <c r="Q53" s="208"/>
      <c r="R53" s="209">
        <f>+K33</f>
        <v>13374016.913231138</v>
      </c>
      <c r="S53" s="207"/>
    </row>
    <row r="54" spans="1:35" ht="35.25" customHeight="1">
      <c r="A54" s="3"/>
      <c r="B54" s="296"/>
      <c r="C54" s="297" t="s">
        <v>375</v>
      </c>
      <c r="D54" s="297" t="s">
        <v>376</v>
      </c>
      <c r="E54" s="405" t="str">
        <f>CONCATENATE("Total Spent and Disbursement (in ",D26,")")</f>
        <v>Total Spent and Disbursement (in $)</v>
      </c>
      <c r="F54" s="3"/>
      <c r="G54" s="300"/>
      <c r="H54" s="293"/>
      <c r="I54" s="280"/>
      <c r="J54" s="280"/>
      <c r="K54" s="280"/>
      <c r="L54" s="280"/>
      <c r="M54" s="22"/>
      <c r="N54" s="22"/>
      <c r="O54" s="207"/>
      <c r="P54" s="208"/>
      <c r="Q54" s="209">
        <f>+M33</f>
        <v>16470192.967390371</v>
      </c>
      <c r="R54" s="207"/>
      <c r="AH54" s="20"/>
    </row>
    <row r="55" spans="1:35">
      <c r="A55" s="3"/>
      <c r="B55" s="294" t="s">
        <v>311</v>
      </c>
      <c r="C55" s="383">
        <f>C32+D32+E32+F32+G32+H32+I32+J32+K32+L32</f>
        <v>15179855.050000001</v>
      </c>
      <c r="D55" s="384">
        <f>M32</f>
        <v>1013726.22</v>
      </c>
      <c r="E55" s="385">
        <f>+D55+C55</f>
        <v>16193581.270000001</v>
      </c>
      <c r="F55" s="3"/>
      <c r="G55" s="97"/>
      <c r="H55" s="298"/>
      <c r="I55" s="96"/>
      <c r="J55" s="204"/>
      <c r="K55" s="205"/>
      <c r="L55" s="98"/>
      <c r="M55" s="37"/>
      <c r="N55" s="37"/>
      <c r="O55" s="207"/>
      <c r="P55" s="207"/>
      <c r="Q55" s="207"/>
      <c r="R55" s="207"/>
      <c r="AH55" s="20"/>
    </row>
    <row r="56" spans="1:35">
      <c r="A56" s="3"/>
      <c r="B56" s="294" t="s">
        <v>290</v>
      </c>
      <c r="C56" s="384">
        <f>(703487.022184008+324022+486657.600967515+502177+724933+869904)+265380+627790+280383+677169.710278678-17837+25960.68</f>
        <v>5470027.0134302005</v>
      </c>
      <c r="D56" s="384">
        <v>204569</v>
      </c>
      <c r="E56" s="385">
        <f>+D56+C56</f>
        <v>5674596.0134302005</v>
      </c>
      <c r="F56" s="3"/>
      <c r="G56" s="256"/>
      <c r="H56" s="298"/>
      <c r="I56" s="96"/>
      <c r="J56" s="204"/>
      <c r="K56" s="204"/>
      <c r="L56" s="98"/>
      <c r="M56" s="38"/>
      <c r="N56" s="38"/>
      <c r="O56" s="207"/>
      <c r="P56" s="207"/>
      <c r="Q56" s="207"/>
      <c r="R56" s="207"/>
      <c r="AH56" s="20"/>
    </row>
    <row r="57" spans="1:35">
      <c r="A57" s="3"/>
      <c r="B57" s="294" t="s">
        <v>269</v>
      </c>
      <c r="C57" s="383">
        <f>(507991.098523064+830667+889412.602206352+996498+789637+724509)+742036+744440+742638+761546.201471184+17837-25960.68</f>
        <v>7721251.2222006014</v>
      </c>
      <c r="D57" s="384">
        <v>720807</v>
      </c>
      <c r="E57" s="385">
        <f>+D57+C57</f>
        <v>8442058.2222006023</v>
      </c>
      <c r="F57" s="201"/>
      <c r="G57" s="97"/>
      <c r="H57" s="298"/>
      <c r="I57" s="96"/>
      <c r="J57" s="204"/>
      <c r="K57" s="205"/>
      <c r="L57" s="98"/>
      <c r="M57" s="37"/>
      <c r="N57" s="37"/>
      <c r="O57"/>
      <c r="AH57" s="20"/>
    </row>
    <row r="58" spans="1:35" ht="16" thickBot="1">
      <c r="A58" s="3"/>
      <c r="B58" s="295" t="s">
        <v>270</v>
      </c>
      <c r="C58" s="383">
        <f>6225190.70072942+244860+731220+665752</f>
        <v>7867022.7007294204</v>
      </c>
      <c r="D58" s="384">
        <v>737765.76</v>
      </c>
      <c r="E58" s="386">
        <f>+D58+C58</f>
        <v>8604788.4607294202</v>
      </c>
      <c r="F58" s="3"/>
      <c r="G58" s="257"/>
      <c r="H58" s="299"/>
      <c r="I58" s="99"/>
      <c r="J58" s="99"/>
      <c r="K58" s="99"/>
      <c r="L58" s="98"/>
      <c r="M58" s="38"/>
      <c r="N58" s="38"/>
      <c r="O58"/>
      <c r="AH58" s="20"/>
    </row>
    <row r="59" spans="1:35" ht="15.75" customHeight="1">
      <c r="A59" s="3"/>
      <c r="B59" s="3"/>
      <c r="C59" s="3"/>
      <c r="D59" s="3"/>
      <c r="E59" s="3"/>
      <c r="F59" s="3"/>
      <c r="G59" s="3"/>
      <c r="H59" s="3"/>
      <c r="I59" s="3"/>
      <c r="J59" s="3"/>
      <c r="K59" s="3"/>
      <c r="L59" s="3"/>
      <c r="M59" s="3"/>
      <c r="AI59" s="20"/>
    </row>
    <row r="60" spans="1:35">
      <c r="A60" s="3"/>
      <c r="B60" s="3"/>
      <c r="C60" s="3"/>
      <c r="D60" s="278"/>
      <c r="E60" s="3"/>
      <c r="F60" s="3"/>
      <c r="G60" s="3"/>
      <c r="H60" s="3"/>
      <c r="I60" s="3"/>
      <c r="J60" s="3"/>
      <c r="K60" s="3"/>
      <c r="L60" s="3"/>
      <c r="M60" s="3"/>
    </row>
    <row r="61" spans="1:35" ht="19">
      <c r="A61" s="3"/>
      <c r="B61" s="90" t="s">
        <v>380</v>
      </c>
      <c r="C61" s="3"/>
      <c r="D61" s="3"/>
      <c r="E61" s="3"/>
      <c r="F61" s="3"/>
      <c r="G61" s="3"/>
      <c r="H61" s="3"/>
      <c r="I61" s="3"/>
      <c r="J61" s="3"/>
      <c r="K61" s="3"/>
      <c r="L61" s="3"/>
      <c r="M61" s="3"/>
    </row>
    <row r="62" spans="1:35" ht="16" thickBot="1">
      <c r="A62" s="3"/>
      <c r="B62" s="3"/>
      <c r="C62" s="3"/>
      <c r="D62" s="3"/>
      <c r="E62" s="3"/>
      <c r="F62" s="3"/>
      <c r="G62" s="3"/>
      <c r="H62" s="3"/>
      <c r="I62" s="3"/>
      <c r="J62" s="3"/>
      <c r="K62" s="3"/>
      <c r="L62" s="3"/>
      <c r="M62" s="3"/>
    </row>
    <row r="63" spans="1:35">
      <c r="A63" s="3"/>
      <c r="B63" s="653" t="s">
        <v>346</v>
      </c>
      <c r="C63" s="654"/>
      <c r="D63" s="655"/>
      <c r="E63" s="3"/>
      <c r="F63" s="3"/>
      <c r="G63" s="3"/>
      <c r="H63" s="3"/>
      <c r="I63" s="3"/>
      <c r="J63" s="3"/>
      <c r="K63" s="3"/>
      <c r="L63" s="3"/>
      <c r="M63" s="36"/>
      <c r="O63"/>
    </row>
    <row r="64" spans="1:35">
      <c r="A64" s="3"/>
      <c r="B64" s="103"/>
      <c r="C64" s="302" t="s">
        <v>60</v>
      </c>
      <c r="D64" s="303" t="s">
        <v>61</v>
      </c>
      <c r="E64" s="3"/>
      <c r="F64" s="3"/>
      <c r="G64" s="3"/>
      <c r="H64" s="3"/>
      <c r="I64" s="3"/>
      <c r="J64" s="3"/>
      <c r="K64" s="3"/>
      <c r="L64" s="3"/>
      <c r="M64" s="36"/>
      <c r="O64"/>
    </row>
    <row r="65" spans="1:30" ht="48">
      <c r="A65" s="3"/>
      <c r="B65" s="104" t="s">
        <v>1</v>
      </c>
      <c r="C65" s="364">
        <v>60</v>
      </c>
      <c r="D65" s="365">
        <v>116</v>
      </c>
      <c r="E65" s="532" t="s">
        <v>472</v>
      </c>
      <c r="F65" s="3"/>
      <c r="G65" s="3"/>
      <c r="H65" s="3"/>
      <c r="I65" s="3"/>
      <c r="J65" s="3"/>
      <c r="K65" s="3"/>
      <c r="L65" s="3"/>
      <c r="M65" s="36"/>
      <c r="O65"/>
    </row>
    <row r="66" spans="1:30">
      <c r="A66" s="3"/>
      <c r="B66" s="301" t="s">
        <v>363</v>
      </c>
      <c r="C66" s="364">
        <v>45</v>
      </c>
      <c r="D66" s="365">
        <v>15</v>
      </c>
      <c r="E66" s="3"/>
      <c r="F66" s="3"/>
      <c r="G66" s="3"/>
      <c r="H66" s="298"/>
      <c r="I66" s="298"/>
      <c r="J66" s="3"/>
      <c r="K66" s="3"/>
      <c r="L66" s="3"/>
      <c r="M66" s="36"/>
      <c r="O66"/>
    </row>
    <row r="67" spans="1:30" ht="16" thickBot="1">
      <c r="A67" s="3"/>
      <c r="B67" s="105" t="s">
        <v>364</v>
      </c>
      <c r="C67" s="366">
        <v>5</v>
      </c>
      <c r="D67" s="367">
        <v>5</v>
      </c>
      <c r="E67" s="3"/>
      <c r="F67" s="3"/>
      <c r="G67" s="3"/>
      <c r="H67" s="298"/>
      <c r="I67" s="298"/>
      <c r="J67" s="3"/>
      <c r="K67" s="3"/>
      <c r="L67" s="3"/>
      <c r="M67" s="36"/>
      <c r="O67"/>
    </row>
    <row r="68" spans="1:30">
      <c r="A68" s="3"/>
      <c r="B68" s="3"/>
      <c r="C68" s="3"/>
      <c r="D68" s="3"/>
      <c r="E68" s="3"/>
      <c r="F68" s="3"/>
      <c r="G68" s="3"/>
      <c r="H68" s="3"/>
      <c r="I68" s="3"/>
      <c r="J68" s="3"/>
      <c r="K68" s="3"/>
      <c r="L68" s="3"/>
      <c r="M68" s="3"/>
    </row>
    <row r="69" spans="1:30" ht="16" thickBot="1">
      <c r="A69" s="3"/>
      <c r="B69" s="3"/>
      <c r="C69" s="3"/>
      <c r="D69" s="3"/>
      <c r="E69" s="3"/>
      <c r="F69" s="3"/>
      <c r="G69" s="3"/>
      <c r="H69" s="3"/>
      <c r="I69" s="3"/>
      <c r="J69" s="3"/>
      <c r="K69" s="3"/>
      <c r="L69" s="401"/>
      <c r="M69" s="3"/>
      <c r="AC69" s="19"/>
      <c r="AD69" s="19"/>
    </row>
    <row r="70" spans="1:30" ht="20" thickBot="1">
      <c r="A70" s="3"/>
      <c r="B70" s="106" t="s">
        <v>263</v>
      </c>
      <c r="C70" s="107"/>
      <c r="D70" s="107"/>
      <c r="E70" s="107"/>
      <c r="F70" s="107"/>
      <c r="G70" s="107"/>
      <c r="H70" s="325" t="s">
        <v>304</v>
      </c>
      <c r="I70" s="107"/>
      <c r="J70" s="108"/>
      <c r="K70" s="108"/>
      <c r="L70" s="402"/>
      <c r="M70" s="403"/>
      <c r="N70" s="84"/>
      <c r="O70" s="84"/>
      <c r="P70" s="84"/>
      <c r="S70" s="44"/>
      <c r="AC70" s="19"/>
      <c r="AD70" s="19"/>
    </row>
    <row r="71" spans="1:30" ht="19">
      <c r="A71" s="3"/>
      <c r="B71" s="110"/>
      <c r="C71" s="109"/>
      <c r="D71" s="109"/>
      <c r="E71" s="109"/>
      <c r="F71" s="109"/>
      <c r="G71" s="109"/>
      <c r="H71" s="109"/>
      <c r="I71" s="109"/>
      <c r="J71" s="109"/>
      <c r="K71" s="111"/>
      <c r="L71" s="111"/>
      <c r="M71" s="109"/>
      <c r="N71" s="84"/>
      <c r="O71" s="84"/>
      <c r="P71" s="84"/>
      <c r="S71" s="44"/>
      <c r="AC71" s="19"/>
      <c r="AD71" s="19"/>
    </row>
    <row r="72" spans="1:30" ht="19">
      <c r="A72" s="3"/>
      <c r="B72" s="110" t="s">
        <v>381</v>
      </c>
      <c r="C72" s="109"/>
      <c r="D72" s="109"/>
      <c r="E72" s="109"/>
      <c r="F72" s="109"/>
      <c r="G72" s="109"/>
      <c r="H72" s="109"/>
      <c r="I72" s="109"/>
      <c r="J72" s="109"/>
      <c r="K72" s="111"/>
      <c r="L72" s="111"/>
      <c r="M72" s="109"/>
      <c r="N72" s="84"/>
      <c r="O72" s="84"/>
      <c r="P72" s="84"/>
      <c r="S72" s="44"/>
      <c r="AC72" s="19"/>
      <c r="AD72" s="19"/>
    </row>
    <row r="73" spans="1:30" ht="16" thickBot="1">
      <c r="A73" s="3"/>
      <c r="B73" s="2"/>
      <c r="C73" s="112"/>
      <c r="D73" s="112"/>
      <c r="E73" s="112"/>
      <c r="F73" s="112"/>
      <c r="G73" s="112"/>
      <c r="H73" s="2"/>
      <c r="I73" s="112"/>
      <c r="J73" s="2"/>
      <c r="K73" s="2"/>
      <c r="L73" s="2"/>
      <c r="M73" s="2"/>
      <c r="N73" s="20"/>
      <c r="O73" s="19"/>
      <c r="P73" s="19"/>
      <c r="Q73" s="19"/>
      <c r="R73" s="19"/>
      <c r="S73" s="19"/>
      <c r="AD73" s="19"/>
    </row>
    <row r="74" spans="1:30" ht="32">
      <c r="A74" s="3"/>
      <c r="B74" s="713"/>
      <c r="C74" s="714"/>
      <c r="D74" s="114" t="s">
        <v>117</v>
      </c>
      <c r="E74" s="115" t="s">
        <v>296</v>
      </c>
      <c r="F74" s="115" t="s">
        <v>118</v>
      </c>
      <c r="G74" s="116" t="s">
        <v>58</v>
      </c>
      <c r="H74" s="311"/>
      <c r="I74" s="312"/>
      <c r="J74" s="15"/>
      <c r="K74" s="2"/>
      <c r="L74" s="2"/>
      <c r="M74" s="2"/>
      <c r="N74" s="20"/>
      <c r="O74" s="19"/>
      <c r="P74" s="19"/>
      <c r="Q74" s="19"/>
      <c r="R74" s="19"/>
      <c r="S74" s="19"/>
    </row>
    <row r="75" spans="1:30">
      <c r="A75" s="3"/>
      <c r="B75" s="667" t="s">
        <v>448</v>
      </c>
      <c r="C75" s="668"/>
      <c r="D75" s="259">
        <v>8</v>
      </c>
      <c r="E75" s="259">
        <v>0</v>
      </c>
      <c r="F75" s="259">
        <v>0</v>
      </c>
      <c r="G75" s="117">
        <f>SUM(D75:F75)</f>
        <v>8</v>
      </c>
      <c r="H75" s="292"/>
      <c r="I75" s="310"/>
      <c r="J75" s="310"/>
      <c r="K75" s="2"/>
      <c r="L75" s="2"/>
      <c r="M75" s="2"/>
      <c r="N75" s="20"/>
      <c r="O75" s="19"/>
      <c r="P75" s="19"/>
      <c r="Q75" s="19"/>
      <c r="R75" s="19"/>
      <c r="S75" s="19"/>
    </row>
    <row r="76" spans="1:30" ht="16" thickBot="1">
      <c r="A76" s="3"/>
      <c r="B76" s="727"/>
      <c r="C76" s="728"/>
      <c r="D76" s="260"/>
      <c r="E76" s="260"/>
      <c r="F76" s="260"/>
      <c r="G76" s="118"/>
      <c r="H76" s="292"/>
      <c r="I76" s="15"/>
      <c r="J76" s="15"/>
      <c r="K76" s="2"/>
      <c r="L76" s="2"/>
      <c r="M76" s="2"/>
      <c r="N76" s="19"/>
      <c r="O76" s="19"/>
      <c r="P76" s="19"/>
      <c r="Q76" s="19"/>
      <c r="R76" s="19"/>
      <c r="S76" s="19"/>
    </row>
    <row r="77" spans="1:30">
      <c r="A77" s="3"/>
      <c r="B77" s="2"/>
      <c r="C77" s="2"/>
      <c r="D77" s="2"/>
      <c r="E77" s="2"/>
      <c r="F77" s="2"/>
      <c r="G77" s="2"/>
      <c r="H77" s="2"/>
      <c r="I77" s="2"/>
      <c r="J77" s="2"/>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S78" s="19"/>
    </row>
    <row r="79" spans="1:30" ht="19">
      <c r="A79" s="3"/>
      <c r="B79" s="110" t="s">
        <v>382</v>
      </c>
      <c r="C79" s="2"/>
      <c r="D79" s="2"/>
      <c r="E79" s="2"/>
      <c r="F79" s="2"/>
      <c r="G79" s="2"/>
      <c r="H79" s="2"/>
      <c r="I79" s="2"/>
      <c r="J79" s="2"/>
      <c r="K79" s="2"/>
      <c r="L79" s="2"/>
      <c r="M79" s="2"/>
      <c r="N79" s="19"/>
      <c r="O79" s="19"/>
      <c r="P79" s="19"/>
      <c r="S79" s="19"/>
    </row>
    <row r="80" spans="1:30" ht="16" thickBot="1">
      <c r="A80" s="3"/>
      <c r="B80" s="2"/>
      <c r="C80" s="2"/>
      <c r="D80" s="2"/>
      <c r="E80" s="2"/>
      <c r="F80" s="2"/>
      <c r="G80" s="2"/>
      <c r="H80" s="2"/>
      <c r="I80" s="2"/>
      <c r="J80" s="2"/>
      <c r="K80" s="2"/>
      <c r="L80" s="2"/>
      <c r="M80" s="2"/>
      <c r="N80" s="19"/>
      <c r="O80" s="19"/>
      <c r="P80" s="19"/>
      <c r="S80" s="19"/>
    </row>
    <row r="81" spans="1:36">
      <c r="A81" s="3"/>
      <c r="B81" s="119"/>
      <c r="C81" s="113" t="s">
        <v>63</v>
      </c>
      <c r="D81" s="113" t="s">
        <v>81</v>
      </c>
      <c r="E81" s="120" t="s">
        <v>64</v>
      </c>
      <c r="F81" s="15"/>
      <c r="G81" s="15"/>
      <c r="H81" s="15"/>
      <c r="I81" s="312"/>
      <c r="J81" s="2"/>
      <c r="K81" s="2"/>
      <c r="L81" s="2"/>
      <c r="M81" s="2"/>
      <c r="N81" s="19"/>
      <c r="O81" s="19"/>
      <c r="P81" s="19"/>
      <c r="S81" s="19"/>
    </row>
    <row r="82" spans="1:36" ht="16" thickBot="1">
      <c r="A82" s="3"/>
      <c r="B82" s="475" t="s">
        <v>312</v>
      </c>
      <c r="C82" s="357">
        <v>16</v>
      </c>
      <c r="D82" s="357">
        <v>16</v>
      </c>
      <c r="E82" s="358">
        <f>+C82-D82</f>
        <v>0</v>
      </c>
      <c r="F82" s="267"/>
      <c r="G82" s="275"/>
      <c r="H82" s="15"/>
      <c r="I82" s="310"/>
      <c r="J82" s="2"/>
      <c r="K82" s="2"/>
      <c r="L82" s="2"/>
      <c r="M82" s="2"/>
      <c r="N82" s="19"/>
      <c r="O82" s="19"/>
      <c r="P82" s="19"/>
      <c r="S82" s="19"/>
    </row>
    <row r="83" spans="1:36">
      <c r="A83" s="3"/>
      <c r="B83" s="2"/>
      <c r="C83" s="2"/>
      <c r="D83" s="2"/>
      <c r="E83" s="2"/>
      <c r="F83" s="2"/>
      <c r="G83" s="2"/>
      <c r="H83" s="2"/>
      <c r="I83" s="2"/>
      <c r="J83" s="2"/>
      <c r="K83" s="2"/>
      <c r="L83" s="2"/>
      <c r="M83" s="2"/>
      <c r="N83" s="19"/>
      <c r="O83" s="19"/>
      <c r="P83" s="19"/>
      <c r="S83" s="19"/>
    </row>
    <row r="84" spans="1:36" ht="19">
      <c r="A84" s="3"/>
      <c r="B84" s="110" t="s">
        <v>387</v>
      </c>
      <c r="C84" s="2"/>
      <c r="D84" s="2"/>
      <c r="E84" s="2"/>
      <c r="F84" s="2"/>
      <c r="G84" s="2"/>
      <c r="H84" s="2"/>
      <c r="I84" s="2"/>
      <c r="J84" s="15"/>
      <c r="K84" s="15"/>
      <c r="L84" s="2"/>
      <c r="M84" s="2"/>
      <c r="N84" s="19"/>
      <c r="O84" s="19"/>
      <c r="P84" s="19"/>
      <c r="S84" s="19"/>
    </row>
    <row r="85" spans="1:36" ht="16" thickBot="1">
      <c r="A85" s="3"/>
      <c r="B85" s="2"/>
      <c r="C85" s="2"/>
      <c r="D85" s="2"/>
      <c r="E85" s="2"/>
      <c r="F85" s="2"/>
      <c r="G85" s="2"/>
      <c r="H85" s="508"/>
      <c r="I85" s="508"/>
      <c r="J85" s="509"/>
      <c r="K85" s="509"/>
      <c r="L85" s="508"/>
      <c r="M85" s="508"/>
      <c r="N85" s="510"/>
      <c r="O85" s="19"/>
      <c r="P85" s="19"/>
      <c r="S85" s="19"/>
    </row>
    <row r="86" spans="1:36" ht="16">
      <c r="A86" s="3"/>
      <c r="B86" s="119"/>
      <c r="C86" s="113" t="s">
        <v>291</v>
      </c>
      <c r="D86" s="113" t="s">
        <v>67</v>
      </c>
      <c r="E86" s="113" t="s">
        <v>82</v>
      </c>
      <c r="F86" s="113" t="s">
        <v>68</v>
      </c>
      <c r="G86" s="149" t="s">
        <v>119</v>
      </c>
      <c r="H86" s="511"/>
      <c r="I86" s="512" t="s">
        <v>447</v>
      </c>
      <c r="J86" s="513"/>
      <c r="K86" s="513"/>
      <c r="L86" s="514" t="s">
        <v>447</v>
      </c>
      <c r="M86" s="514"/>
      <c r="N86" s="515"/>
      <c r="O86" s="19"/>
      <c r="P86" s="19"/>
      <c r="S86" s="19"/>
    </row>
    <row r="87" spans="1:36" ht="16" thickBot="1">
      <c r="A87" s="3"/>
      <c r="B87" s="475" t="s">
        <v>127</v>
      </c>
      <c r="C87" s="357">
        <v>7</v>
      </c>
      <c r="D87" s="357">
        <v>7</v>
      </c>
      <c r="E87" s="357">
        <v>7</v>
      </c>
      <c r="F87" s="357">
        <v>7</v>
      </c>
      <c r="G87" s="359">
        <v>7</v>
      </c>
      <c r="H87" s="516" t="s">
        <v>440</v>
      </c>
      <c r="I87" s="517" t="s">
        <v>441</v>
      </c>
      <c r="J87" s="513" t="s">
        <v>442</v>
      </c>
      <c r="K87" s="514" t="s">
        <v>443</v>
      </c>
      <c r="L87" s="514" t="s">
        <v>444</v>
      </c>
      <c r="M87" s="513" t="s">
        <v>445</v>
      </c>
      <c r="N87" s="513" t="s">
        <v>446</v>
      </c>
      <c r="O87" s="19"/>
      <c r="P87" s="19"/>
      <c r="S87" s="19"/>
    </row>
    <row r="88" spans="1:36">
      <c r="A88" s="3"/>
      <c r="B88" s="2"/>
      <c r="C88" s="2"/>
      <c r="D88" s="2"/>
      <c r="E88" s="2"/>
      <c r="F88" s="2"/>
      <c r="G88" s="2"/>
      <c r="H88" s="2"/>
      <c r="I88" s="15"/>
      <c r="J88" s="15"/>
      <c r="K88" s="2"/>
      <c r="L88" s="2"/>
      <c r="M88" s="2"/>
      <c r="N88" s="19"/>
      <c r="O88" s="19"/>
      <c r="P88" s="19"/>
      <c r="S88" s="19"/>
    </row>
    <row r="89" spans="1:36" ht="19">
      <c r="A89" s="3"/>
      <c r="B89" s="110" t="s">
        <v>383</v>
      </c>
      <c r="C89" s="2"/>
      <c r="D89" s="2"/>
      <c r="E89" s="2"/>
      <c r="F89" s="2"/>
      <c r="G89" s="2"/>
      <c r="H89" s="2"/>
      <c r="I89" s="15"/>
      <c r="J89" s="2"/>
      <c r="K89" s="2"/>
      <c r="L89" s="2"/>
      <c r="M89" s="2"/>
      <c r="N89" s="19"/>
      <c r="O89" s="19"/>
      <c r="P89" s="19"/>
      <c r="S89" s="19"/>
    </row>
    <row r="90" spans="1:36" ht="16" thickBot="1">
      <c r="A90" s="3"/>
      <c r="B90" s="2"/>
      <c r="C90" s="2"/>
      <c r="D90" s="2"/>
      <c r="E90" s="2"/>
      <c r="F90" s="2"/>
      <c r="G90" s="2"/>
      <c r="H90" s="2"/>
      <c r="I90" s="2"/>
      <c r="J90" s="2"/>
      <c r="K90" s="2"/>
      <c r="L90" s="2"/>
      <c r="M90" s="2"/>
      <c r="N90" s="19"/>
      <c r="O90" s="19"/>
      <c r="P90" s="19"/>
      <c r="S90" s="19"/>
    </row>
    <row r="91" spans="1:36">
      <c r="A91" s="3"/>
      <c r="B91" s="119"/>
      <c r="C91" s="121" t="s">
        <v>65</v>
      </c>
      <c r="D91" s="121" t="s">
        <v>66</v>
      </c>
      <c r="E91" s="122" t="s">
        <v>288</v>
      </c>
      <c r="F91" s="2"/>
      <c r="G91" s="2"/>
      <c r="H91" s="2"/>
      <c r="I91" s="2"/>
      <c r="J91" s="19"/>
      <c r="K91" s="19"/>
      <c r="L91" s="19"/>
      <c r="N91"/>
      <c r="O91" s="19"/>
      <c r="AG91" s="36"/>
      <c r="AJ91"/>
    </row>
    <row r="92" spans="1:36">
      <c r="A92" s="3"/>
      <c r="B92" s="476" t="s">
        <v>388</v>
      </c>
      <c r="C92" s="259">
        <v>165</v>
      </c>
      <c r="D92" s="261">
        <v>165</v>
      </c>
      <c r="E92" s="313">
        <f>C92-D92</f>
        <v>0</v>
      </c>
      <c r="F92" s="2"/>
      <c r="G92" s="2"/>
      <c r="H92" s="2"/>
      <c r="I92" s="2"/>
      <c r="J92" s="19"/>
      <c r="K92" s="19"/>
      <c r="L92" s="19"/>
      <c r="N92"/>
      <c r="O92" s="19"/>
      <c r="AG92" s="36"/>
      <c r="AJ92"/>
    </row>
    <row r="93" spans="1:36" ht="16" thickBot="1">
      <c r="A93" s="3"/>
      <c r="B93" s="477" t="s">
        <v>389</v>
      </c>
      <c r="C93" s="485">
        <f>7*3</f>
        <v>21</v>
      </c>
      <c r="D93" s="486">
        <f>C93</f>
        <v>21</v>
      </c>
      <c r="E93" s="487">
        <f>C93-D93</f>
        <v>0</v>
      </c>
      <c r="F93" s="2"/>
      <c r="G93" s="2"/>
      <c r="H93" s="2"/>
      <c r="I93" s="2"/>
      <c r="J93" s="19"/>
      <c r="K93" s="19"/>
      <c r="L93" s="19"/>
      <c r="N93"/>
      <c r="O93" s="19"/>
      <c r="AG93" s="36"/>
      <c r="AJ93"/>
    </row>
    <row r="94" spans="1:36">
      <c r="A94" s="3"/>
      <c r="B94" s="2"/>
      <c r="C94" s="2"/>
      <c r="D94" s="2"/>
      <c r="E94" s="2"/>
      <c r="F94" s="2"/>
      <c r="G94" s="2"/>
      <c r="H94" s="2"/>
      <c r="I94" s="2"/>
      <c r="J94" s="2"/>
      <c r="K94" s="2"/>
      <c r="L94" s="2"/>
      <c r="M94" s="2"/>
      <c r="N94" s="19"/>
      <c r="O94" s="19"/>
      <c r="P94" s="19"/>
      <c r="S94" s="19"/>
    </row>
    <row r="95" spans="1:36" ht="19">
      <c r="A95" s="3"/>
      <c r="B95" s="110" t="s">
        <v>390</v>
      </c>
      <c r="C95" s="2"/>
      <c r="D95" s="2"/>
      <c r="E95" s="2"/>
      <c r="F95" s="2"/>
      <c r="G95" s="2"/>
      <c r="H95" s="2"/>
      <c r="I95" s="2"/>
      <c r="J95" s="2"/>
      <c r="K95" s="2"/>
      <c r="L95" s="2"/>
      <c r="M95" s="2"/>
      <c r="N95" s="19"/>
      <c r="O95" s="19"/>
      <c r="P95" s="19"/>
      <c r="S95" s="19"/>
    </row>
    <row r="96" spans="1:36" ht="16" thickBot="1">
      <c r="A96" s="3"/>
      <c r="B96" s="2"/>
      <c r="C96" s="2"/>
      <c r="D96" s="2"/>
      <c r="E96" s="2"/>
      <c r="F96" s="2"/>
      <c r="G96" s="2"/>
      <c r="H96" s="2"/>
      <c r="I96" s="15"/>
      <c r="J96" s="15"/>
      <c r="K96" s="15"/>
      <c r="L96" s="15"/>
      <c r="M96" s="15"/>
      <c r="N96" s="20"/>
      <c r="O96" s="20"/>
      <c r="P96" s="20"/>
      <c r="S96" s="19"/>
    </row>
    <row r="97" spans="1:19">
      <c r="A97" s="3"/>
      <c r="B97" s="219"/>
      <c r="C97" s="371" t="s">
        <v>105</v>
      </c>
      <c r="D97" s="371" t="s">
        <v>106</v>
      </c>
      <c r="E97" s="371" t="s">
        <v>107</v>
      </c>
      <c r="F97" s="371" t="s">
        <v>108</v>
      </c>
      <c r="G97" s="371" t="s">
        <v>120</v>
      </c>
      <c r="H97" s="371" t="s">
        <v>121</v>
      </c>
      <c r="I97" s="371" t="s">
        <v>122</v>
      </c>
      <c r="J97" s="371" t="s">
        <v>123</v>
      </c>
      <c r="K97" s="371" t="s">
        <v>124</v>
      </c>
      <c r="L97" s="371" t="s">
        <v>125</v>
      </c>
      <c r="M97" s="371" t="s">
        <v>126</v>
      </c>
      <c r="N97" s="372" t="s">
        <v>287</v>
      </c>
      <c r="O97" s="20"/>
      <c r="P97" s="20"/>
      <c r="S97" s="19"/>
    </row>
    <row r="98" spans="1:19" ht="15" customHeight="1">
      <c r="A98" s="3"/>
      <c r="B98" s="373" t="s">
        <v>367</v>
      </c>
      <c r="C98" s="360">
        <v>621513.13962743431</v>
      </c>
      <c r="D98" s="360">
        <v>273435.19725994923</v>
      </c>
      <c r="E98" s="360">
        <v>56473.083558848426</v>
      </c>
      <c r="F98" s="360">
        <v>1216941.6768721424</v>
      </c>
      <c r="G98" s="360">
        <v>117643.14265004233</v>
      </c>
      <c r="H98" s="360">
        <v>491331.57039999997</v>
      </c>
      <c r="I98" s="360">
        <v>155982.99910948362</v>
      </c>
      <c r="J98" s="360">
        <v>451430.0753274248</v>
      </c>
      <c r="K98" s="360">
        <v>443391.27652786707</v>
      </c>
      <c r="L98" s="360">
        <v>490313.3324999999</v>
      </c>
      <c r="M98" s="360">
        <v>115373.89077053347</v>
      </c>
      <c r="N98" s="437">
        <v>475512.77598645212</v>
      </c>
      <c r="O98" s="20"/>
      <c r="P98" s="20"/>
      <c r="S98" s="19"/>
    </row>
    <row r="99" spans="1:19" ht="15" customHeight="1">
      <c r="A99" s="3"/>
      <c r="B99" s="373" t="s">
        <v>365</v>
      </c>
      <c r="C99" s="360">
        <v>19935.614027557196</v>
      </c>
      <c r="D99" s="360">
        <v>1225173</v>
      </c>
      <c r="E99" s="360">
        <v>224961.90757585474</v>
      </c>
      <c r="F99" s="360">
        <v>599588.31837819878</v>
      </c>
      <c r="G99" s="360">
        <v>580029.07094117173</v>
      </c>
      <c r="H99" s="360">
        <v>131899.74</v>
      </c>
      <c r="I99" s="360">
        <v>30591.66</v>
      </c>
      <c r="J99" s="360">
        <v>42870.98</v>
      </c>
      <c r="K99" s="360">
        <v>491507.39933463349</v>
      </c>
      <c r="L99" s="360">
        <f>162065+309889</f>
        <v>471954</v>
      </c>
      <c r="M99" s="360">
        <f>445359/2.6914+264515</f>
        <v>429989.84580515721</v>
      </c>
      <c r="N99" s="437"/>
      <c r="O99" s="20"/>
      <c r="P99" s="20"/>
      <c r="S99" s="19"/>
    </row>
    <row r="100" spans="1:19" ht="15" customHeight="1">
      <c r="A100" s="3"/>
      <c r="B100" s="373" t="s">
        <v>313</v>
      </c>
      <c r="C100" s="360">
        <v>579569.05894063821</v>
      </c>
      <c r="D100" s="360">
        <v>211125.8</v>
      </c>
      <c r="E100" s="360">
        <v>417945</v>
      </c>
      <c r="F100" s="360">
        <v>661579</v>
      </c>
      <c r="G100" s="360">
        <v>252325</v>
      </c>
      <c r="H100" s="360">
        <v>642504</v>
      </c>
      <c r="I100" s="360">
        <v>152807</v>
      </c>
      <c r="J100" s="360">
        <v>445495</v>
      </c>
      <c r="K100" s="360">
        <v>169836</v>
      </c>
      <c r="L100" s="360">
        <f>568417+1590</f>
        <v>570007</v>
      </c>
      <c r="M100" s="360">
        <f>238681</f>
        <v>238681</v>
      </c>
      <c r="N100" s="437"/>
      <c r="O100" s="20"/>
      <c r="P100" s="20"/>
      <c r="S100" s="19"/>
    </row>
    <row r="101" spans="1:19" ht="15" customHeight="1">
      <c r="A101" s="3"/>
      <c r="B101" s="315" t="s">
        <v>409</v>
      </c>
      <c r="C101" s="361">
        <f>+C98</f>
        <v>621513.13962743431</v>
      </c>
      <c r="D101" s="361">
        <f>+C101+D98</f>
        <v>894948.3368873836</v>
      </c>
      <c r="E101" s="361">
        <f t="shared" ref="E101:N101" si="3">+D101+E98</f>
        <v>951421.42044623208</v>
      </c>
      <c r="F101" s="361">
        <f t="shared" si="3"/>
        <v>2168363.0973183746</v>
      </c>
      <c r="G101" s="361">
        <f t="shared" si="3"/>
        <v>2286006.2399684167</v>
      </c>
      <c r="H101" s="361">
        <f t="shared" si="3"/>
        <v>2777337.8103684168</v>
      </c>
      <c r="I101" s="361">
        <f t="shared" si="3"/>
        <v>2933320.8094779006</v>
      </c>
      <c r="J101" s="361">
        <f t="shared" si="3"/>
        <v>3384750.8848053254</v>
      </c>
      <c r="K101" s="361">
        <f t="shared" si="3"/>
        <v>3828142.1613331926</v>
      </c>
      <c r="L101" s="361">
        <f t="shared" si="3"/>
        <v>4318455.4938331926</v>
      </c>
      <c r="M101" s="361">
        <f t="shared" si="3"/>
        <v>4433829.3846037257</v>
      </c>
      <c r="N101" s="361">
        <f t="shared" si="3"/>
        <v>4909342.1605901774</v>
      </c>
      <c r="O101" s="20"/>
      <c r="P101" s="20"/>
      <c r="S101" s="19"/>
    </row>
    <row r="102" spans="1:19" ht="15" customHeight="1">
      <c r="A102" s="3"/>
      <c r="B102" s="315" t="s">
        <v>5</v>
      </c>
      <c r="C102" s="361">
        <f>+C99</f>
        <v>19935.614027557196</v>
      </c>
      <c r="D102" s="361">
        <f>+C102+D99</f>
        <v>1245108.6140275572</v>
      </c>
      <c r="E102" s="361">
        <f t="shared" ref="E102:N102" si="4">+D102+E99</f>
        <v>1470070.521603412</v>
      </c>
      <c r="F102" s="361">
        <f t="shared" si="4"/>
        <v>2069658.8399816109</v>
      </c>
      <c r="G102" s="361">
        <f t="shared" si="4"/>
        <v>2649687.9109227825</v>
      </c>
      <c r="H102" s="361">
        <f t="shared" si="4"/>
        <v>2781587.6509227827</v>
      </c>
      <c r="I102" s="361">
        <f t="shared" si="4"/>
        <v>2812179.3109227829</v>
      </c>
      <c r="J102" s="361">
        <f t="shared" si="4"/>
        <v>2855050.2909227828</v>
      </c>
      <c r="K102" s="361">
        <f t="shared" si="4"/>
        <v>3346557.6902574161</v>
      </c>
      <c r="L102" s="361">
        <f t="shared" si="4"/>
        <v>3818511.6902574161</v>
      </c>
      <c r="M102" s="361">
        <f t="shared" si="4"/>
        <v>4248501.5360625731</v>
      </c>
      <c r="N102" s="361">
        <f t="shared" si="4"/>
        <v>4248501.5360625731</v>
      </c>
      <c r="O102" s="20"/>
      <c r="P102" s="20"/>
      <c r="S102" s="19"/>
    </row>
    <row r="103" spans="1:19" ht="17" thickBot="1">
      <c r="A103" s="3"/>
      <c r="B103" s="434" t="s">
        <v>6</v>
      </c>
      <c r="C103" s="435">
        <f>+C100</f>
        <v>579569.05894063821</v>
      </c>
      <c r="D103" s="436">
        <f>+C103+D100</f>
        <v>790694.85894063814</v>
      </c>
      <c r="E103" s="436">
        <f t="shared" ref="E103:N103" si="5">+D103+E100</f>
        <v>1208639.8589406381</v>
      </c>
      <c r="F103" s="436">
        <f t="shared" si="5"/>
        <v>1870218.8589406381</v>
      </c>
      <c r="G103" s="436">
        <f t="shared" si="5"/>
        <v>2122543.8589406381</v>
      </c>
      <c r="H103" s="436">
        <f t="shared" si="5"/>
        <v>2765047.8589406381</v>
      </c>
      <c r="I103" s="436">
        <f t="shared" si="5"/>
        <v>2917854.8589406381</v>
      </c>
      <c r="J103" s="436">
        <f t="shared" si="5"/>
        <v>3363349.8589406381</v>
      </c>
      <c r="K103" s="436">
        <f t="shared" si="5"/>
        <v>3533185.8589406381</v>
      </c>
      <c r="L103" s="436">
        <f t="shared" si="5"/>
        <v>4103192.8589406381</v>
      </c>
      <c r="M103" s="436">
        <f t="shared" si="5"/>
        <v>4341873.8589406386</v>
      </c>
      <c r="N103" s="436">
        <f t="shared" si="5"/>
        <v>4341873.8589406386</v>
      </c>
      <c r="O103" s="20"/>
      <c r="P103" s="20"/>
      <c r="S103" s="19"/>
    </row>
    <row r="104" spans="1:19">
      <c r="A104" s="3"/>
      <c r="B104" s="3"/>
      <c r="C104" s="2"/>
      <c r="D104" s="2"/>
      <c r="E104" s="2"/>
      <c r="F104" s="2"/>
      <c r="G104" s="2"/>
      <c r="H104" s="2"/>
      <c r="I104" s="15"/>
      <c r="J104" s="123"/>
      <c r="K104" s="124"/>
      <c r="L104" s="15"/>
      <c r="M104" s="125"/>
      <c r="N104" s="20"/>
      <c r="O104" s="20"/>
      <c r="P104" s="20"/>
      <c r="S104" s="19"/>
    </row>
    <row r="105" spans="1:19">
      <c r="A105" s="3"/>
      <c r="B105" s="2" t="s">
        <v>403</v>
      </c>
      <c r="C105" s="2"/>
      <c r="D105" s="2"/>
      <c r="E105" s="2"/>
      <c r="F105" s="2"/>
      <c r="G105" s="2"/>
      <c r="H105" s="2"/>
      <c r="I105" s="15"/>
      <c r="J105" s="123"/>
      <c r="K105" s="124"/>
      <c r="L105" s="15"/>
      <c r="M105" s="125"/>
      <c r="N105" s="20"/>
      <c r="O105" s="20"/>
      <c r="P105" s="20"/>
      <c r="S105" s="19"/>
    </row>
    <row r="106" spans="1:19">
      <c r="A106" s="3"/>
      <c r="C106" s="2"/>
      <c r="D106" s="2"/>
      <c r="E106" s="2"/>
      <c r="F106" s="2"/>
      <c r="G106" s="2"/>
      <c r="H106" s="2"/>
      <c r="I106" s="15"/>
      <c r="J106" s="123"/>
      <c r="K106" s="125"/>
      <c r="L106" s="15"/>
      <c r="M106" s="125"/>
      <c r="N106" s="20"/>
      <c r="O106" s="20"/>
      <c r="P106" s="20"/>
      <c r="S106" s="19"/>
    </row>
    <row r="107" spans="1:19">
      <c r="A107" s="3"/>
      <c r="B107" s="3"/>
      <c r="C107" s="3"/>
      <c r="D107" s="3"/>
      <c r="E107" s="3"/>
      <c r="F107" s="3"/>
      <c r="G107" s="3"/>
      <c r="H107" s="3"/>
      <c r="I107" s="15"/>
      <c r="J107" s="15"/>
      <c r="K107" s="15"/>
      <c r="L107" s="15"/>
      <c r="M107" s="15"/>
      <c r="N107" s="20"/>
      <c r="O107" s="20"/>
      <c r="P107" s="20"/>
    </row>
    <row r="108" spans="1:19" ht="19">
      <c r="A108" s="3"/>
      <c r="B108" s="110" t="s">
        <v>384</v>
      </c>
      <c r="C108" s="3"/>
      <c r="D108" s="3"/>
      <c r="E108" s="3"/>
      <c r="F108" s="3"/>
      <c r="G108" s="3"/>
      <c r="H108" s="3"/>
      <c r="I108" s="15"/>
      <c r="J108" s="15"/>
      <c r="K108" s="15"/>
      <c r="L108" s="15"/>
      <c r="M108" s="15"/>
      <c r="N108" s="20"/>
      <c r="O108" s="20"/>
      <c r="P108" s="20"/>
    </row>
    <row r="109" spans="1:19" ht="16" thickBot="1">
      <c r="A109" s="3"/>
      <c r="B109" s="3"/>
      <c r="C109" s="15"/>
      <c r="D109" s="15"/>
      <c r="E109" s="15"/>
      <c r="F109" s="15"/>
      <c r="G109" s="2"/>
      <c r="H109" s="2"/>
      <c r="I109" s="2"/>
      <c r="J109" s="15"/>
      <c r="K109" s="2"/>
      <c r="L109" s="15"/>
      <c r="M109" s="15"/>
      <c r="N109" s="20"/>
      <c r="O109" s="20"/>
      <c r="P109" s="20"/>
      <c r="Q109" s="19"/>
      <c r="S109" s="20"/>
    </row>
    <row r="110" spans="1:19" ht="90.75" customHeight="1">
      <c r="A110" s="3"/>
      <c r="B110" s="316" t="s">
        <v>32</v>
      </c>
      <c r="C110" s="317" t="s">
        <v>79</v>
      </c>
      <c r="D110" s="319" t="s">
        <v>418</v>
      </c>
      <c r="E110" s="319" t="s">
        <v>336</v>
      </c>
      <c r="F110" s="318" t="s">
        <v>337</v>
      </c>
      <c r="G110" s="318" t="s">
        <v>338</v>
      </c>
      <c r="H110" s="319" t="s">
        <v>339</v>
      </c>
      <c r="I110" s="319" t="s">
        <v>340</v>
      </c>
      <c r="J110" s="319" t="s">
        <v>341</v>
      </c>
      <c r="K110" s="320" t="s">
        <v>342</v>
      </c>
      <c r="L110" s="2"/>
      <c r="M110" s="20"/>
      <c r="N110" s="20"/>
      <c r="O110" s="20"/>
      <c r="P110" s="19"/>
      <c r="R110" s="20"/>
    </row>
    <row r="111" spans="1:19">
      <c r="A111" s="3"/>
      <c r="B111" s="717" t="s">
        <v>372</v>
      </c>
      <c r="C111" s="524" t="s">
        <v>416</v>
      </c>
      <c r="D111" s="524">
        <v>2</v>
      </c>
      <c r="E111" s="447">
        <f>IF(ISBLANK(D111),"",D111*30)</f>
        <v>60</v>
      </c>
      <c r="F111" s="525">
        <v>696</v>
      </c>
      <c r="G111" s="447">
        <f>IF(AND(E111&gt;0,F111&gt;0),(F111*E111),"")</f>
        <v>41760</v>
      </c>
      <c r="H111" s="526">
        <v>349320</v>
      </c>
      <c r="I111" s="506">
        <f>IF(AND(G111&gt;0,H111&gt;0),H111/G111,"")</f>
        <v>8.3649425287356323</v>
      </c>
      <c r="J111" s="526">
        <v>6</v>
      </c>
      <c r="K111" s="448">
        <f>IF(AND(I111&gt;0,J111&gt;0),I111-J111,"")</f>
        <v>2.3649425287356323</v>
      </c>
      <c r="L111" s="500"/>
      <c r="M111" s="20"/>
      <c r="N111" s="20"/>
      <c r="O111" s="20"/>
      <c r="P111" s="19"/>
      <c r="R111" s="20"/>
    </row>
    <row r="112" spans="1:19">
      <c r="A112" s="3"/>
      <c r="B112" s="718"/>
      <c r="C112" s="524" t="s">
        <v>417</v>
      </c>
      <c r="D112" s="524">
        <v>0.26</v>
      </c>
      <c r="E112" s="447">
        <f>IF(ISBLANK(D112),"",D112*30)</f>
        <v>7.8000000000000007</v>
      </c>
      <c r="F112" s="525">
        <v>11000</v>
      </c>
      <c r="G112" s="447">
        <f>IF(AND(E112&gt;0,F112&gt;0),(F112*E112),"")</f>
        <v>85800.000000000015</v>
      </c>
      <c r="H112" s="526">
        <v>447018</v>
      </c>
      <c r="I112" s="506">
        <f>IF(AND(G112&gt;0,H112&gt;0),H112/G112,"")</f>
        <v>5.2099999999999991</v>
      </c>
      <c r="J112" s="526">
        <v>3</v>
      </c>
      <c r="K112" s="448">
        <f>IF(AND(I112&gt;0,J112&gt;0),I112-J112,"")</f>
        <v>2.2099999999999991</v>
      </c>
      <c r="L112" s="2"/>
      <c r="M112" s="20"/>
      <c r="N112" s="20"/>
      <c r="O112" s="20"/>
      <c r="P112" s="19"/>
    </row>
    <row r="113" spans="1:20">
      <c r="A113" s="3"/>
      <c r="B113" s="718"/>
      <c r="C113" s="524" t="s">
        <v>453</v>
      </c>
      <c r="D113" s="524">
        <v>0.6</v>
      </c>
      <c r="E113" s="447">
        <f>IF(ISBLANK(D113),"",D113*30)</f>
        <v>18</v>
      </c>
      <c r="F113" s="525">
        <v>4055</v>
      </c>
      <c r="G113" s="447">
        <f>IF(AND(E113&gt;0,F113&gt;0),(F113*E113),"")</f>
        <v>72990</v>
      </c>
      <c r="H113" s="526">
        <v>247263</v>
      </c>
      <c r="I113" s="506">
        <f>IF(AND(G113&gt;0,H113&gt;0),H113/G113,"")</f>
        <v>3.3876284422523635</v>
      </c>
      <c r="J113" s="526">
        <v>3</v>
      </c>
      <c r="K113" s="448">
        <f>IF(AND(I113&gt;0,J113&gt;0),I113-J113,"")</f>
        <v>0.38762844225236348</v>
      </c>
      <c r="L113" s="500"/>
      <c r="M113" s="20"/>
      <c r="N113" s="20"/>
      <c r="O113" s="20"/>
      <c r="P113" s="19"/>
      <c r="R113" s="20"/>
    </row>
    <row r="114" spans="1:20" ht="16" thickBot="1">
      <c r="A114" s="3"/>
      <c r="B114" s="719"/>
      <c r="C114" s="524" t="s">
        <v>459</v>
      </c>
      <c r="D114" s="527">
        <v>1</v>
      </c>
      <c r="E114" s="445">
        <f>IF(ISBLANK(D114),"",D114*30)</f>
        <v>30</v>
      </c>
      <c r="F114" s="528">
        <v>390</v>
      </c>
      <c r="G114" s="445">
        <f>IF(AND(E114&gt;0,F114&gt;0),(F114*E114),"")</f>
        <v>11700</v>
      </c>
      <c r="H114" s="528">
        <v>51984</v>
      </c>
      <c r="I114" s="507">
        <f>IF(AND(G114&gt;0,H114&gt;0),H114/G114,"")</f>
        <v>4.4430769230769229</v>
      </c>
      <c r="J114" s="526">
        <v>3</v>
      </c>
      <c r="K114" s="446">
        <f>IF(AND(I114&gt;0,J114&gt;0),I114-J114,"")</f>
        <v>1.4430769230769229</v>
      </c>
      <c r="L114" s="2"/>
      <c r="M114" s="20"/>
      <c r="N114" s="20"/>
      <c r="O114" s="20"/>
      <c r="P114" s="19"/>
      <c r="R114" s="20"/>
    </row>
    <row r="115" spans="1:20">
      <c r="A115" s="3"/>
      <c r="B115" s="3"/>
      <c r="C115" s="3"/>
      <c r="D115" s="3"/>
      <c r="E115" s="443"/>
      <c r="F115" s="444"/>
      <c r="G115" s="442"/>
      <c r="H115" s="2"/>
      <c r="I115" s="2"/>
      <c r="J115" s="3"/>
      <c r="K115" s="3"/>
      <c r="L115" s="2"/>
      <c r="M115" s="2"/>
      <c r="N115" s="20"/>
      <c r="O115" s="20"/>
      <c r="P115" s="20"/>
      <c r="Q115" s="19"/>
      <c r="S115" s="20"/>
    </row>
    <row r="116" spans="1:20" ht="16" thickBot="1">
      <c r="A116" s="3"/>
      <c r="B116" s="3"/>
      <c r="C116" s="3"/>
      <c r="D116" s="3"/>
      <c r="E116" s="3"/>
      <c r="F116" s="3"/>
      <c r="G116" s="201"/>
      <c r="H116" s="3"/>
      <c r="I116" s="2"/>
      <c r="J116" s="109"/>
      <c r="K116" s="109"/>
      <c r="L116" s="3"/>
      <c r="M116" s="3"/>
    </row>
    <row r="117" spans="1:20" ht="20" thickBot="1">
      <c r="A117" s="3"/>
      <c r="B117" s="239" t="s">
        <v>391</v>
      </c>
      <c r="C117" s="126"/>
      <c r="D117" s="126"/>
      <c r="E117" s="127"/>
      <c r="F117" s="127"/>
      <c r="G117" s="127"/>
      <c r="H117" s="254"/>
      <c r="I117" s="240"/>
      <c r="J117" s="338"/>
      <c r="K117" s="339" t="s">
        <v>370</v>
      </c>
      <c r="L117" s="127"/>
      <c r="M117" s="340"/>
      <c r="N117" s="341"/>
      <c r="O117" s="341"/>
      <c r="P117" s="400"/>
      <c r="Q117" s="36"/>
    </row>
    <row r="118" spans="1:20" ht="16" thickBot="1">
      <c r="A118" s="3"/>
      <c r="B118" s="3"/>
      <c r="C118" s="3"/>
      <c r="D118" s="3"/>
      <c r="E118" s="3"/>
      <c r="F118" s="3"/>
      <c r="G118" s="3"/>
      <c r="H118" s="3" t="s">
        <v>449</v>
      </c>
      <c r="I118" s="3" t="s">
        <v>450</v>
      </c>
      <c r="J118" s="3" t="s">
        <v>451</v>
      </c>
      <c r="K118" s="3" t="s">
        <v>455</v>
      </c>
      <c r="L118" s="3" t="s">
        <v>456</v>
      </c>
      <c r="M118" s="3" t="s">
        <v>458</v>
      </c>
      <c r="N118" s="3" t="s">
        <v>457</v>
      </c>
      <c r="O118" s="3" t="s">
        <v>460</v>
      </c>
      <c r="P118" s="505" t="s">
        <v>461</v>
      </c>
      <c r="Q118" s="505" t="s">
        <v>473</v>
      </c>
      <c r="R118" s="505" t="s">
        <v>474</v>
      </c>
    </row>
    <row r="119" spans="1:20" ht="21.75" customHeight="1">
      <c r="A119" s="3"/>
      <c r="B119" s="729" t="s">
        <v>397</v>
      </c>
      <c r="C119" s="730"/>
      <c r="D119" s="731"/>
      <c r="E119" s="324" t="s">
        <v>327</v>
      </c>
      <c r="F119" s="281" t="s">
        <v>344</v>
      </c>
      <c r="G119" s="244"/>
      <c r="H119" s="387" t="s">
        <v>105</v>
      </c>
      <c r="I119" s="387" t="s">
        <v>106</v>
      </c>
      <c r="J119" s="387" t="s">
        <v>107</v>
      </c>
      <c r="K119" s="387" t="s">
        <v>108</v>
      </c>
      <c r="L119" s="387" t="s">
        <v>120</v>
      </c>
      <c r="M119" s="387" t="s">
        <v>121</v>
      </c>
      <c r="N119" s="387" t="s">
        <v>122</v>
      </c>
      <c r="O119" s="387" t="s">
        <v>123</v>
      </c>
      <c r="P119" s="387" t="s">
        <v>124</v>
      </c>
      <c r="Q119" s="387" t="s">
        <v>125</v>
      </c>
      <c r="R119" s="387" t="s">
        <v>126</v>
      </c>
      <c r="S119" s="388" t="s">
        <v>287</v>
      </c>
      <c r="T119" s="64"/>
    </row>
    <row r="120" spans="1:20" ht="21.75" customHeight="1">
      <c r="A120" s="3"/>
      <c r="B120" s="465"/>
      <c r="C120" s="466"/>
      <c r="D120" s="466"/>
      <c r="E120" s="467"/>
      <c r="F120" s="468"/>
      <c r="G120" s="469"/>
      <c r="H120" s="470"/>
      <c r="I120" s="470"/>
      <c r="J120" s="470"/>
      <c r="K120" s="470"/>
      <c r="L120" s="470"/>
      <c r="M120" s="470"/>
      <c r="N120" s="470"/>
      <c r="O120" s="470"/>
      <c r="P120" s="470"/>
      <c r="Q120" s="470"/>
      <c r="R120" s="470"/>
      <c r="S120" s="471"/>
      <c r="T120" s="64"/>
    </row>
    <row r="121" spans="1:20" ht="15" customHeight="1">
      <c r="A121" s="643" t="s">
        <v>374</v>
      </c>
      <c r="B121" s="647" t="s">
        <v>423</v>
      </c>
      <c r="C121" s="648"/>
      <c r="D121" s="649"/>
      <c r="E121" s="722" t="s">
        <v>424</v>
      </c>
      <c r="F121" s="724" t="s">
        <v>114</v>
      </c>
      <c r="G121" s="245" t="s">
        <v>85</v>
      </c>
      <c r="H121" s="451">
        <v>25347</v>
      </c>
      <c r="I121" s="451">
        <v>25347</v>
      </c>
      <c r="J121" s="481">
        <f>27832/4</f>
        <v>6958</v>
      </c>
      <c r="K121" s="493">
        <f>27832/2</f>
        <v>13916</v>
      </c>
      <c r="L121" s="493">
        <f>27832*3/4</f>
        <v>20874</v>
      </c>
      <c r="M121" s="493">
        <f>27832</f>
        <v>27832</v>
      </c>
      <c r="N121" s="495">
        <f>31500/4</f>
        <v>7875</v>
      </c>
      <c r="O121" s="495">
        <f>31500/2</f>
        <v>15750</v>
      </c>
      <c r="P121" s="493">
        <f>31500*3/4</f>
        <v>23625</v>
      </c>
      <c r="Q121" s="493">
        <f>31500</f>
        <v>31500</v>
      </c>
      <c r="R121" s="130">
        <f>34125/4</f>
        <v>8531.25</v>
      </c>
      <c r="S121" s="131"/>
      <c r="T121" s="64"/>
    </row>
    <row r="122" spans="1:20" ht="15" customHeight="1">
      <c r="A122" s="643"/>
      <c r="B122" s="650"/>
      <c r="C122" s="651"/>
      <c r="D122" s="652"/>
      <c r="E122" s="723"/>
      <c r="F122" s="724"/>
      <c r="G122" s="245" t="s">
        <v>86</v>
      </c>
      <c r="H122" s="460">
        <v>22099</v>
      </c>
      <c r="I122" s="451">
        <v>28279</v>
      </c>
      <c r="J122" s="130">
        <v>7219</v>
      </c>
      <c r="K122" s="276">
        <v>16129</v>
      </c>
      <c r="L122" s="130">
        <v>18626</v>
      </c>
      <c r="M122" s="130">
        <v>26294</v>
      </c>
      <c r="N122" s="130">
        <v>5762</v>
      </c>
      <c r="O122" s="276">
        <f>10591+1268</f>
        <v>11859</v>
      </c>
      <c r="P122" s="519">
        <v>23914</v>
      </c>
      <c r="Q122" s="130">
        <v>24421</v>
      </c>
      <c r="R122" s="130">
        <v>8173</v>
      </c>
      <c r="S122" s="131"/>
      <c r="T122" s="64"/>
    </row>
    <row r="123" spans="1:20" ht="15" customHeight="1">
      <c r="A123" s="643"/>
      <c r="B123" s="658" t="s">
        <v>425</v>
      </c>
      <c r="C123" s="659"/>
      <c r="D123" s="660"/>
      <c r="E123" s="736" t="s">
        <v>426</v>
      </c>
      <c r="F123" s="735" t="s">
        <v>114</v>
      </c>
      <c r="G123" s="422" t="s">
        <v>85</v>
      </c>
      <c r="H123" s="453">
        <v>4250</v>
      </c>
      <c r="I123" s="453">
        <v>4250</v>
      </c>
      <c r="J123" s="482">
        <f>5950/4</f>
        <v>1487.5</v>
      </c>
      <c r="K123" s="494">
        <f>5950/2</f>
        <v>2975</v>
      </c>
      <c r="L123" s="494">
        <f>5950*3/4</f>
        <v>4462.5</v>
      </c>
      <c r="M123" s="494">
        <f>5950</f>
        <v>5950</v>
      </c>
      <c r="N123" s="501">
        <f>8500/4</f>
        <v>2125</v>
      </c>
      <c r="O123" s="501">
        <f>8500/2</f>
        <v>4250</v>
      </c>
      <c r="P123" s="494">
        <f>8500*3/4</f>
        <v>6375</v>
      </c>
      <c r="Q123" s="494">
        <f>8500</f>
        <v>8500</v>
      </c>
      <c r="R123" s="241">
        <f>8325/4</f>
        <v>2081.25</v>
      </c>
      <c r="S123" s="321"/>
      <c r="T123" s="64"/>
    </row>
    <row r="124" spans="1:20" ht="15" customHeight="1">
      <c r="A124" s="643"/>
      <c r="B124" s="661"/>
      <c r="C124" s="659"/>
      <c r="D124" s="660"/>
      <c r="E124" s="737"/>
      <c r="F124" s="721"/>
      <c r="G124" s="422" t="s">
        <v>86</v>
      </c>
      <c r="H124" s="461">
        <v>3167</v>
      </c>
      <c r="I124" s="454">
        <v>3826</v>
      </c>
      <c r="J124" s="322">
        <v>1383</v>
      </c>
      <c r="K124" s="323">
        <v>2314</v>
      </c>
      <c r="L124" s="322">
        <v>3126</v>
      </c>
      <c r="M124" s="322">
        <v>3846</v>
      </c>
      <c r="N124" s="322">
        <f>1702+155</f>
        <v>1857</v>
      </c>
      <c r="O124" s="323">
        <f>3062+402</f>
        <v>3464</v>
      </c>
      <c r="P124" s="520">
        <f>4534+989</f>
        <v>5523</v>
      </c>
      <c r="Q124" s="241">
        <v>7104</v>
      </c>
      <c r="R124" s="241">
        <f>2136+268</f>
        <v>2404</v>
      </c>
      <c r="S124" s="321"/>
      <c r="T124" s="64"/>
    </row>
    <row r="125" spans="1:20" ht="15" customHeight="1">
      <c r="A125" s="643"/>
      <c r="B125" s="662" t="s">
        <v>435</v>
      </c>
      <c r="C125" s="651"/>
      <c r="D125" s="652"/>
      <c r="E125" s="722" t="s">
        <v>436</v>
      </c>
      <c r="F125" s="656" t="s">
        <v>114</v>
      </c>
      <c r="G125" s="245" t="s">
        <v>85</v>
      </c>
      <c r="H125" s="451">
        <v>4000</v>
      </c>
      <c r="I125" s="451">
        <v>4000</v>
      </c>
      <c r="J125" s="130">
        <v>4550</v>
      </c>
      <c r="K125" s="495">
        <v>4550</v>
      </c>
      <c r="L125" s="495">
        <v>4550</v>
      </c>
      <c r="M125" s="495">
        <v>4550</v>
      </c>
      <c r="N125" s="495">
        <v>5100</v>
      </c>
      <c r="O125" s="495">
        <v>5100</v>
      </c>
      <c r="P125" s="493">
        <v>5100</v>
      </c>
      <c r="Q125" s="493">
        <v>5100</v>
      </c>
      <c r="R125" s="130">
        <v>5500</v>
      </c>
      <c r="S125" s="131"/>
      <c r="T125" s="64"/>
    </row>
    <row r="126" spans="1:20" ht="15" customHeight="1">
      <c r="A126" s="643"/>
      <c r="B126" s="650"/>
      <c r="C126" s="651"/>
      <c r="D126" s="652"/>
      <c r="E126" s="723"/>
      <c r="F126" s="657"/>
      <c r="G126" s="245" t="s">
        <v>86</v>
      </c>
      <c r="H126" s="460">
        <v>3518</v>
      </c>
      <c r="I126" s="452">
        <v>3638</v>
      </c>
      <c r="J126" s="130">
        <v>3786</v>
      </c>
      <c r="K126" s="130">
        <v>3899</v>
      </c>
      <c r="L126" s="130">
        <v>4100</v>
      </c>
      <c r="M126" s="130">
        <v>4144</v>
      </c>
      <c r="N126" s="130">
        <v>4260</v>
      </c>
      <c r="O126" s="276">
        <f>3864+501</f>
        <v>4365</v>
      </c>
      <c r="P126" s="519">
        <v>4468</v>
      </c>
      <c r="Q126" s="130">
        <v>4597</v>
      </c>
      <c r="R126" s="130">
        <v>4136</v>
      </c>
      <c r="S126" s="131"/>
      <c r="T126" s="64"/>
    </row>
    <row r="127" spans="1:20" ht="15" customHeight="1">
      <c r="A127" s="3"/>
      <c r="B127" s="694" t="s">
        <v>421</v>
      </c>
      <c r="C127" s="695"/>
      <c r="D127" s="696"/>
      <c r="E127" s="736" t="s">
        <v>422</v>
      </c>
      <c r="F127" s="720" t="s">
        <v>114</v>
      </c>
      <c r="G127" s="422" t="s">
        <v>85</v>
      </c>
      <c r="H127" s="450">
        <v>28329</v>
      </c>
      <c r="I127" s="450">
        <v>28329</v>
      </c>
      <c r="J127" s="482">
        <f>30814/4</f>
        <v>7703.5</v>
      </c>
      <c r="K127" s="494">
        <f>30814/2</f>
        <v>15407</v>
      </c>
      <c r="L127" s="494">
        <f>30814*3/4</f>
        <v>23110.5</v>
      </c>
      <c r="M127" s="494">
        <f>30814</f>
        <v>30814</v>
      </c>
      <c r="N127" s="501">
        <f>35175/4</f>
        <v>8793.75</v>
      </c>
      <c r="O127" s="501">
        <f>35175/2</f>
        <v>17587.5</v>
      </c>
      <c r="P127" s="494">
        <f>35175*3/4</f>
        <v>26381.25</v>
      </c>
      <c r="Q127" s="494">
        <f>35175</f>
        <v>35175</v>
      </c>
      <c r="R127" s="241">
        <f>36750/4</f>
        <v>9187.5</v>
      </c>
      <c r="S127" s="321"/>
      <c r="T127" s="64"/>
    </row>
    <row r="128" spans="1:20" ht="15" customHeight="1">
      <c r="A128" s="3"/>
      <c r="B128" s="697"/>
      <c r="C128" s="698"/>
      <c r="D128" s="699"/>
      <c r="E128" s="737"/>
      <c r="F128" s="721"/>
      <c r="G128" s="422" t="s">
        <v>86</v>
      </c>
      <c r="H128" s="463">
        <v>26928</v>
      </c>
      <c r="I128" s="454">
        <v>30330</v>
      </c>
      <c r="J128" s="241">
        <v>13968</v>
      </c>
      <c r="K128" s="277">
        <v>20114</v>
      </c>
      <c r="L128" s="241">
        <v>23118</v>
      </c>
      <c r="M128" s="241">
        <v>27250</v>
      </c>
      <c r="N128" s="241">
        <v>14112</v>
      </c>
      <c r="O128" s="277">
        <v>20290</v>
      </c>
      <c r="P128" s="520">
        <v>16318</v>
      </c>
      <c r="Q128" s="241">
        <v>29891</v>
      </c>
      <c r="R128" s="241">
        <v>16853</v>
      </c>
      <c r="S128" s="321"/>
      <c r="T128" s="64"/>
    </row>
    <row r="129" spans="1:20" ht="15" customHeight="1">
      <c r="A129" s="3"/>
      <c r="B129" s="700" t="s">
        <v>427</v>
      </c>
      <c r="C129" s="701"/>
      <c r="D129" s="702"/>
      <c r="E129" s="722" t="s">
        <v>428</v>
      </c>
      <c r="F129" s="656" t="s">
        <v>114</v>
      </c>
      <c r="G129" s="423" t="s">
        <v>85</v>
      </c>
      <c r="H129" s="455">
        <v>3060</v>
      </c>
      <c r="I129" s="455">
        <v>3060</v>
      </c>
      <c r="J129" s="483">
        <f>4250/4</f>
        <v>1062.5</v>
      </c>
      <c r="K129" s="496">
        <f>4250/2</f>
        <v>2125</v>
      </c>
      <c r="L129" s="496">
        <f>4250*3/4</f>
        <v>3187.5</v>
      </c>
      <c r="M129" s="496">
        <f>4250</f>
        <v>4250</v>
      </c>
      <c r="N129" s="502">
        <f>6800/4</f>
        <v>1700</v>
      </c>
      <c r="O129" s="502">
        <f>6800/2</f>
        <v>3400</v>
      </c>
      <c r="P129" s="496">
        <f>6800*3/4</f>
        <v>5100</v>
      </c>
      <c r="Q129" s="496">
        <f>6800</f>
        <v>6800</v>
      </c>
      <c r="R129" s="424">
        <f>5550/4</f>
        <v>1387.5</v>
      </c>
      <c r="S129" s="426"/>
      <c r="T129" s="64"/>
    </row>
    <row r="130" spans="1:20" ht="15" customHeight="1">
      <c r="A130" s="3"/>
      <c r="B130" s="703"/>
      <c r="C130" s="704"/>
      <c r="D130" s="705"/>
      <c r="E130" s="723"/>
      <c r="F130" s="657"/>
      <c r="G130" s="423" t="s">
        <v>86</v>
      </c>
      <c r="H130" s="464">
        <v>1597</v>
      </c>
      <c r="I130" s="455">
        <v>2035</v>
      </c>
      <c r="J130" s="424">
        <f>691+423</f>
        <v>1114</v>
      </c>
      <c r="K130" s="425">
        <f>1285+696</f>
        <v>1981</v>
      </c>
      <c r="L130" s="424">
        <f>1781+1187</f>
        <v>2968</v>
      </c>
      <c r="M130" s="424">
        <v>3889</v>
      </c>
      <c r="N130" s="424">
        <f>741+184</f>
        <v>925</v>
      </c>
      <c r="O130" s="425">
        <f>1452+627</f>
        <v>2079</v>
      </c>
      <c r="P130" s="521">
        <f>2263+963</f>
        <v>3226</v>
      </c>
      <c r="Q130" s="424">
        <v>4637</v>
      </c>
      <c r="R130" s="424">
        <f>878+515</f>
        <v>1393</v>
      </c>
      <c r="S130" s="426"/>
      <c r="T130" s="64"/>
    </row>
    <row r="131" spans="1:20" ht="15" customHeight="1">
      <c r="A131" s="3"/>
      <c r="B131" s="694" t="s">
        <v>429</v>
      </c>
      <c r="C131" s="695"/>
      <c r="D131" s="696"/>
      <c r="E131" s="736" t="s">
        <v>430</v>
      </c>
      <c r="F131" s="720" t="s">
        <v>114</v>
      </c>
      <c r="G131" s="422" t="s">
        <v>85</v>
      </c>
      <c r="H131" s="450">
        <v>2610</v>
      </c>
      <c r="I131" s="450">
        <v>2610</v>
      </c>
      <c r="J131" s="484">
        <f>3263/4</f>
        <v>815.75</v>
      </c>
      <c r="K131" s="497">
        <f>3263/2</f>
        <v>1631.5</v>
      </c>
      <c r="L131" s="497">
        <f>3263*3/4</f>
        <v>2447.25</v>
      </c>
      <c r="M131" s="497">
        <f>3263</f>
        <v>3263</v>
      </c>
      <c r="N131" s="503">
        <f>4306/4</f>
        <v>1076.5</v>
      </c>
      <c r="O131" s="503">
        <f>4306/2</f>
        <v>2153</v>
      </c>
      <c r="P131" s="497">
        <f>4306*3/4</f>
        <v>3229.5</v>
      </c>
      <c r="Q131" s="497">
        <f>4306</f>
        <v>4306</v>
      </c>
      <c r="R131" s="322">
        <f>3900/4</f>
        <v>975</v>
      </c>
      <c r="S131" s="427"/>
      <c r="T131" s="64"/>
    </row>
    <row r="132" spans="1:20" ht="15" customHeight="1">
      <c r="A132" s="3"/>
      <c r="B132" s="697"/>
      <c r="C132" s="698"/>
      <c r="D132" s="699"/>
      <c r="E132" s="737"/>
      <c r="F132" s="721"/>
      <c r="G132" s="422" t="s">
        <v>86</v>
      </c>
      <c r="H132" s="463">
        <v>2479</v>
      </c>
      <c r="I132" s="454">
        <v>3160</v>
      </c>
      <c r="J132" s="241">
        <v>1532</v>
      </c>
      <c r="K132" s="277">
        <v>2372</v>
      </c>
      <c r="L132" s="241">
        <v>2885</v>
      </c>
      <c r="M132" s="241">
        <v>3367</v>
      </c>
      <c r="N132" s="241">
        <v>1593</v>
      </c>
      <c r="O132" s="277">
        <v>2476</v>
      </c>
      <c r="P132" s="522">
        <v>3229</v>
      </c>
      <c r="Q132" s="322">
        <v>3844</v>
      </c>
      <c r="R132" s="322">
        <v>1716</v>
      </c>
      <c r="S132" s="427"/>
      <c r="T132" s="64"/>
    </row>
    <row r="133" spans="1:20" ht="15" customHeight="1">
      <c r="A133" s="3"/>
      <c r="B133" s="700" t="s">
        <v>431</v>
      </c>
      <c r="C133" s="701"/>
      <c r="D133" s="702"/>
      <c r="E133" s="722" t="s">
        <v>432</v>
      </c>
      <c r="F133" s="724" t="s">
        <v>114</v>
      </c>
      <c r="G133" s="423" t="s">
        <v>85</v>
      </c>
      <c r="H133" s="455">
        <v>1958</v>
      </c>
      <c r="I133" s="455">
        <v>1958</v>
      </c>
      <c r="J133" s="483">
        <f>2610/4</f>
        <v>652.5</v>
      </c>
      <c r="K133" s="496">
        <f>2610/2</f>
        <v>1305</v>
      </c>
      <c r="L133" s="496">
        <f>2610*3/4</f>
        <v>1957.5</v>
      </c>
      <c r="M133" s="496">
        <f>2610</f>
        <v>2610</v>
      </c>
      <c r="N133" s="502">
        <f>3589/4</f>
        <v>897.25</v>
      </c>
      <c r="O133" s="502">
        <f>3589/2</f>
        <v>1794.5</v>
      </c>
      <c r="P133" s="496">
        <f>3589*3/4</f>
        <v>2691.75</v>
      </c>
      <c r="Q133" s="496">
        <f>3589</f>
        <v>3589</v>
      </c>
      <c r="R133" s="424">
        <f>2925/4</f>
        <v>731.25</v>
      </c>
      <c r="S133" s="426"/>
      <c r="T133" s="64"/>
    </row>
    <row r="134" spans="1:20" ht="15" customHeight="1">
      <c r="A134" s="3"/>
      <c r="B134" s="703"/>
      <c r="C134" s="704"/>
      <c r="D134" s="705"/>
      <c r="E134" s="723"/>
      <c r="F134" s="724"/>
      <c r="G134" s="423" t="s">
        <v>86</v>
      </c>
      <c r="H134" s="464">
        <v>1562</v>
      </c>
      <c r="I134" s="456">
        <v>2111</v>
      </c>
      <c r="J134" s="424">
        <v>712</v>
      </c>
      <c r="K134" s="425">
        <v>1296</v>
      </c>
      <c r="L134" s="424">
        <v>1735</v>
      </c>
      <c r="M134" s="424">
        <v>2185</v>
      </c>
      <c r="N134" s="424">
        <v>681</v>
      </c>
      <c r="O134" s="425">
        <v>1325</v>
      </c>
      <c r="P134" s="521">
        <v>1971</v>
      </c>
      <c r="Q134" s="424">
        <v>2698</v>
      </c>
      <c r="R134" s="424">
        <v>685</v>
      </c>
      <c r="S134" s="426"/>
      <c r="T134" s="64"/>
    </row>
    <row r="135" spans="1:20" ht="15" hidden="1" customHeight="1">
      <c r="A135" s="3"/>
      <c r="B135" s="694" t="s">
        <v>433</v>
      </c>
      <c r="C135" s="695"/>
      <c r="D135" s="696"/>
      <c r="E135" s="736" t="s">
        <v>434</v>
      </c>
      <c r="F135" s="712" t="s">
        <v>114</v>
      </c>
      <c r="G135" s="422" t="s">
        <v>85</v>
      </c>
      <c r="H135" s="463">
        <v>5500</v>
      </c>
      <c r="I135" s="463">
        <v>5500</v>
      </c>
      <c r="J135" s="484">
        <f>6000/4</f>
        <v>1500</v>
      </c>
      <c r="K135" s="497">
        <f>6000/2</f>
        <v>3000</v>
      </c>
      <c r="L135" s="497">
        <f>6000*3/4</f>
        <v>4500</v>
      </c>
      <c r="M135" s="497">
        <f>6000</f>
        <v>6000</v>
      </c>
      <c r="N135" s="503">
        <f>6500/4</f>
        <v>1625</v>
      </c>
      <c r="O135" s="503">
        <f>6500/2</f>
        <v>3250</v>
      </c>
      <c r="P135" s="497">
        <f>6500*3/4</f>
        <v>4875</v>
      </c>
      <c r="Q135" s="497">
        <f>6500</f>
        <v>6500</v>
      </c>
      <c r="R135" s="322">
        <f>4690/2</f>
        <v>2345</v>
      </c>
      <c r="S135" s="427"/>
      <c r="T135" s="64"/>
    </row>
    <row r="136" spans="1:20" ht="15" hidden="1" customHeight="1">
      <c r="A136" s="3"/>
      <c r="B136" s="697"/>
      <c r="C136" s="698"/>
      <c r="D136" s="699"/>
      <c r="E136" s="737"/>
      <c r="F136" s="712"/>
      <c r="G136" s="422" t="s">
        <v>86</v>
      </c>
      <c r="H136" s="463">
        <v>4718</v>
      </c>
      <c r="I136" s="449">
        <v>6068</v>
      </c>
      <c r="J136" s="322">
        <v>1552</v>
      </c>
      <c r="K136" s="322">
        <v>2937</v>
      </c>
      <c r="L136" s="322">
        <v>4226</v>
      </c>
      <c r="M136" s="322">
        <v>5534</v>
      </c>
      <c r="N136" s="322">
        <v>1605</v>
      </c>
      <c r="O136" s="323">
        <v>2611</v>
      </c>
      <c r="P136" s="522">
        <v>4122</v>
      </c>
      <c r="Q136" s="322">
        <v>5978</v>
      </c>
      <c r="R136" s="322">
        <v>1637</v>
      </c>
      <c r="S136" s="427"/>
      <c r="T136" s="64"/>
    </row>
    <row r="137" spans="1:20" ht="15" hidden="1" customHeight="1">
      <c r="A137" s="3"/>
      <c r="B137" s="706"/>
      <c r="C137" s="707"/>
      <c r="D137" s="708"/>
      <c r="E137" s="744"/>
      <c r="F137" s="745"/>
      <c r="G137" s="423" t="s">
        <v>85</v>
      </c>
      <c r="H137" s="479"/>
      <c r="I137" s="478"/>
      <c r="J137" s="424"/>
      <c r="K137" s="498"/>
      <c r="L137" s="424"/>
      <c r="M137" s="424"/>
      <c r="N137" s="424"/>
      <c r="O137" s="424"/>
      <c r="P137" s="424"/>
      <c r="Q137" s="424"/>
      <c r="R137" s="424"/>
      <c r="S137" s="426"/>
      <c r="T137" s="64"/>
    </row>
    <row r="138" spans="1:20" ht="15" hidden="1" customHeight="1">
      <c r="A138" s="3"/>
      <c r="B138" s="709"/>
      <c r="C138" s="710"/>
      <c r="D138" s="711"/>
      <c r="E138" s="744"/>
      <c r="F138" s="745"/>
      <c r="G138" s="423" t="s">
        <v>86</v>
      </c>
      <c r="H138" s="480"/>
      <c r="I138" s="457"/>
      <c r="J138" s="424"/>
      <c r="K138" s="424"/>
      <c r="L138" s="424"/>
      <c r="M138" s="424"/>
      <c r="N138" s="424"/>
      <c r="O138" s="424"/>
      <c r="P138" s="424"/>
      <c r="Q138" s="424"/>
      <c r="R138" s="424"/>
      <c r="S138" s="426"/>
      <c r="T138" s="64"/>
    </row>
    <row r="139" spans="1:20" ht="15" hidden="1" customHeight="1">
      <c r="A139" s="3"/>
      <c r="B139" s="754"/>
      <c r="C139" s="695"/>
      <c r="D139" s="696"/>
      <c r="E139" s="737"/>
      <c r="F139" s="712"/>
      <c r="G139" s="422" t="s">
        <v>85</v>
      </c>
      <c r="H139" s="450"/>
      <c r="I139" s="449"/>
      <c r="J139" s="322"/>
      <c r="K139" s="322"/>
      <c r="L139" s="322"/>
      <c r="M139" s="322"/>
      <c r="N139" s="322"/>
      <c r="O139" s="322"/>
      <c r="P139" s="322"/>
      <c r="Q139" s="322"/>
      <c r="R139" s="322"/>
      <c r="S139" s="427"/>
      <c r="T139" s="64"/>
    </row>
    <row r="140" spans="1:20" ht="15" hidden="1" customHeight="1" thickBot="1">
      <c r="A140" s="3"/>
      <c r="B140" s="755"/>
      <c r="C140" s="756"/>
      <c r="D140" s="757"/>
      <c r="E140" s="746"/>
      <c r="F140" s="747"/>
      <c r="G140" s="428" t="s">
        <v>86</v>
      </c>
      <c r="H140" s="458"/>
      <c r="I140" s="459"/>
      <c r="J140" s="429"/>
      <c r="K140" s="429"/>
      <c r="L140" s="429"/>
      <c r="M140" s="429"/>
      <c r="N140" s="429"/>
      <c r="O140" s="429"/>
      <c r="P140" s="429"/>
      <c r="Q140" s="429"/>
      <c r="R140" s="429"/>
      <c r="S140" s="430"/>
      <c r="T140" s="64"/>
    </row>
    <row r="141" spans="1:20">
      <c r="A141" s="3"/>
      <c r="B141" s="3"/>
      <c r="C141" s="3"/>
      <c r="D141" s="3"/>
      <c r="E141" s="3"/>
      <c r="F141" s="3"/>
      <c r="G141" s="2"/>
      <c r="H141" s="3"/>
      <c r="I141" s="3"/>
      <c r="J141" s="3"/>
      <c r="K141" s="3"/>
      <c r="L141" s="3"/>
      <c r="M141" s="3"/>
      <c r="N141" s="3"/>
      <c r="O141" s="3"/>
      <c r="R141" s="36"/>
      <c r="S141" s="36"/>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ht="17" thickBot="1">
      <c r="A144" s="3"/>
      <c r="B144" s="326"/>
      <c r="C144" s="3"/>
      <c r="D144" s="3"/>
      <c r="E144" s="3"/>
      <c r="F144" s="3"/>
      <c r="G144" s="2"/>
      <c r="H144" s="3"/>
      <c r="I144" s="3"/>
      <c r="J144" s="3"/>
      <c r="K144" s="3"/>
      <c r="L144" s="3"/>
      <c r="M144" s="3"/>
      <c r="N144" s="3"/>
      <c r="O144" s="3"/>
      <c r="R144" s="36"/>
      <c r="S144" s="36"/>
    </row>
    <row r="145" spans="1:21" ht="16" thickBot="1">
      <c r="A145" s="3"/>
      <c r="B145" s="3" t="s">
        <v>404</v>
      </c>
      <c r="C145" s="3"/>
      <c r="D145" s="3"/>
      <c r="E145" s="324" t="s">
        <v>327</v>
      </c>
      <c r="F145" s="281" t="s">
        <v>344</v>
      </c>
      <c r="G145" s="244"/>
      <c r="H145" s="387" t="str">
        <f t="shared" ref="H145:S145" si="6">C30</f>
        <v>P1</v>
      </c>
      <c r="I145" s="387" t="str">
        <f t="shared" si="6"/>
        <v>P2</v>
      </c>
      <c r="J145" s="387" t="str">
        <f t="shared" si="6"/>
        <v>P3</v>
      </c>
      <c r="K145" s="387" t="str">
        <f t="shared" si="6"/>
        <v>P4</v>
      </c>
      <c r="L145" s="387" t="str">
        <f t="shared" si="6"/>
        <v>P5</v>
      </c>
      <c r="M145" s="387" t="str">
        <f t="shared" si="6"/>
        <v>P6</v>
      </c>
      <c r="N145" s="387" t="str">
        <f t="shared" si="6"/>
        <v>P7</v>
      </c>
      <c r="O145" s="387" t="str">
        <f t="shared" si="6"/>
        <v>P8</v>
      </c>
      <c r="P145" s="387" t="str">
        <f t="shared" si="6"/>
        <v>P9</v>
      </c>
      <c r="Q145" s="387" t="str">
        <f t="shared" si="6"/>
        <v>P10</v>
      </c>
      <c r="R145" s="387" t="str">
        <f t="shared" si="6"/>
        <v>P11</v>
      </c>
      <c r="S145" s="388" t="str">
        <f t="shared" si="6"/>
        <v>P12</v>
      </c>
      <c r="T145" s="36"/>
      <c r="U145" s="36"/>
    </row>
    <row r="146" spans="1:21">
      <c r="A146" s="3"/>
      <c r="B146" s="685" t="str">
        <f>IF(ISBLANK(B121),"",(B121))</f>
        <v>Percentage of PWID that have received an HIV test during the reporting period and know their results</v>
      </c>
      <c r="C146" s="686"/>
      <c r="D146" s="687"/>
      <c r="E146" s="741" t="str">
        <f>IF(ISBLANK(E121),"",(E121))</f>
        <v>KP-3d</v>
      </c>
      <c r="F146" s="672" t="str">
        <f>IF(ISBLANK(F121),"",(F121))</f>
        <v>Yes</v>
      </c>
      <c r="G146" s="352" t="s">
        <v>85</v>
      </c>
      <c r="H146" s="407">
        <f t="shared" ref="H146:S146" si="7">H121</f>
        <v>25347</v>
      </c>
      <c r="I146" s="407">
        <f t="shared" si="7"/>
        <v>25347</v>
      </c>
      <c r="J146" s="407">
        <f t="shared" si="7"/>
        <v>6958</v>
      </c>
      <c r="K146" s="407">
        <f t="shared" si="7"/>
        <v>13916</v>
      </c>
      <c r="L146" s="407">
        <f t="shared" si="7"/>
        <v>20874</v>
      </c>
      <c r="M146" s="407">
        <f t="shared" si="7"/>
        <v>27832</v>
      </c>
      <c r="N146" s="407">
        <f t="shared" si="7"/>
        <v>7875</v>
      </c>
      <c r="O146" s="407">
        <f t="shared" si="7"/>
        <v>15750</v>
      </c>
      <c r="P146" s="407">
        <f t="shared" si="7"/>
        <v>23625</v>
      </c>
      <c r="Q146" s="407">
        <f t="shared" si="7"/>
        <v>31500</v>
      </c>
      <c r="R146" s="407">
        <f t="shared" si="7"/>
        <v>8531.25</v>
      </c>
      <c r="S146" s="438">
        <f t="shared" si="7"/>
        <v>0</v>
      </c>
      <c r="T146" s="36"/>
      <c r="U146" s="36"/>
    </row>
    <row r="147" spans="1:21">
      <c r="A147" s="3"/>
      <c r="B147" s="688"/>
      <c r="C147" s="689"/>
      <c r="D147" s="690"/>
      <c r="E147" s="741"/>
      <c r="F147" s="672"/>
      <c r="G147" s="128" t="s">
        <v>86</v>
      </c>
      <c r="H147" s="407">
        <f t="shared" ref="H147:K151" si="8">H122</f>
        <v>22099</v>
      </c>
      <c r="I147" s="407">
        <f t="shared" si="8"/>
        <v>28279</v>
      </c>
      <c r="J147" s="407">
        <f t="shared" si="8"/>
        <v>7219</v>
      </c>
      <c r="K147" s="407">
        <f t="shared" si="8"/>
        <v>16129</v>
      </c>
      <c r="L147" s="407">
        <f t="shared" ref="L147:S147" si="9">L122</f>
        <v>18626</v>
      </c>
      <c r="M147" s="407">
        <f t="shared" si="9"/>
        <v>26294</v>
      </c>
      <c r="N147" s="407">
        <f t="shared" si="9"/>
        <v>5762</v>
      </c>
      <c r="O147" s="407">
        <f t="shared" si="9"/>
        <v>11859</v>
      </c>
      <c r="P147" s="407">
        <f t="shared" si="9"/>
        <v>23914</v>
      </c>
      <c r="Q147" s="407">
        <f t="shared" si="9"/>
        <v>24421</v>
      </c>
      <c r="R147" s="407">
        <f t="shared" si="9"/>
        <v>8173</v>
      </c>
      <c r="S147" s="438">
        <f t="shared" si="9"/>
        <v>0</v>
      </c>
      <c r="T147" s="36"/>
      <c r="U147" s="36"/>
    </row>
    <row r="148" spans="1:21">
      <c r="A148" s="3"/>
      <c r="B148" s="691" t="str">
        <f>IF(ISBLANK(B123),"",(B123))</f>
        <v>Percentage of MSM reached with HIV prevention programs - defined package of services</v>
      </c>
      <c r="C148" s="692"/>
      <c r="D148" s="693"/>
      <c r="E148" s="758" t="str">
        <f>IF(ISBLANK(E123),"",(E123))</f>
        <v>KP-1a</v>
      </c>
      <c r="F148" s="673" t="str">
        <f>IF(ISBLANK(F123),"",(F123))</f>
        <v>Yes</v>
      </c>
      <c r="G148" s="431" t="s">
        <v>85</v>
      </c>
      <c r="H148" s="432">
        <f t="shared" si="8"/>
        <v>4250</v>
      </c>
      <c r="I148" s="432">
        <f>I123</f>
        <v>4250</v>
      </c>
      <c r="J148" s="432">
        <f t="shared" si="8"/>
        <v>1487.5</v>
      </c>
      <c r="K148" s="432">
        <f>K123</f>
        <v>2975</v>
      </c>
      <c r="L148" s="432">
        <f t="shared" ref="L148:S148" si="10">L123</f>
        <v>4462.5</v>
      </c>
      <c r="M148" s="432">
        <f t="shared" si="10"/>
        <v>5950</v>
      </c>
      <c r="N148" s="432">
        <f t="shared" si="10"/>
        <v>2125</v>
      </c>
      <c r="O148" s="432">
        <f t="shared" si="10"/>
        <v>4250</v>
      </c>
      <c r="P148" s="432">
        <f t="shared" si="10"/>
        <v>6375</v>
      </c>
      <c r="Q148" s="432">
        <f t="shared" si="10"/>
        <v>8500</v>
      </c>
      <c r="R148" s="432">
        <f t="shared" si="10"/>
        <v>2081.25</v>
      </c>
      <c r="S148" s="439">
        <f t="shared" si="10"/>
        <v>0</v>
      </c>
      <c r="T148" s="36"/>
      <c r="U148" s="36"/>
    </row>
    <row r="149" spans="1:21">
      <c r="A149" s="3"/>
      <c r="B149" s="691"/>
      <c r="C149" s="692"/>
      <c r="D149" s="693"/>
      <c r="E149" s="758"/>
      <c r="F149" s="673"/>
      <c r="G149" s="431" t="s">
        <v>86</v>
      </c>
      <c r="H149" s="432">
        <f t="shared" si="8"/>
        <v>3167</v>
      </c>
      <c r="I149" s="432">
        <f t="shared" si="8"/>
        <v>3826</v>
      </c>
      <c r="J149" s="432">
        <f t="shared" si="8"/>
        <v>1383</v>
      </c>
      <c r="K149" s="432">
        <f t="shared" si="8"/>
        <v>2314</v>
      </c>
      <c r="L149" s="432">
        <f t="shared" ref="L149:S149" si="11">L124</f>
        <v>3126</v>
      </c>
      <c r="M149" s="432">
        <f t="shared" si="11"/>
        <v>3846</v>
      </c>
      <c r="N149" s="432">
        <f t="shared" si="11"/>
        <v>1857</v>
      </c>
      <c r="O149" s="432">
        <f t="shared" si="11"/>
        <v>3464</v>
      </c>
      <c r="P149" s="432">
        <f t="shared" si="11"/>
        <v>5523</v>
      </c>
      <c r="Q149" s="432">
        <f t="shared" si="11"/>
        <v>7104</v>
      </c>
      <c r="R149" s="432">
        <f t="shared" si="11"/>
        <v>2404</v>
      </c>
      <c r="S149" s="439">
        <f t="shared" si="11"/>
        <v>0</v>
      </c>
      <c r="T149" s="36"/>
      <c r="U149" s="36"/>
    </row>
    <row r="150" spans="1:21">
      <c r="A150" s="3"/>
      <c r="B150" s="748" t="str">
        <f>IF(ISBLANK(B125),"",(B125))</f>
        <v xml:space="preserve">Percentage of people living with HIV currently receiving antiretroviral therapy </v>
      </c>
      <c r="C150" s="749"/>
      <c r="D150" s="750"/>
      <c r="E150" s="741" t="str">
        <f>IF(ISBLANK(E125),"",(E125))</f>
        <v>TCS-1</v>
      </c>
      <c r="F150" s="672" t="str">
        <f>IF(ISBLANK(F125),"",(F125))</f>
        <v>Yes</v>
      </c>
      <c r="G150" s="128" t="s">
        <v>85</v>
      </c>
      <c r="H150" s="407">
        <f t="shared" si="8"/>
        <v>4000</v>
      </c>
      <c r="I150" s="407">
        <f t="shared" si="8"/>
        <v>4000</v>
      </c>
      <c r="J150" s="407">
        <f t="shared" si="8"/>
        <v>4550</v>
      </c>
      <c r="K150" s="407">
        <f t="shared" si="8"/>
        <v>4550</v>
      </c>
      <c r="L150" s="407">
        <f t="shared" ref="L150:S150" si="12">L125</f>
        <v>4550</v>
      </c>
      <c r="M150" s="407">
        <f t="shared" si="12"/>
        <v>4550</v>
      </c>
      <c r="N150" s="407">
        <f t="shared" si="12"/>
        <v>5100</v>
      </c>
      <c r="O150" s="407">
        <f t="shared" si="12"/>
        <v>5100</v>
      </c>
      <c r="P150" s="407">
        <f t="shared" si="12"/>
        <v>5100</v>
      </c>
      <c r="Q150" s="407">
        <f t="shared" si="12"/>
        <v>5100</v>
      </c>
      <c r="R150" s="407">
        <f t="shared" si="12"/>
        <v>5500</v>
      </c>
      <c r="S150" s="438">
        <f t="shared" si="12"/>
        <v>0</v>
      </c>
      <c r="T150" s="36"/>
      <c r="U150" s="36"/>
    </row>
    <row r="151" spans="1:21" ht="16" thickBot="1">
      <c r="A151" s="3"/>
      <c r="B151" s="751"/>
      <c r="C151" s="752"/>
      <c r="D151" s="753"/>
      <c r="E151" s="742"/>
      <c r="F151" s="743"/>
      <c r="G151" s="129" t="s">
        <v>86</v>
      </c>
      <c r="H151" s="408">
        <f t="shared" si="8"/>
        <v>3518</v>
      </c>
      <c r="I151" s="408">
        <f t="shared" si="8"/>
        <v>3638</v>
      </c>
      <c r="J151" s="408">
        <f t="shared" si="8"/>
        <v>3786</v>
      </c>
      <c r="K151" s="408">
        <f t="shared" si="8"/>
        <v>3899</v>
      </c>
      <c r="L151" s="408">
        <f t="shared" ref="L151:S151" si="13">L126</f>
        <v>4100</v>
      </c>
      <c r="M151" s="408">
        <f t="shared" si="13"/>
        <v>4144</v>
      </c>
      <c r="N151" s="408">
        <f t="shared" si="13"/>
        <v>4260</v>
      </c>
      <c r="O151" s="408">
        <f t="shared" si="13"/>
        <v>4365</v>
      </c>
      <c r="P151" s="408">
        <f t="shared" si="13"/>
        <v>4468</v>
      </c>
      <c r="Q151" s="408">
        <f t="shared" si="13"/>
        <v>4597</v>
      </c>
      <c r="R151" s="408">
        <f t="shared" si="13"/>
        <v>4136</v>
      </c>
      <c r="S151" s="440">
        <f t="shared" si="13"/>
        <v>0</v>
      </c>
      <c r="T151" s="36"/>
      <c r="U151" s="36"/>
    </row>
    <row r="152" spans="1:21">
      <c r="A152" s="3"/>
      <c r="B152" s="3"/>
      <c r="C152" s="3"/>
      <c r="D152" s="3"/>
      <c r="E152" s="3"/>
      <c r="F152" s="3"/>
      <c r="G152" s="3"/>
      <c r="H152" s="3"/>
      <c r="I152" s="3"/>
      <c r="J152" s="3"/>
      <c r="K152" s="3"/>
      <c r="L152" s="3"/>
      <c r="M152" s="3"/>
      <c r="N152"/>
      <c r="O152"/>
      <c r="P152" s="36"/>
      <c r="Q152" s="36"/>
      <c r="S152" s="433"/>
    </row>
    <row r="153" spans="1:21">
      <c r="N153"/>
      <c r="O153"/>
      <c r="P153" s="36"/>
      <c r="Q153" s="36"/>
    </row>
    <row r="154" spans="1:21">
      <c r="N154"/>
      <c r="O154"/>
      <c r="P154" s="36"/>
      <c r="Q154" s="36"/>
    </row>
    <row r="155" spans="1:21">
      <c r="N155"/>
      <c r="O155"/>
      <c r="P155" s="36"/>
      <c r="Q155" s="36"/>
    </row>
  </sheetData>
  <mergeCells count="73">
    <mergeCell ref="E150:E151"/>
    <mergeCell ref="B127:D128"/>
    <mergeCell ref="F150:F151"/>
    <mergeCell ref="E137:E138"/>
    <mergeCell ref="F137:F138"/>
    <mergeCell ref="E139:E140"/>
    <mergeCell ref="F139:F140"/>
    <mergeCell ref="E146:E147"/>
    <mergeCell ref="E127:E128"/>
    <mergeCell ref="E131:E132"/>
    <mergeCell ref="B150:D151"/>
    <mergeCell ref="B139:D140"/>
    <mergeCell ref="E148:E149"/>
    <mergeCell ref="E129:E130"/>
    <mergeCell ref="B129:D130"/>
    <mergeCell ref="E135:E136"/>
    <mergeCell ref="O31:O34"/>
    <mergeCell ref="E121:E122"/>
    <mergeCell ref="F121:F122"/>
    <mergeCell ref="F123:F124"/>
    <mergeCell ref="E123:E124"/>
    <mergeCell ref="F50:I50"/>
    <mergeCell ref="I24:J24"/>
    <mergeCell ref="B21:J21"/>
    <mergeCell ref="B76:C76"/>
    <mergeCell ref="E125:E126"/>
    <mergeCell ref="B119:D119"/>
    <mergeCell ref="D24:E24"/>
    <mergeCell ref="F135:F136"/>
    <mergeCell ref="F129:F130"/>
    <mergeCell ref="B74:C74"/>
    <mergeCell ref="B26:C26"/>
    <mergeCell ref="B111:B114"/>
    <mergeCell ref="F131:F132"/>
    <mergeCell ref="E133:E134"/>
    <mergeCell ref="F133:F134"/>
    <mergeCell ref="F127:F128"/>
    <mergeCell ref="B146:D147"/>
    <mergeCell ref="B148:D149"/>
    <mergeCell ref="B131:D132"/>
    <mergeCell ref="B133:D134"/>
    <mergeCell ref="B135:D136"/>
    <mergeCell ref="B137:D138"/>
    <mergeCell ref="F146:F147"/>
    <mergeCell ref="F148:F149"/>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5:C75"/>
    <mergeCell ref="B18:C18"/>
    <mergeCell ref="D18:F18"/>
    <mergeCell ref="A121:A126"/>
    <mergeCell ref="B29:N29"/>
    <mergeCell ref="B121:D122"/>
    <mergeCell ref="B63:D63"/>
    <mergeCell ref="F125:F126"/>
    <mergeCell ref="B123:D124"/>
    <mergeCell ref="B125:D126"/>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7:N97">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9:S120 H145:S145">
    <cfRule type="cellIs" dxfId="32" priority="18" stopIfTrue="1" operator="equal">
      <formula>$C$16</formula>
    </cfRule>
  </conditionalFormatting>
  <conditionalFormatting sqref="F50:I50">
    <cfRule type="expression" dxfId="31" priority="19" stopIfTrue="1">
      <formula>LEFT($F$50,2)="OK"</formula>
    </cfRule>
  </conditionalFormatting>
  <conditionalFormatting sqref="G32:H32">
    <cfRule type="expression" dxfId="30" priority="1" stopIfTrue="1">
      <formula>+AND(#REF!&gt;=#REF!,#REF!&lt;=#REF!)</formula>
    </cfRule>
  </conditionalFormatting>
  <dataValidations disablePrompts="1" count="9">
    <dataValidation type="list" allowBlank="1" showInputMessage="1" showErrorMessage="1" sqref="B111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1:C114"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1" max="16383" man="1"/>
  </rowBreaks>
  <ignoredErrors>
    <ignoredError sqref="H145:S145 E146 C32 D50 I32:J32 K100:L100 G100 L99:M99 C55:D55 C56:C58 M10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E1" sqref="E1:E1048576"/>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3"/>
      <c r="H1" s="2"/>
      <c r="I1" s="2"/>
      <c r="J1" s="2"/>
    </row>
    <row r="2" spans="1:24" ht="25.5" customHeight="1"/>
    <row r="3" spans="1:24" ht="37">
      <c r="B3" s="759" t="str">
        <f>+"Dashboard: "&amp;" "&amp;+IF('Data Entry'!C4="Please Select","",'Data Entry'!C4&amp;" - ")&amp;+IF('Data Entry'!G6="Please Select","",'Data Entry'!G6)</f>
        <v>Dashboard:  Georgia - HIV / AIDS</v>
      </c>
      <c r="C3" s="759"/>
      <c r="D3" s="759"/>
      <c r="E3" s="759"/>
      <c r="F3" s="759"/>
      <c r="G3" s="759"/>
      <c r="H3" s="759"/>
      <c r="I3" s="759"/>
      <c r="J3" s="75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1" t="str">
        <f>+IF('Data Entry'!C4="Please Select","",'Data Entry'!C4)</f>
        <v>Georgia</v>
      </c>
      <c r="C6" s="761"/>
      <c r="D6" s="765" t="s">
        <v>11</v>
      </c>
      <c r="E6" s="765"/>
      <c r="F6" s="766" t="str">
        <f>+'Data Entry'!G4</f>
        <v xml:space="preserve">Sustaining and Scaling up the Effective HIV/AIDS Prevention, Treatment and Care in Georgia </v>
      </c>
      <c r="G6" s="766"/>
      <c r="H6" s="766"/>
      <c r="I6" s="766"/>
      <c r="J6" s="76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63" t="s">
        <v>12</v>
      </c>
      <c r="F9" s="763"/>
      <c r="G9" s="345">
        <f>+IF(ISBLANK('Data Entry'!C10),"",'Data Entry'!C10)</f>
        <v>42552</v>
      </c>
      <c r="H9" s="377" t="s">
        <v>329</v>
      </c>
      <c r="I9" s="762">
        <f>+IF(ISBLANK('Data Entry'!I6),"",'Data Entry'!I6)</f>
        <v>17962183.992709801</v>
      </c>
      <c r="J9" s="762"/>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64" t="s">
        <v>268</v>
      </c>
      <c r="F10" s="764"/>
      <c r="G10" s="760" t="str">
        <f>+'Data Entry'!C8</f>
        <v>NCDC</v>
      </c>
      <c r="H10" s="760"/>
      <c r="I10" s="760"/>
      <c r="J10" s="760"/>
      <c r="K10" s="54"/>
      <c r="L10" s="54"/>
      <c r="M10" s="50"/>
      <c r="N10" s="54"/>
      <c r="O10" s="52"/>
      <c r="P10" s="51"/>
      <c r="Q10" s="11"/>
      <c r="R10" s="53"/>
      <c r="S10" s="17"/>
      <c r="T10" s="11"/>
      <c r="U10" s="11"/>
    </row>
    <row r="11" spans="1:24" ht="25.5" customHeight="1">
      <c r="A11" s="377" t="s">
        <v>20</v>
      </c>
      <c r="B11" s="348" t="str">
        <f>+'Data Entry'!C16</f>
        <v>P11</v>
      </c>
      <c r="C11" s="329" t="s">
        <v>266</v>
      </c>
      <c r="D11" s="349">
        <f>+IF(ISBLANK('Data Entry'!E16),"",'Data Entry'!E16)</f>
        <v>43466</v>
      </c>
      <c r="E11" s="763" t="s">
        <v>21</v>
      </c>
      <c r="F11" s="763"/>
      <c r="G11" s="349">
        <f>+IF(ISBLANK('Data Entry'!G16),"",'Data Entry'!G16)</f>
        <v>43555</v>
      </c>
      <c r="H11" s="377" t="s">
        <v>28</v>
      </c>
      <c r="I11" s="767" t="str">
        <f>+IF('Data Entry'!C12="Please Select","",'Data Entry'!C12)</f>
        <v>B1</v>
      </c>
      <c r="J11" s="767"/>
      <c r="K11" s="272"/>
      <c r="L11" s="54"/>
      <c r="M11" s="50"/>
      <c r="N11" s="54"/>
      <c r="O11" s="54"/>
      <c r="P11" s="51"/>
      <c r="Q11" s="11"/>
      <c r="R11" s="53"/>
      <c r="S11" s="17"/>
      <c r="T11" s="12"/>
      <c r="U11" s="11"/>
    </row>
    <row r="12" spans="1:24" ht="25.5" customHeight="1">
      <c r="A12" s="377" t="s">
        <v>30</v>
      </c>
      <c r="B12" s="760" t="str">
        <f>+IF('Data Entry'!G10="Please Select","",'Data Entry'!G10)</f>
        <v>UNOPS</v>
      </c>
      <c r="C12" s="760"/>
      <c r="D12" s="760"/>
      <c r="E12" s="764" t="s">
        <v>289</v>
      </c>
      <c r="F12" s="764"/>
      <c r="G12" s="760" t="str">
        <f>+'Data Entry'!G12</f>
        <v xml:space="preserve">Gyongyver Jakab </v>
      </c>
      <c r="H12" s="760"/>
      <c r="I12" s="760"/>
      <c r="J12" s="760"/>
      <c r="K12" s="54"/>
      <c r="L12" s="54"/>
      <c r="M12" s="50"/>
      <c r="N12" s="54"/>
      <c r="O12" s="17"/>
      <c r="P12" s="51"/>
      <c r="Q12" s="11"/>
      <c r="R12" s="53"/>
      <c r="S12" s="17"/>
      <c r="T12" s="11"/>
      <c r="U12" s="55"/>
      <c r="V12" s="11"/>
      <c r="W12" s="12"/>
      <c r="X12" s="11"/>
    </row>
    <row r="13" spans="1:24" ht="25.5" customHeight="1">
      <c r="A13" s="377" t="s">
        <v>31</v>
      </c>
      <c r="B13" s="760" t="str">
        <f>+'Data Entry'!D18</f>
        <v>Alexander Asatiani</v>
      </c>
      <c r="C13" s="760"/>
      <c r="D13" s="760"/>
      <c r="E13" s="764" t="s">
        <v>29</v>
      </c>
      <c r="F13" s="764"/>
      <c r="G13" s="768">
        <f>+IF(ISBLANK('Data Entry'!J16),"",'Data Entry'!J16)</f>
        <v>43605</v>
      </c>
      <c r="H13" s="769"/>
      <c r="I13" s="769"/>
      <c r="J13" s="76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I32" sqref="I32"/>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74" t="str">
        <f>+"Dashboard:  "&amp;"  "&amp;IF(+'Data Entry'!C4="Please Select","",'Data Entry'!C4&amp;" - ")&amp;IF('Data Entry'!G6="Please Select","",'Data Entry'!G6)</f>
        <v>Dashboard:    Georgia - HIV / AIDS</v>
      </c>
      <c r="C2" s="674"/>
      <c r="D2" s="674"/>
      <c r="E2" s="674"/>
      <c r="F2" s="674"/>
      <c r="G2" s="674"/>
      <c r="H2" s="674"/>
      <c r="I2" s="674"/>
      <c r="J2" s="674"/>
      <c r="K2" s="674"/>
      <c r="L2" s="1"/>
      <c r="M2" s="1"/>
      <c r="N2" s="1"/>
      <c r="O2" s="1"/>
    </row>
    <row r="3" spans="2:15">
      <c r="B3" s="132" t="str">
        <f>+IF('Data Entry'!G8="Please Select","",'Data Entry'!G8)</f>
        <v>NFM</v>
      </c>
      <c r="C3" s="781" t="str">
        <f>+IF('Data Entry'!I8="Please Select","",'Data Entry'!I8)</f>
        <v>N/A</v>
      </c>
      <c r="D3" s="781"/>
      <c r="E3" s="780"/>
      <c r="F3" s="780"/>
      <c r="G3" s="780"/>
      <c r="H3" s="780"/>
      <c r="I3" s="778" t="str">
        <f>+'Data Entry'!B16</f>
        <v>Report Period:</v>
      </c>
      <c r="J3" s="778"/>
      <c r="K3" s="197" t="str">
        <f>+'Data Entry'!C16</f>
        <v>P11</v>
      </c>
      <c r="L3" s="83"/>
    </row>
    <row r="4" spans="2:15">
      <c r="B4" s="132" t="str">
        <f>+'Data Entry'!B12</f>
        <v>Latest Rating:</v>
      </c>
      <c r="C4" s="782" t="str">
        <f>+IF('Data Entry'!C12="Please Select","",'Data Entry'!C12)</f>
        <v>B1</v>
      </c>
      <c r="D4" s="782"/>
      <c r="E4" s="780" t="str">
        <f>+'Data Entry'!C8</f>
        <v>NCDC</v>
      </c>
      <c r="F4" s="780"/>
      <c r="G4" s="780"/>
      <c r="H4" s="780"/>
      <c r="I4" s="778" t="str">
        <f>+'Data Entry'!D16</f>
        <v>From:</v>
      </c>
      <c r="J4" s="779"/>
      <c r="K4" s="199">
        <f>+IF(ISBLANK('Data Entry'!E16),"",'Data Entry'!E16)</f>
        <v>43466</v>
      </c>
    </row>
    <row r="5" spans="2:15" ht="18.75" customHeight="1">
      <c r="B5" s="132"/>
      <c r="C5" s="132"/>
      <c r="D5" s="777" t="str">
        <f>+'Data Entry'!G4</f>
        <v xml:space="preserve">Sustaining and Scaling up the Effective HIV/AIDS Prevention, Treatment and Care in Georgia </v>
      </c>
      <c r="E5" s="777"/>
      <c r="F5" s="777"/>
      <c r="G5" s="777"/>
      <c r="H5" s="777"/>
      <c r="I5" s="777"/>
      <c r="J5" s="132" t="str">
        <f>+'Data Entry'!F16</f>
        <v>To:</v>
      </c>
      <c r="K5" s="199">
        <f>+IF(ISBLANK('Data Entry'!G16),"",'Data Entry'!G16)</f>
        <v>43555</v>
      </c>
    </row>
    <row r="6" spans="2:15" ht="19">
      <c r="B6" s="136"/>
      <c r="C6" s="132"/>
      <c r="D6" s="133"/>
      <c r="E6" s="783" t="s">
        <v>62</v>
      </c>
      <c r="F6" s="783"/>
      <c r="G6" s="783"/>
      <c r="H6" s="783"/>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P11</v>
      </c>
      <c r="C8" s="142"/>
      <c r="D8" s="2"/>
      <c r="E8" s="2"/>
      <c r="F8" s="2"/>
      <c r="H8" s="202" t="str">
        <f>+'Data Entry'!B52&amp; " - in ("&amp;'Data Entry'!D26&amp;")         "&amp;+I3&amp;" "&amp;+K3</f>
        <v>F3: Disbursements and expenditures - in ($)         Report Period: P11</v>
      </c>
      <c r="I8" s="3"/>
      <c r="J8" s="3"/>
      <c r="K8" s="3"/>
    </row>
    <row r="9" spans="2:15">
      <c r="B9" s="353" t="s">
        <v>9</v>
      </c>
      <c r="C9" s="789"/>
      <c r="D9" s="771"/>
      <c r="E9" s="771"/>
      <c r="F9" s="772"/>
      <c r="H9" s="354" t="s">
        <v>9</v>
      </c>
      <c r="I9" s="770"/>
      <c r="J9" s="771"/>
      <c r="K9" s="77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P11</v>
      </c>
      <c r="C22" s="2"/>
      <c r="D22" s="2"/>
      <c r="E22" s="2"/>
      <c r="F22" s="2"/>
      <c r="H22" s="203" t="str">
        <f>+'Data Entry'!B61&amp;"      "&amp;+I3&amp;" "&amp;+K3</f>
        <v>F4: Latest PR reporting and disbursement cycle      Report Period: P11</v>
      </c>
      <c r="J22" s="3"/>
      <c r="K22" s="3"/>
    </row>
    <row r="23" spans="1:11">
      <c r="B23" s="354" t="s">
        <v>10</v>
      </c>
      <c r="C23" s="770"/>
      <c r="D23" s="771"/>
      <c r="E23" s="771"/>
      <c r="F23" s="772"/>
      <c r="G23" s="374"/>
      <c r="H23" s="354" t="s">
        <v>9</v>
      </c>
      <c r="I23" s="770"/>
      <c r="J23" s="790"/>
      <c r="K23" s="791"/>
    </row>
    <row r="24" spans="1:11" ht="16" thickBot="1">
      <c r="B24" s="212"/>
      <c r="C24" s="212"/>
      <c r="D24" s="212"/>
      <c r="E24" s="212"/>
      <c r="F24" s="212"/>
      <c r="G24" s="212"/>
      <c r="H24" s="213"/>
      <c r="I24" s="213"/>
      <c r="J24" s="212"/>
      <c r="K24" s="212"/>
    </row>
    <row r="25" spans="1:11" ht="29.25" customHeight="1" thickBot="1">
      <c r="B25" s="3"/>
      <c r="C25" s="3"/>
      <c r="D25" s="3"/>
      <c r="E25" s="3"/>
      <c r="F25" s="3"/>
      <c r="G25" s="327"/>
      <c r="H25" s="784" t="s">
        <v>308</v>
      </c>
      <c r="I25" s="785"/>
      <c r="J25" s="785"/>
      <c r="K25" s="786"/>
    </row>
    <row r="26" spans="1:11">
      <c r="B26" s="3"/>
      <c r="C26" s="3"/>
      <c r="D26" s="3"/>
      <c r="E26" s="3"/>
      <c r="F26" s="3"/>
      <c r="G26" s="289"/>
      <c r="H26" s="787"/>
      <c r="I26" s="788"/>
      <c r="J26" s="305" t="s">
        <v>60</v>
      </c>
      <c r="K26" s="306" t="s">
        <v>61</v>
      </c>
    </row>
    <row r="27" spans="1:11" ht="23.25" customHeight="1">
      <c r="B27" s="3"/>
      <c r="C27" s="3"/>
      <c r="D27" s="3"/>
      <c r="E27" s="3"/>
      <c r="F27" s="3"/>
      <c r="G27" s="328"/>
      <c r="H27" s="773" t="str">
        <f>'Data Entry'!B65</f>
        <v>Days taken to submit final PU/DR to LFA</v>
      </c>
      <c r="I27" s="774"/>
      <c r="J27" s="307">
        <f>+'Data Entry'!C65</f>
        <v>60</v>
      </c>
      <c r="K27" s="304">
        <f>+'Data Entry'!D65</f>
        <v>116</v>
      </c>
    </row>
    <row r="28" spans="1:11" ht="21" customHeight="1">
      <c r="B28" s="3"/>
      <c r="C28" s="3"/>
      <c r="D28" s="3"/>
      <c r="E28" s="3"/>
      <c r="F28" s="3"/>
      <c r="G28" s="328"/>
      <c r="H28" s="773" t="str">
        <f>'Data Entry'!B66</f>
        <v>Days taken for disbursement to reach PR</v>
      </c>
      <c r="I28" s="774"/>
      <c r="J28" s="307">
        <f>+'Data Entry'!C66</f>
        <v>45</v>
      </c>
      <c r="K28" s="304">
        <f>+'Data Entry'!D66</f>
        <v>15</v>
      </c>
    </row>
    <row r="29" spans="1:11" ht="21" customHeight="1" thickBot="1">
      <c r="B29" s="3"/>
      <c r="C29" s="3"/>
      <c r="D29" s="3"/>
      <c r="E29" s="3"/>
      <c r="F29" s="3"/>
      <c r="G29" s="328"/>
      <c r="H29" s="775" t="str">
        <f>'Data Entry'!B67</f>
        <v xml:space="preserve">Days taken for disbursement to reach SRs </v>
      </c>
      <c r="I29" s="776"/>
      <c r="J29" s="308">
        <f>+'Data Entry'!C67</f>
        <v>5</v>
      </c>
      <c r="K29" s="309">
        <f>+'Data Entry'!D67</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A15" zoomScaleNormal="100" zoomScalePageLayoutView="130" workbookViewId="0">
      <selection activeCell="H30" sqref="H30:H33"/>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37.6640625" customWidth="1"/>
  </cols>
  <sheetData>
    <row r="1" spans="1:16" ht="28.5" customHeight="1">
      <c r="C1" s="230"/>
      <c r="E1" s="231"/>
    </row>
    <row r="2" spans="1:16" ht="27.75" customHeight="1">
      <c r="B2" s="797" t="str">
        <f>+"Dashboard:  "&amp;"  "&amp;IF(+'Data Entry'!C4="Please Select","",'Data Entry'!C4&amp;" - ")&amp;IF('Data Entry'!G6="Please Select","",'Data Entry'!G6)</f>
        <v>Dashboard:    Georgia - HIV / AIDS</v>
      </c>
      <c r="C2" s="797"/>
      <c r="D2" s="797"/>
      <c r="E2" s="797"/>
      <c r="F2" s="797"/>
      <c r="G2" s="797"/>
      <c r="H2" s="797"/>
      <c r="I2" s="797"/>
      <c r="J2" s="797"/>
      <c r="K2" s="797"/>
      <c r="L2" s="797"/>
      <c r="M2" s="26"/>
      <c r="N2" s="26"/>
      <c r="O2" s="26"/>
      <c r="P2" s="26"/>
    </row>
    <row r="3" spans="1:16">
      <c r="B3" s="24" t="str">
        <f>+IF('Data Entry'!G8="Please Select","",'Data Entry'!G8)</f>
        <v>NFM</v>
      </c>
      <c r="C3" s="795" t="str">
        <f>+IF('Data Entry'!I8="Please Select","",'Data Entry'!I8)</f>
        <v>N/A</v>
      </c>
      <c r="D3" s="795"/>
      <c r="E3" s="796"/>
      <c r="F3" s="796"/>
      <c r="G3" s="796"/>
      <c r="H3" s="796"/>
      <c r="I3" s="796"/>
      <c r="J3" s="799" t="str">
        <f>+'Data Entry'!B16</f>
        <v>Report Period:</v>
      </c>
      <c r="K3" s="799"/>
      <c r="L3" s="197" t="str">
        <f>+'Data Entry'!C16</f>
        <v>P11</v>
      </c>
    </row>
    <row r="4" spans="1:16">
      <c r="B4" s="24" t="str">
        <f>+'Data Entry'!B12</f>
        <v>Latest Rating:</v>
      </c>
      <c r="C4" s="782" t="str">
        <f>+IF('Data Entry'!C12="Please Select","",'Data Entry'!C12)</f>
        <v>B1</v>
      </c>
      <c r="D4" s="782"/>
      <c r="E4" s="796" t="str">
        <f>+'Data Entry'!C8</f>
        <v>NCDC</v>
      </c>
      <c r="F4" s="796"/>
      <c r="G4" s="796"/>
      <c r="H4" s="796"/>
      <c r="I4" s="796"/>
      <c r="J4" s="799" t="str">
        <f>+'Data Entry'!D16</f>
        <v>From:</v>
      </c>
      <c r="K4" s="803"/>
      <c r="L4" s="199">
        <f>+IF(ISBLANK('Data Entry'!E16),"",'Data Entry'!E16)</f>
        <v>43466</v>
      </c>
    </row>
    <row r="5" spans="1:16" ht="18.75" customHeight="1">
      <c r="B5" s="24"/>
      <c r="C5" s="24"/>
      <c r="D5" s="796" t="str">
        <f>+'Data Entry'!G4</f>
        <v xml:space="preserve">Sustaining and Scaling up the Effective HIV/AIDS Prevention, Treatment and Care in Georgia </v>
      </c>
      <c r="E5" s="796"/>
      <c r="F5" s="796"/>
      <c r="G5" s="796"/>
      <c r="H5" s="796"/>
      <c r="I5" s="796"/>
      <c r="J5" s="796"/>
      <c r="K5" s="24" t="str">
        <f>+'Data Entry'!F16</f>
        <v>To:</v>
      </c>
      <c r="L5" s="199">
        <f>+IF(ISBLANK('Data Entry'!G16),"",'Data Entry'!G16)</f>
        <v>43555</v>
      </c>
    </row>
    <row r="6" spans="1:16" ht="19">
      <c r="B6" s="23"/>
      <c r="C6" s="24"/>
      <c r="D6" s="25"/>
      <c r="E6" s="798" t="s">
        <v>69</v>
      </c>
      <c r="F6" s="798"/>
      <c r="G6" s="798"/>
      <c r="H6" s="798"/>
      <c r="I6" s="798"/>
    </row>
    <row r="7" spans="1:16">
      <c r="B7" s="375" t="str">
        <f>+'Data Entry'!B72&amp;"                "&amp;+J3&amp;" "&amp;+L3</f>
        <v>M1: Status of Conditions Precedent (CPs) and Time Bound Actions (TBAs)                Report Period: P11</v>
      </c>
      <c r="C7" s="21"/>
      <c r="H7" s="375" t="str">
        <f>+'Data Entry'!B79&amp;"                                                                             "&amp;+J3&amp;"  "&amp;+L3</f>
        <v>M2: Status of key PR management positions                                                                             Report Period:  P11</v>
      </c>
    </row>
    <row r="8" spans="1:16">
      <c r="B8" s="355" t="s">
        <v>9</v>
      </c>
      <c r="C8" s="770"/>
      <c r="D8" s="790"/>
      <c r="E8" s="790"/>
      <c r="F8" s="791"/>
      <c r="G8" s="376"/>
      <c r="H8" s="354" t="s">
        <v>9</v>
      </c>
      <c r="I8" s="770"/>
      <c r="J8" s="792"/>
      <c r="K8" s="792"/>
      <c r="L8" s="793"/>
    </row>
    <row r="9" spans="1:16">
      <c r="B9" s="19"/>
      <c r="C9" s="19"/>
      <c r="D9" s="19"/>
      <c r="E9" s="19"/>
      <c r="F9" s="19"/>
      <c r="G9" s="19"/>
      <c r="H9" s="19"/>
    </row>
    <row r="10" spans="1:16">
      <c r="A10" s="47"/>
      <c r="B10" s="19"/>
      <c r="C10" s="19"/>
      <c r="D10" s="804"/>
      <c r="E10" s="595"/>
      <c r="F10" s="595"/>
      <c r="G10" s="206"/>
      <c r="H10" s="19"/>
      <c r="N10" s="49"/>
      <c r="O10" s="49"/>
      <c r="P10" s="48"/>
    </row>
    <row r="11" spans="1:16">
      <c r="B11" s="19"/>
      <c r="C11" s="28"/>
      <c r="D11" s="804"/>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Entry'!B84&amp;"                                                                                                  "&amp;+J3&amp;" "&amp;+L3</f>
        <v>M3: Contractual arrangements (SRs)                                                                                                   Report Period: P11</v>
      </c>
      <c r="H15" s="375" t="str">
        <f>+'Data Entry'!B89&amp;"                                                             "&amp;+J3&amp;" "&amp;+L3</f>
        <v>M4: Number of complete reports received on time                                                             Report Period: P11</v>
      </c>
    </row>
    <row r="16" spans="1:16">
      <c r="B16" s="355" t="s">
        <v>9</v>
      </c>
      <c r="C16" s="770"/>
      <c r="D16" s="792"/>
      <c r="E16" s="792"/>
      <c r="F16" s="793"/>
      <c r="G16" s="376"/>
      <c r="H16" s="354" t="s">
        <v>9</v>
      </c>
      <c r="I16" s="770"/>
      <c r="J16" s="790"/>
      <c r="K16" s="790"/>
      <c r="L16" s="791"/>
    </row>
    <row r="17" spans="2:13">
      <c r="B17" s="29"/>
      <c r="H17" s="30"/>
    </row>
    <row r="18" spans="2:13">
      <c r="M18" s="83"/>
    </row>
    <row r="26" spans="2:13">
      <c r="B26" s="375" t="str">
        <f>+'Data Entry'!B95</f>
        <v>M5: Budget and Procurement of health products, health equipment, medicines and pharmaceuticals</v>
      </c>
      <c r="H26" s="375" t="str">
        <f>+'Data Entry'!B108&amp;"                                                                "&amp;+J3&amp;"  "&amp;+L3</f>
        <v>M6: Difference between current and safety stock                                                                Report Period:  P11</v>
      </c>
    </row>
    <row r="27" spans="2:13">
      <c r="B27" s="353" t="s">
        <v>9</v>
      </c>
      <c r="C27" s="789"/>
      <c r="D27" s="792"/>
      <c r="E27" s="792"/>
      <c r="F27" s="793"/>
      <c r="G27" s="376"/>
      <c r="H27" s="354" t="s">
        <v>9</v>
      </c>
      <c r="I27" s="770"/>
      <c r="J27" s="790"/>
      <c r="K27" s="790"/>
      <c r="L27" s="791"/>
    </row>
    <row r="28" spans="2:13" ht="16" thickBot="1"/>
    <row r="29" spans="2:13" ht="55.5" customHeight="1">
      <c r="F29" s="334"/>
      <c r="G29" s="334"/>
      <c r="H29" s="218" t="s">
        <v>32</v>
      </c>
      <c r="I29" s="330" t="s">
        <v>79</v>
      </c>
      <c r="J29" s="351" t="s">
        <v>343</v>
      </c>
      <c r="K29" s="217" t="s">
        <v>331</v>
      </c>
      <c r="L29" s="331" t="s">
        <v>330</v>
      </c>
    </row>
    <row r="30" spans="2:13">
      <c r="F30" s="334"/>
      <c r="G30" s="334"/>
      <c r="H30" s="800" t="str">
        <f>+'Data Entry'!B111</f>
        <v>Please Select</v>
      </c>
      <c r="I30" s="968" t="str">
        <f>+'Data Entry'!C111</f>
        <v>Zidovudine/Lamivudine</v>
      </c>
      <c r="J30" s="489">
        <f>+'Data Entry'!I111</f>
        <v>8.3649425287356323</v>
      </c>
      <c r="K30" s="490">
        <f>+'Data Entry'!J111</f>
        <v>6</v>
      </c>
      <c r="L30" s="529">
        <f>J30-K30</f>
        <v>2.3649425287356323</v>
      </c>
      <c r="M30" s="504" t="s">
        <v>475</v>
      </c>
    </row>
    <row r="31" spans="2:13">
      <c r="F31" s="334"/>
      <c r="G31" s="334"/>
      <c r="H31" s="801"/>
      <c r="I31" s="332" t="str">
        <f>+'Data Entry'!C112</f>
        <v>Syringes (1ml)</v>
      </c>
      <c r="J31" s="489">
        <f>+'Data Entry'!I112</f>
        <v>5.2099999999999991</v>
      </c>
      <c r="K31" s="490">
        <f>+'Data Entry'!J112</f>
        <v>3</v>
      </c>
      <c r="L31" s="529">
        <f t="shared" ref="L31:L33" si="0">J31-K31</f>
        <v>2.2099999999999991</v>
      </c>
      <c r="M31" s="504" t="s">
        <v>465</v>
      </c>
    </row>
    <row r="32" spans="2:13">
      <c r="F32" s="334"/>
      <c r="G32" s="334"/>
      <c r="H32" s="801"/>
      <c r="I32" s="332" t="str">
        <f>+'Data Entry'!C113</f>
        <v>Condoms (Tanadgoma)</v>
      </c>
      <c r="J32" s="489">
        <f>+'Data Entry'!I113</f>
        <v>3.3876284422523635</v>
      </c>
      <c r="K32" s="490">
        <f>+'Data Entry'!J113</f>
        <v>3</v>
      </c>
      <c r="L32" s="529">
        <f t="shared" si="0"/>
        <v>0.38762844225236348</v>
      </c>
      <c r="M32" s="504" t="s">
        <v>475</v>
      </c>
    </row>
    <row r="33" spans="2:13" ht="16" thickBot="1">
      <c r="F33" s="334"/>
      <c r="G33" s="334"/>
      <c r="H33" s="802"/>
      <c r="I33" s="333" t="str">
        <f>+'Data Entry'!C114</f>
        <v>Condoms (EM)</v>
      </c>
      <c r="J33" s="491">
        <f>+'Data Entry'!I114</f>
        <v>4.4430769230769229</v>
      </c>
      <c r="K33" s="492">
        <f>+'Data Entry'!J114</f>
        <v>3</v>
      </c>
      <c r="L33" s="529">
        <f t="shared" si="0"/>
        <v>1.4430769230769229</v>
      </c>
      <c r="M33" s="504" t="s">
        <v>475</v>
      </c>
    </row>
    <row r="34" spans="2:13" ht="24.75" customHeight="1">
      <c r="B34" s="794" t="str">
        <f>+'Data Entry'!B105</f>
        <v>* Includes only EFR category 4 and 5  (Health products and health equipment &amp; Medicines and Pharmaceuticals)</v>
      </c>
      <c r="C34" s="794"/>
      <c r="D34" s="794"/>
      <c r="E34" s="794"/>
      <c r="F34" s="19"/>
      <c r="G34" s="19"/>
      <c r="H34" s="214"/>
      <c r="I34" s="215"/>
      <c r="J34" s="216"/>
      <c r="K34" s="206"/>
      <c r="L34" s="20"/>
    </row>
    <row r="35" spans="2:13">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opLeftCell="A9" zoomScale="80" zoomScaleNormal="80" workbookViewId="0">
      <selection activeCell="G27" sqref="G27:K27"/>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9.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22.83203125" bestFit="1" customWidth="1"/>
  </cols>
  <sheetData>
    <row r="1" spans="1:35" ht="26.25" customHeight="1">
      <c r="A1" s="3"/>
      <c r="B1" s="3"/>
      <c r="C1" s="3"/>
      <c r="D1" s="3"/>
      <c r="E1" s="3"/>
      <c r="F1" s="3"/>
      <c r="G1" s="3"/>
      <c r="H1" s="3"/>
      <c r="I1" s="3"/>
      <c r="J1" s="3"/>
      <c r="K1" s="3"/>
      <c r="L1" s="3"/>
      <c r="M1" s="3"/>
      <c r="N1" s="3"/>
      <c r="O1" s="3"/>
      <c r="P1" s="3"/>
    </row>
    <row r="2" spans="1:35" ht="21.75" customHeight="1">
      <c r="A2" s="3"/>
      <c r="B2" s="846" t="str">
        <f>+"Dashboard:  "&amp;"  "&amp;IF(+'Data Entry'!C4="Please Select","",'Data Entry'!C4&amp;" - ")&amp;IF('Data Entry'!G6="Please Select","",'Data Entry'!G6)</f>
        <v>Dashboard:    Georgia - HIV / AIDS</v>
      </c>
      <c r="C2" s="846"/>
      <c r="D2" s="846"/>
      <c r="E2" s="846"/>
      <c r="F2" s="846"/>
      <c r="G2" s="846"/>
      <c r="H2" s="846"/>
      <c r="I2" s="846"/>
      <c r="J2" s="846"/>
      <c r="K2" s="846"/>
      <c r="L2" s="846"/>
      <c r="M2" s="846"/>
      <c r="N2" s="846"/>
      <c r="O2" s="846"/>
      <c r="P2" s="846"/>
      <c r="Q2" s="846"/>
    </row>
    <row r="3" spans="1:35" ht="19">
      <c r="A3" s="3"/>
      <c r="B3" s="132" t="str">
        <f>+IF('Data Entry'!G8="Please Select","",'Data Entry'!G8)</f>
        <v>NFM</v>
      </c>
      <c r="C3" s="781" t="str">
        <f>+IF('Data Entry'!I8="Please Select","",'Data Entry'!I8)</f>
        <v>N/A</v>
      </c>
      <c r="D3" s="781"/>
      <c r="E3" s="780"/>
      <c r="F3" s="780"/>
      <c r="G3" s="780"/>
      <c r="H3" s="780"/>
      <c r="I3" s="848"/>
      <c r="J3" s="848"/>
      <c r="K3" s="848"/>
      <c r="L3" s="3"/>
      <c r="M3" s="3"/>
      <c r="O3" s="778" t="str">
        <f>+'Data Entry'!B16</f>
        <v>Report Period:</v>
      </c>
      <c r="P3" s="778"/>
      <c r="Q3" s="198" t="str">
        <f>+'Data Entry'!C16</f>
        <v>P11</v>
      </c>
    </row>
    <row r="4" spans="1:35" ht="12" customHeight="1">
      <c r="A4" s="3"/>
      <c r="B4" s="132" t="str">
        <f>+'Data Entry'!B12</f>
        <v>Latest Rating:</v>
      </c>
      <c r="C4" s="849" t="str">
        <f>+IF('Data Entry'!C12="Please Select","",'Data Entry'!C12)</f>
        <v>B1</v>
      </c>
      <c r="D4" s="849"/>
      <c r="E4" s="780" t="str">
        <f>+'Data Entry'!C8</f>
        <v>NCDC</v>
      </c>
      <c r="F4" s="780"/>
      <c r="G4" s="780"/>
      <c r="H4" s="780"/>
      <c r="I4" s="780"/>
      <c r="J4" s="780"/>
      <c r="K4" s="780"/>
      <c r="L4" s="780"/>
      <c r="M4" s="3"/>
      <c r="O4" s="336"/>
      <c r="P4" s="132" t="str">
        <f>+'Data Entry'!D16</f>
        <v>From:</v>
      </c>
      <c r="Q4" s="337">
        <f>+IF(ISBLANK('Data Entry'!E16),"",'Data Entry'!E16)</f>
        <v>43466</v>
      </c>
      <c r="Y4" s="71"/>
      <c r="Z4" s="71"/>
      <c r="AA4" s="71"/>
      <c r="AB4" s="71"/>
      <c r="AC4" s="71"/>
    </row>
    <row r="5" spans="1:35" ht="15.75" customHeight="1">
      <c r="A5" s="3"/>
      <c r="B5" s="132"/>
      <c r="C5" s="132"/>
      <c r="D5" s="780" t="str">
        <f>+'Data Entry'!G4</f>
        <v xml:space="preserve">Sustaining and Scaling up the Effective HIV/AIDS Prevention, Treatment and Care in Georgia </v>
      </c>
      <c r="E5" s="780"/>
      <c r="F5" s="780"/>
      <c r="G5" s="780"/>
      <c r="H5" s="780"/>
      <c r="I5" s="780"/>
      <c r="J5" s="780"/>
      <c r="K5" s="780"/>
      <c r="L5" s="780"/>
      <c r="M5" s="780"/>
      <c r="N5" s="780"/>
      <c r="P5" s="132" t="str">
        <f>+'Data Entry'!F16</f>
        <v>To:</v>
      </c>
      <c r="Q5" s="337">
        <f>+IF(ISBLANK('Data Entry'!G16),"",'Data Entry'!G16)</f>
        <v>43555</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7" t="s">
        <v>392</v>
      </c>
      <c r="G6" s="847"/>
      <c r="H6" s="847"/>
      <c r="I6" s="847"/>
      <c r="J6" s="847"/>
      <c r="K6" s="847"/>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9" t="str">
        <f>+'Data Entry'!B121</f>
        <v>Percentage of PWID that have received an HIV test during the reporting period and know their results</v>
      </c>
      <c r="C8" s="809"/>
      <c r="D8" s="809"/>
      <c r="E8" s="809"/>
      <c r="F8" s="809" t="str">
        <f>+'Data Entry'!B123</f>
        <v>Percentage of MSM reached with HIV prevention programs - defined package of services</v>
      </c>
      <c r="G8" s="809"/>
      <c r="H8" s="809"/>
      <c r="I8" s="809"/>
      <c r="J8" s="809"/>
      <c r="K8" s="809"/>
      <c r="L8" s="809" t="str">
        <f>+'Data Entry'!B125</f>
        <v xml:space="preserve">Percentage of people living with HIV currently receiving antiretroviral therapy </v>
      </c>
      <c r="M8" s="809"/>
      <c r="N8" s="809"/>
      <c r="O8" s="809"/>
      <c r="P8" s="809"/>
      <c r="Q8" s="809"/>
      <c r="S8" s="225"/>
      <c r="T8" s="225"/>
      <c r="U8" s="225"/>
      <c r="V8" s="225"/>
      <c r="W8" s="225"/>
      <c r="X8" s="225"/>
      <c r="Y8" s="71"/>
      <c r="Z8" s="71"/>
      <c r="AA8" s="71"/>
      <c r="AB8" s="71"/>
      <c r="AC8" s="71"/>
      <c r="AD8" s="225"/>
      <c r="AE8" s="225"/>
      <c r="AF8" s="225"/>
      <c r="AG8" s="225"/>
      <c r="AH8" s="225"/>
      <c r="AI8" s="225"/>
    </row>
    <row r="9" spans="1:35" ht="24" customHeight="1">
      <c r="A9" s="3"/>
      <c r="B9" s="441" t="s">
        <v>410</v>
      </c>
      <c r="C9" s="806"/>
      <c r="D9" s="810"/>
      <c r="E9" s="811"/>
      <c r="F9" s="441" t="s">
        <v>411</v>
      </c>
      <c r="G9" s="806"/>
      <c r="H9" s="812"/>
      <c r="I9" s="812"/>
      <c r="J9" s="812"/>
      <c r="K9" s="813"/>
      <c r="L9" s="441" t="s">
        <v>412</v>
      </c>
      <c r="M9" s="806"/>
      <c r="N9" s="807"/>
      <c r="O9" s="807"/>
      <c r="P9" s="807"/>
      <c r="Q9" s="808"/>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9"/>
      <c r="F18" s="819"/>
      <c r="G18" s="819"/>
      <c r="H18" s="819"/>
      <c r="I18" s="819"/>
      <c r="J18" s="819"/>
      <c r="K18" s="819"/>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20" t="s">
        <v>88</v>
      </c>
      <c r="C19" s="820"/>
      <c r="D19" s="820"/>
      <c r="E19" s="143" t="s">
        <v>85</v>
      </c>
      <c r="F19" s="143" t="s">
        <v>89</v>
      </c>
      <c r="G19" s="815" t="s">
        <v>332</v>
      </c>
      <c r="H19" s="816"/>
      <c r="I19" s="817" t="s">
        <v>333</v>
      </c>
      <c r="J19" s="818"/>
      <c r="K19" s="335" t="s">
        <v>334</v>
      </c>
      <c r="L19" s="821" t="s">
        <v>92</v>
      </c>
      <c r="M19" s="822"/>
      <c r="N19" s="822"/>
      <c r="O19" s="822"/>
      <c r="P19" s="822"/>
      <c r="Q19" s="823"/>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4" t="str">
        <f>+'Data Entry'!B121</f>
        <v>Percentage of PWID that have received an HIV test during the reporting period and know their results</v>
      </c>
      <c r="C20" s="814"/>
      <c r="D20" s="814"/>
      <c r="E20" s="462">
        <f ca="1">OFFSET('Data Entry'!$G$120,1,RIGHT('Data Entry'!$C$16,LEN('Data Entry'!$C$16)-1),1,1)</f>
        <v>8531.25</v>
      </c>
      <c r="F20" s="462">
        <f ca="1">OFFSET('Data Entry'!$G$120,2,RIGHT('Data Entry'!$C$16,LEN('Data Entry'!$C$16)-1),1,1)</f>
        <v>8173</v>
      </c>
      <c r="G20" s="837">
        <f t="shared" ref="G20:G27" ca="1" si="0">+IF(ISERROR(F20/E20),0,F20/E20)</f>
        <v>0.95800732600732597</v>
      </c>
      <c r="H20" s="838"/>
      <c r="I20" s="838"/>
      <c r="J20" s="838"/>
      <c r="K20" s="839"/>
      <c r="L20" s="826"/>
      <c r="M20" s="827"/>
      <c r="N20" s="827"/>
      <c r="O20" s="827"/>
      <c r="P20" s="827"/>
      <c r="Q20" s="828"/>
      <c r="R20" s="523"/>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4" t="str">
        <f>+'Data Entry'!B123</f>
        <v>Percentage of MSM reached with HIV prevention programs - defined package of services</v>
      </c>
      <c r="C21" s="814"/>
      <c r="D21" s="814"/>
      <c r="E21" s="462">
        <f ca="1">OFFSET('Data Entry'!$G$120,3,RIGHT('Data Entry'!$C$16,LEN('Data Entry'!$C$16)-1),1,1)</f>
        <v>2081.25</v>
      </c>
      <c r="F21" s="462">
        <f ca="1">OFFSET('Data Entry'!$G$120,4,RIGHT('Data Entry'!$C$16,LEN('Data Entry'!$C$16)-1),1,1)</f>
        <v>2404</v>
      </c>
      <c r="G21" s="837">
        <f t="shared" ca="1" si="0"/>
        <v>1.1550750750750751</v>
      </c>
      <c r="H21" s="838"/>
      <c r="I21" s="838"/>
      <c r="J21" s="838"/>
      <c r="K21" s="839"/>
      <c r="L21" s="826"/>
      <c r="M21" s="827"/>
      <c r="N21" s="827"/>
      <c r="O21" s="827"/>
      <c r="P21" s="827"/>
      <c r="Q21" s="828"/>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4" t="str">
        <f>+'Data Entry'!B125</f>
        <v xml:space="preserve">Percentage of people living with HIV currently receiving antiretroviral therapy </v>
      </c>
      <c r="C22" s="814"/>
      <c r="D22" s="814"/>
      <c r="E22" s="462">
        <f ca="1">OFFSET('Data Entry'!$G$120,5,RIGHT('Data Entry'!$C$16,LEN('Data Entry'!$C$16)-1),1,1)</f>
        <v>5500</v>
      </c>
      <c r="F22" s="462">
        <f ca="1">OFFSET('Data Entry'!$G$120,6,RIGHT('Data Entry'!$C$16,LEN('Data Entry'!$C$16)-1),1,1)</f>
        <v>4136</v>
      </c>
      <c r="G22" s="837">
        <f t="shared" ca="1" si="0"/>
        <v>0.752</v>
      </c>
      <c r="H22" s="838"/>
      <c r="I22" s="838"/>
      <c r="J22" s="838"/>
      <c r="K22" s="839"/>
      <c r="L22" s="826"/>
      <c r="M22" s="827"/>
      <c r="N22" s="827"/>
      <c r="O22" s="827"/>
      <c r="P22" s="827"/>
      <c r="Q22" s="828"/>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34" t="str">
        <f>+'Data Entry'!B127</f>
        <v>Percentage of PWID reached with HIV prevention programs - defined package of services</v>
      </c>
      <c r="C23" s="835"/>
      <c r="D23" s="836"/>
      <c r="E23" s="462">
        <f ca="1">OFFSET('Data Entry'!$G$120,7,RIGHT('Data Entry'!$C$16,LEN('Data Entry'!$C$16)-1),1,1)</f>
        <v>9187.5</v>
      </c>
      <c r="F23" s="462">
        <f ca="1">OFFSET('Data Entry'!$G$120,8,RIGHT('Data Entry'!$C$16,LEN('Data Entry'!$C$16)-1),1,1)</f>
        <v>16853</v>
      </c>
      <c r="G23" s="837">
        <f t="shared" ca="1" si="0"/>
        <v>1.8343401360544218</v>
      </c>
      <c r="H23" s="838"/>
      <c r="I23" s="838"/>
      <c r="J23" s="838"/>
      <c r="K23" s="839"/>
      <c r="L23" s="830"/>
      <c r="M23" s="831"/>
      <c r="N23" s="831"/>
      <c r="O23" s="831"/>
      <c r="P23" s="831"/>
      <c r="Q23" s="832"/>
      <c r="R23" s="523"/>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4" t="str">
        <f>+'Data Entry'!B129</f>
        <v>Percentage of MSM that have received an HIV test during the reporting period and know their results</v>
      </c>
      <c r="C24" s="814"/>
      <c r="D24" s="814"/>
      <c r="E24" s="462">
        <f ca="1">OFFSET('Data Entry'!$G$120,9,RIGHT('Data Entry'!$C$16,LEN('Data Entry'!$C$16)-1),1,1)</f>
        <v>1387.5</v>
      </c>
      <c r="F24" s="462">
        <f ca="1">OFFSET('Data Entry'!$G$120,10,RIGHT('Data Entry'!$C$16,LEN('Data Entry'!$C$16)-1),1,1)</f>
        <v>1393</v>
      </c>
      <c r="G24" s="840">
        <f t="shared" ca="1" si="0"/>
        <v>1.0039639639639639</v>
      </c>
      <c r="H24" s="841"/>
      <c r="I24" s="841"/>
      <c r="J24" s="841"/>
      <c r="K24" s="842"/>
      <c r="L24" s="826"/>
      <c r="M24" s="827"/>
      <c r="N24" s="827"/>
      <c r="O24" s="827"/>
      <c r="P24" s="827"/>
      <c r="Q24" s="828"/>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4" t="str">
        <f>+'Data Entry'!B131</f>
        <v>Percentage of sex workers reached with HIV prevention programs - defined package of services</v>
      </c>
      <c r="C25" s="814"/>
      <c r="D25" s="814"/>
      <c r="E25" s="462">
        <f ca="1">OFFSET('Data Entry'!$G$120,11,RIGHT('Data Entry'!$C$16,LEN('Data Entry'!$C$16)-1),1,1)</f>
        <v>975</v>
      </c>
      <c r="F25" s="462">
        <f ca="1">OFFSET('Data Entry'!$G$120,12,RIGHT('Data Entry'!$C$16,LEN('Data Entry'!$C$16)-1),1,1)</f>
        <v>1716</v>
      </c>
      <c r="G25" s="837">
        <f t="shared" ca="1" si="0"/>
        <v>1.76</v>
      </c>
      <c r="H25" s="838"/>
      <c r="I25" s="838"/>
      <c r="J25" s="838"/>
      <c r="K25" s="839"/>
      <c r="L25" s="826"/>
      <c r="M25" s="827"/>
      <c r="N25" s="827"/>
      <c r="O25" s="827"/>
      <c r="P25" s="827"/>
      <c r="Q25" s="828"/>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4" t="str">
        <f>+'Data Entry'!B133</f>
        <v>Percentage of sex workers that have received an HIV test during the reporting period and know their results</v>
      </c>
      <c r="C26" s="814"/>
      <c r="D26" s="814"/>
      <c r="E26" s="462">
        <f ca="1">OFFSET('Data Entry'!$G$120,13,RIGHT('Data Entry'!$C$16,LEN('Data Entry'!$C$16)-1),1,1)</f>
        <v>731.25</v>
      </c>
      <c r="F26" s="462">
        <f ca="1">OFFSET('Data Entry'!$G$120,14,RIGHT('Data Entry'!$C$16,LEN('Data Entry'!$C$16)-1),1,1)</f>
        <v>685</v>
      </c>
      <c r="G26" s="837">
        <f t="shared" ca="1" si="0"/>
        <v>0.93675213675213675</v>
      </c>
      <c r="H26" s="838"/>
      <c r="I26" s="838"/>
      <c r="J26" s="838"/>
      <c r="K26" s="839"/>
      <c r="L26" s="826"/>
      <c r="M26" s="827"/>
      <c r="N26" s="827"/>
      <c r="O26" s="827"/>
      <c r="P26" s="827"/>
      <c r="Q26" s="828"/>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4" t="str">
        <f>+'Data Entry'!B135</f>
        <v>Percentage of other vulnerable populations (prisoners) that have received an HIV test during the reporting period and know their results</v>
      </c>
      <c r="C27" s="814"/>
      <c r="D27" s="814"/>
      <c r="E27" s="462">
        <f ca="1">OFFSET('Data Entry'!$G$120,15,RIGHT('Data Entry'!$C$16,LEN('Data Entry'!$C$16)-1),1,1)</f>
        <v>2345</v>
      </c>
      <c r="F27" s="462">
        <f ca="1">OFFSET('Data Entry'!$G$120,16,RIGHT('Data Entry'!$C$16,LEN('Data Entry'!$C$16)-1),1,1)</f>
        <v>1637</v>
      </c>
      <c r="G27" s="837">
        <f t="shared" ca="1" si="0"/>
        <v>0.69808102345415779</v>
      </c>
      <c r="H27" s="838"/>
      <c r="I27" s="838"/>
      <c r="J27" s="838"/>
      <c r="K27" s="839"/>
      <c r="L27" s="826"/>
      <c r="M27" s="827"/>
      <c r="N27" s="827"/>
      <c r="O27" s="827"/>
      <c r="P27" s="827"/>
      <c r="Q27" s="82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9"/>
      <c r="B28" s="845" t="s">
        <v>454</v>
      </c>
      <c r="C28" s="845"/>
      <c r="D28" s="845"/>
      <c r="E28" s="488"/>
      <c r="F28" s="488"/>
      <c r="G28" s="805" t="e">
        <f>F28/E28</f>
        <v>#DIV/0!</v>
      </c>
      <c r="H28" s="805"/>
      <c r="I28" s="805"/>
      <c r="J28" s="805"/>
      <c r="K28" s="805"/>
      <c r="L28" s="829"/>
      <c r="M28" s="829"/>
      <c r="N28" s="829"/>
      <c r="O28" s="829"/>
      <c r="P28" s="829"/>
      <c r="Q28" s="829"/>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43"/>
      <c r="C31" s="843"/>
      <c r="D31" s="843"/>
      <c r="E31" s="844"/>
      <c r="F31" s="824"/>
      <c r="G31" s="825"/>
      <c r="H31" s="825"/>
      <c r="I31" s="825"/>
      <c r="J31" s="825"/>
      <c r="K31" s="844"/>
      <c r="L31" s="824"/>
      <c r="M31" s="825"/>
      <c r="N31" s="825"/>
      <c r="O31" s="825"/>
      <c r="P31" s="825"/>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33"/>
      <c r="C33" s="833"/>
      <c r="D33" s="833"/>
      <c r="E33" s="833"/>
      <c r="F33" s="833"/>
      <c r="G33" s="833"/>
      <c r="H33" s="833"/>
      <c r="I33" s="833"/>
      <c r="J33" s="833"/>
      <c r="K33" s="833"/>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33"/>
      <c r="C34" s="833"/>
      <c r="D34" s="833"/>
      <c r="E34" s="833"/>
      <c r="F34" s="833"/>
      <c r="G34" s="833"/>
      <c r="H34" s="833"/>
      <c r="I34" s="833"/>
      <c r="J34" s="833"/>
      <c r="K34" s="833"/>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6" t="str">
        <f>+"Dashboard:  "&amp;"  "&amp;IF(+'Data Entry'!C4="Please Select","",'Data Entry'!C4&amp;" - ")&amp;IF('Data Entry'!G6="Please Select","",'Data Entry'!G6)</f>
        <v>Dashboard:    Georgia - HIV / AIDS</v>
      </c>
      <c r="C2" s="846"/>
      <c r="D2" s="846"/>
      <c r="E2" s="846"/>
      <c r="F2" s="846"/>
      <c r="G2" s="846"/>
      <c r="H2" s="846"/>
      <c r="I2" s="846"/>
      <c r="J2" s="846"/>
      <c r="K2" s="846"/>
      <c r="L2" s="846"/>
      <c r="M2" s="846"/>
      <c r="N2" s="846"/>
      <c r="O2" s="73"/>
    </row>
    <row r="3" spans="1:15" customFormat="1" ht="19">
      <c r="A3" s="3"/>
      <c r="B3" s="132" t="str">
        <f>+IF('Data Entry'!G8="Please Select","",'Data Entry'!G8)</f>
        <v>NFM</v>
      </c>
      <c r="C3" s="781" t="str">
        <f>+IF('Data Entry'!I8="Please Select","",'Data Entry'!I8)</f>
        <v>N/A</v>
      </c>
      <c r="D3" s="781"/>
      <c r="E3" s="848"/>
      <c r="F3" s="848"/>
      <c r="G3" s="848"/>
      <c r="H3" s="848"/>
      <c r="I3" s="848"/>
      <c r="J3" s="848"/>
      <c r="K3" s="848"/>
      <c r="L3" s="132" t="str">
        <f>+'Data Entry'!B16</f>
        <v>Report Period:</v>
      </c>
      <c r="M3" s="198" t="str">
        <f>+'Data Entry'!C16</f>
        <v>P11</v>
      </c>
      <c r="N3" s="198"/>
      <c r="O3" s="31"/>
    </row>
    <row r="4" spans="1:15" customFormat="1" ht="15">
      <c r="A4" s="3"/>
      <c r="B4" s="132" t="str">
        <f>+'Data Entry'!B12</f>
        <v>Latest Rating:</v>
      </c>
      <c r="C4" s="849" t="str">
        <f>+IF('Data Entry'!C12="Please Select","",'Data Entry'!C12)</f>
        <v>B1</v>
      </c>
      <c r="D4" s="849"/>
      <c r="E4" s="780" t="str">
        <f>+'Data Entry'!C8</f>
        <v>NCDC</v>
      </c>
      <c r="F4" s="780"/>
      <c r="G4" s="780"/>
      <c r="H4" s="780"/>
      <c r="I4" s="780"/>
      <c r="J4" s="780"/>
      <c r="K4" s="780"/>
      <c r="L4" s="132" t="str">
        <f>+'Data Entry'!D16</f>
        <v>From:</v>
      </c>
      <c r="M4" s="199">
        <f>+IF(ISBLANK('Data Entry'!E16),"",'Data Entry'!E16)</f>
        <v>43466</v>
      </c>
      <c r="N4" s="199"/>
      <c r="O4" s="31"/>
    </row>
    <row r="5" spans="1:15" customFormat="1" ht="18.75" customHeight="1">
      <c r="A5" s="3"/>
      <c r="B5" s="132"/>
      <c r="C5" s="132"/>
      <c r="D5" s="133"/>
      <c r="E5" s="780" t="str">
        <f>+'Data Entry'!G4</f>
        <v xml:space="preserve">Sustaining and Scaling up the Effective HIV/AIDS Prevention, Treatment and Care in Georgia </v>
      </c>
      <c r="F5" s="780"/>
      <c r="G5" s="780"/>
      <c r="H5" s="780"/>
      <c r="I5" s="780"/>
      <c r="J5" s="780"/>
      <c r="K5" s="780"/>
      <c r="L5" s="132" t="str">
        <f>+'Data Entry'!F16</f>
        <v>To:</v>
      </c>
      <c r="M5" s="199">
        <f>+IF(ISBLANK('Data Entry'!G16),"",'Data Entry'!G16)</f>
        <v>43555</v>
      </c>
      <c r="N5" s="199"/>
    </row>
    <row r="6" spans="1:15" customFormat="1" ht="22.5" customHeight="1">
      <c r="A6" s="3"/>
      <c r="B6" s="137"/>
      <c r="C6" s="138"/>
      <c r="D6" s="139"/>
      <c r="E6" s="885" t="s">
        <v>315</v>
      </c>
      <c r="F6" s="885"/>
      <c r="G6" s="885"/>
      <c r="H6" s="885"/>
      <c r="I6" s="885"/>
      <c r="J6" s="885"/>
      <c r="K6" s="885"/>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81" t="s">
        <v>98</v>
      </c>
      <c r="C8" s="881"/>
      <c r="D8" s="881"/>
      <c r="E8" s="881"/>
      <c r="F8" s="881"/>
      <c r="G8" s="881"/>
      <c r="H8" s="881"/>
      <c r="I8" s="881"/>
      <c r="J8" s="881"/>
      <c r="K8" s="881"/>
      <c r="L8" s="881"/>
      <c r="M8" s="881"/>
      <c r="N8" s="881"/>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3" t="s">
        <v>93</v>
      </c>
      <c r="C10" s="904"/>
      <c r="D10" s="895" t="s">
        <v>97</v>
      </c>
      <c r="E10" s="896"/>
      <c r="F10" s="896"/>
      <c r="G10" s="897"/>
      <c r="H10" s="159"/>
      <c r="I10" s="895" t="s">
        <v>315</v>
      </c>
      <c r="J10" s="896"/>
      <c r="K10" s="896"/>
      <c r="L10" s="896"/>
      <c r="M10" s="896"/>
      <c r="N10" s="897"/>
    </row>
    <row r="11" spans="1:15" s="34" customFormat="1" ht="28.5" customHeight="1">
      <c r="A11" s="156"/>
      <c r="B11" s="412" t="s">
        <v>101</v>
      </c>
      <c r="C11" s="176"/>
      <c r="D11" s="870" t="str">
        <f>IF(ISBLANK(Finance!C9),"",(Finance!C9))</f>
        <v/>
      </c>
      <c r="E11" s="870"/>
      <c r="F11" s="870"/>
      <c r="G11" s="871"/>
      <c r="H11" s="182"/>
      <c r="I11" s="886"/>
      <c r="J11" s="887"/>
      <c r="K11" s="887"/>
      <c r="L11" s="887"/>
      <c r="M11" s="887"/>
      <c r="N11" s="888"/>
    </row>
    <row r="12" spans="1:15" s="34" customFormat="1" ht="27.75" customHeight="1">
      <c r="A12" s="156"/>
      <c r="B12" s="413" t="s">
        <v>102</v>
      </c>
      <c r="C12" s="177"/>
      <c r="D12" s="870" t="str">
        <f>IF(ISBLANK(Finance!C23),"",(Finance!C23))</f>
        <v/>
      </c>
      <c r="E12" s="870"/>
      <c r="F12" s="870"/>
      <c r="G12" s="871"/>
      <c r="H12" s="182"/>
      <c r="I12" s="882"/>
      <c r="J12" s="883"/>
      <c r="K12" s="883"/>
      <c r="L12" s="883"/>
      <c r="M12" s="883"/>
      <c r="N12" s="884"/>
    </row>
    <row r="13" spans="1:15" s="34" customFormat="1" ht="26.25" customHeight="1">
      <c r="A13" s="156"/>
      <c r="B13" s="413" t="s">
        <v>103</v>
      </c>
      <c r="C13" s="177"/>
      <c r="D13" s="870" t="str">
        <f>IF(ISBLANK(Finance!I9),"",(Finance!I9))</f>
        <v/>
      </c>
      <c r="E13" s="870"/>
      <c r="F13" s="870"/>
      <c r="G13" s="871"/>
      <c r="H13" s="182"/>
      <c r="I13" s="882"/>
      <c r="J13" s="883"/>
      <c r="K13" s="883"/>
      <c r="L13" s="883"/>
      <c r="M13" s="883"/>
      <c r="N13" s="884"/>
    </row>
    <row r="14" spans="1:15" s="34" customFormat="1" ht="28.5" customHeight="1" thickBot="1">
      <c r="A14" s="156"/>
      <c r="B14" s="414" t="s">
        <v>104</v>
      </c>
      <c r="C14" s="178"/>
      <c r="D14" s="908" t="str">
        <f>IF(ISBLANK(Finance!I23),"",(Finance!I23))</f>
        <v/>
      </c>
      <c r="E14" s="908"/>
      <c r="F14" s="908"/>
      <c r="G14" s="909"/>
      <c r="H14" s="182"/>
      <c r="I14" s="905"/>
      <c r="J14" s="906"/>
      <c r="K14" s="906"/>
      <c r="L14" s="906"/>
      <c r="M14" s="906"/>
      <c r="N14" s="907"/>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81" t="s">
        <v>100</v>
      </c>
      <c r="C16" s="881"/>
      <c r="D16" s="881"/>
      <c r="E16" s="881"/>
      <c r="F16" s="881"/>
      <c r="G16" s="881"/>
      <c r="H16" s="881"/>
      <c r="I16" s="881"/>
      <c r="J16" s="881"/>
      <c r="K16" s="881"/>
      <c r="L16" s="881"/>
      <c r="M16" s="881"/>
      <c r="N16" s="881"/>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904" t="s">
        <v>94</v>
      </c>
      <c r="C18" s="854"/>
      <c r="D18" s="892" t="s">
        <v>97</v>
      </c>
      <c r="E18" s="893"/>
      <c r="F18" s="893"/>
      <c r="G18" s="894"/>
      <c r="H18" s="159"/>
      <c r="I18" s="889" t="s">
        <v>315</v>
      </c>
      <c r="J18" s="890"/>
      <c r="K18" s="890"/>
      <c r="L18" s="890"/>
      <c r="M18" s="891"/>
      <c r="N18" s="891"/>
    </row>
    <row r="19" spans="1:15" s="34" customFormat="1" ht="21.75" customHeight="1">
      <c r="A19" s="156"/>
      <c r="B19" s="415" t="s">
        <v>109</v>
      </c>
      <c r="C19" s="184"/>
      <c r="D19" s="872" t="str">
        <f>IF(ISBLANK(Management!C8),"",(Management!C8))</f>
        <v/>
      </c>
      <c r="E19" s="872"/>
      <c r="F19" s="872"/>
      <c r="G19" s="873"/>
      <c r="H19" s="185"/>
      <c r="I19" s="898"/>
      <c r="J19" s="899"/>
      <c r="K19" s="899"/>
      <c r="L19" s="899"/>
      <c r="M19" s="899"/>
      <c r="N19" s="900"/>
    </row>
    <row r="20" spans="1:15" ht="24.75" customHeight="1">
      <c r="A20" s="150"/>
      <c r="B20" s="416" t="s">
        <v>110</v>
      </c>
      <c r="C20" s="186"/>
      <c r="D20" s="870" t="str">
        <f>IF(ISBLANK(Management!I8),"",(Management!I8))</f>
        <v/>
      </c>
      <c r="E20" s="870" t="e">
        <f>+'Data Entry'!D76/'Data Entry'!G76</f>
        <v>#DIV/0!</v>
      </c>
      <c r="F20" s="870" t="e">
        <f>+('Data Entry'!E76+'Data Entry'!F76)/'Data Entry'!G76</f>
        <v>#DIV/0!</v>
      </c>
      <c r="G20" s="874"/>
      <c r="H20" s="185"/>
      <c r="I20" s="855"/>
      <c r="J20" s="856"/>
      <c r="K20" s="856"/>
      <c r="L20" s="856"/>
      <c r="M20" s="856"/>
      <c r="N20" s="857"/>
      <c r="O20" s="35"/>
    </row>
    <row r="21" spans="1:15" ht="29.25" customHeight="1">
      <c r="A21" s="150"/>
      <c r="B21" s="417" t="s">
        <v>111</v>
      </c>
      <c r="C21" s="186"/>
      <c r="D21" s="870" t="str">
        <f>IF(ISBLANK(Management!C16),"",(Management!C16))</f>
        <v/>
      </c>
      <c r="E21" s="870"/>
      <c r="F21" s="870"/>
      <c r="G21" s="874"/>
      <c r="H21" s="185"/>
      <c r="I21" s="855"/>
      <c r="J21" s="856"/>
      <c r="K21" s="856"/>
      <c r="L21" s="856"/>
      <c r="M21" s="856"/>
      <c r="N21" s="857"/>
      <c r="O21" s="35"/>
    </row>
    <row r="22" spans="1:15" ht="26.25" customHeight="1">
      <c r="A22" s="150"/>
      <c r="B22" s="417" t="s">
        <v>112</v>
      </c>
      <c r="C22" s="186"/>
      <c r="D22" s="870" t="str">
        <f>IF(ISBLANK(Management!I16),"",(Management!I16))</f>
        <v/>
      </c>
      <c r="E22" s="870"/>
      <c r="F22" s="870"/>
      <c r="G22" s="874"/>
      <c r="H22" s="185"/>
      <c r="I22" s="855"/>
      <c r="J22" s="856"/>
      <c r="K22" s="856"/>
      <c r="L22" s="856"/>
      <c r="M22" s="856"/>
      <c r="N22" s="857"/>
      <c r="O22" s="35"/>
    </row>
    <row r="23" spans="1:15" ht="24.75" customHeight="1">
      <c r="A23" s="150"/>
      <c r="B23" s="417" t="s">
        <v>113</v>
      </c>
      <c r="C23" s="186"/>
      <c r="D23" s="870" t="str">
        <f>IF(ISBLANK(Management!C27),"",(Management!C27))</f>
        <v/>
      </c>
      <c r="E23" s="870"/>
      <c r="F23" s="870"/>
      <c r="G23" s="874"/>
      <c r="H23" s="185"/>
      <c r="I23" s="855"/>
      <c r="J23" s="856"/>
      <c r="K23" s="856"/>
      <c r="L23" s="856"/>
      <c r="M23" s="856"/>
      <c r="N23" s="857"/>
      <c r="O23" s="35"/>
    </row>
    <row r="24" spans="1:15" ht="27" customHeight="1" thickBot="1">
      <c r="A24" s="150"/>
      <c r="B24" s="418" t="s">
        <v>115</v>
      </c>
      <c r="C24" s="187"/>
      <c r="D24" s="876" t="str">
        <f>IF(ISBLANK(Management!I27),"",(Management!I27))</f>
        <v/>
      </c>
      <c r="E24" s="876"/>
      <c r="F24" s="876"/>
      <c r="G24" s="877"/>
      <c r="H24" s="185"/>
      <c r="I24" s="901"/>
      <c r="J24" s="902"/>
      <c r="K24" s="902"/>
      <c r="L24" s="902"/>
      <c r="M24" s="902"/>
      <c r="N24" s="903"/>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81" t="s">
        <v>99</v>
      </c>
      <c r="C26" s="881"/>
      <c r="D26" s="881"/>
      <c r="E26" s="881"/>
      <c r="F26" s="881"/>
      <c r="G26" s="881"/>
      <c r="H26" s="881"/>
      <c r="I26" s="881"/>
      <c r="J26" s="881"/>
      <c r="K26" s="881"/>
      <c r="L26" s="881"/>
      <c r="M26" s="881"/>
      <c r="N26" s="881"/>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3" t="s">
        <v>7</v>
      </c>
      <c r="C28" s="854"/>
      <c r="D28" s="861" t="s">
        <v>97</v>
      </c>
      <c r="E28" s="862"/>
      <c r="F28" s="862"/>
      <c r="G28" s="863"/>
      <c r="H28" s="159"/>
      <c r="I28" s="861" t="s">
        <v>315</v>
      </c>
      <c r="J28" s="862"/>
      <c r="K28" s="862"/>
      <c r="L28" s="862"/>
      <c r="M28" s="862"/>
      <c r="N28" s="863"/>
      <c r="O28" s="35"/>
    </row>
    <row r="29" spans="1:15" ht="29.25" customHeight="1">
      <c r="A29" s="150"/>
      <c r="B29" s="419" t="s">
        <v>316</v>
      </c>
      <c r="C29" s="188"/>
      <c r="D29" s="864" t="str">
        <f>IF(ISBLANK(Programmatic!C9),"",(Programmatic!C9))</f>
        <v/>
      </c>
      <c r="E29" s="865"/>
      <c r="F29" s="865"/>
      <c r="G29" s="866"/>
      <c r="H29" s="185"/>
      <c r="I29" s="878"/>
      <c r="J29" s="879"/>
      <c r="K29" s="879"/>
      <c r="L29" s="879"/>
      <c r="M29" s="879"/>
      <c r="N29" s="880"/>
      <c r="O29" s="35"/>
    </row>
    <row r="30" spans="1:15" ht="21.75" customHeight="1">
      <c r="A30" s="150"/>
      <c r="B30" s="420" t="s">
        <v>317</v>
      </c>
      <c r="C30" s="189"/>
      <c r="D30" s="875" t="str">
        <f>IF(ISBLANK(Programmatic!G9),"",(Programmatic!G9))</f>
        <v/>
      </c>
      <c r="E30" s="859"/>
      <c r="F30" s="859"/>
      <c r="G30" s="860"/>
      <c r="H30" s="185"/>
      <c r="I30" s="850"/>
      <c r="J30" s="851"/>
      <c r="K30" s="851"/>
      <c r="L30" s="851"/>
      <c r="M30" s="851"/>
      <c r="N30" s="852"/>
      <c r="O30" s="35"/>
    </row>
    <row r="31" spans="1:15" ht="21.75" customHeight="1">
      <c r="A31" s="150"/>
      <c r="B31" s="420" t="s">
        <v>318</v>
      </c>
      <c r="C31" s="189"/>
      <c r="D31" s="875" t="str">
        <f>IF(ISBLANK(Programmatic!M9),"",(Programmatic!M9))</f>
        <v/>
      </c>
      <c r="E31" s="859"/>
      <c r="F31" s="859"/>
      <c r="G31" s="860"/>
      <c r="H31" s="185"/>
      <c r="I31" s="850"/>
      <c r="J31" s="851"/>
      <c r="K31" s="851"/>
      <c r="L31" s="851"/>
      <c r="M31" s="851"/>
      <c r="N31" s="852"/>
      <c r="O31" s="35"/>
    </row>
    <row r="32" spans="1:15" ht="21.75" customHeight="1">
      <c r="A32" s="150"/>
      <c r="B32" s="421" t="s">
        <v>105</v>
      </c>
      <c r="C32" s="189"/>
      <c r="D32" s="858" t="str">
        <f>IF(ISBLANK(Programmatic!L20),"",(Programmatic!L20))</f>
        <v/>
      </c>
      <c r="E32" s="859"/>
      <c r="F32" s="859"/>
      <c r="G32" s="860"/>
      <c r="H32" s="185"/>
      <c r="I32" s="850"/>
      <c r="J32" s="851"/>
      <c r="K32" s="851"/>
      <c r="L32" s="851"/>
      <c r="M32" s="851"/>
      <c r="N32" s="852"/>
      <c r="O32" s="35"/>
    </row>
    <row r="33" spans="1:15" ht="27" customHeight="1">
      <c r="A33" s="150"/>
      <c r="B33" s="421" t="s">
        <v>106</v>
      </c>
      <c r="C33" s="189"/>
      <c r="D33" s="858" t="str">
        <f>IF(ISBLANK(Programmatic!L21),"",(Programmatic!L21))</f>
        <v/>
      </c>
      <c r="E33" s="859"/>
      <c r="F33" s="859"/>
      <c r="G33" s="860"/>
      <c r="H33" s="185"/>
      <c r="I33" s="850"/>
      <c r="J33" s="851"/>
      <c r="K33" s="851"/>
      <c r="L33" s="851"/>
      <c r="M33" s="851"/>
      <c r="N33" s="852"/>
      <c r="O33" s="35"/>
    </row>
    <row r="34" spans="1:15" ht="21.75" customHeight="1">
      <c r="A34" s="150"/>
      <c r="B34" s="421" t="s">
        <v>107</v>
      </c>
      <c r="C34" s="189"/>
      <c r="D34" s="858" t="str">
        <f>IF(ISBLANK(Programmatic!L22),"",(Programmatic!L22))</f>
        <v/>
      </c>
      <c r="E34" s="859"/>
      <c r="F34" s="859"/>
      <c r="G34" s="860"/>
      <c r="H34" s="185"/>
      <c r="I34" s="850"/>
      <c r="J34" s="851"/>
      <c r="K34" s="851"/>
      <c r="L34" s="851"/>
      <c r="M34" s="851"/>
      <c r="N34" s="852"/>
      <c r="O34" s="35"/>
    </row>
    <row r="35" spans="1:15" ht="21.75" customHeight="1">
      <c r="A35" s="150"/>
      <c r="B35" s="421" t="s">
        <v>108</v>
      </c>
      <c r="C35" s="232"/>
      <c r="D35" s="858" t="str">
        <f>IF(ISBLANK(Programmatic!L23),"",(Programmatic!L23))</f>
        <v/>
      </c>
      <c r="E35" s="859"/>
      <c r="F35" s="859"/>
      <c r="G35" s="860"/>
      <c r="H35" s="185"/>
      <c r="I35" s="850"/>
      <c r="J35" s="851"/>
      <c r="K35" s="851"/>
      <c r="L35" s="851"/>
      <c r="M35" s="851"/>
      <c r="N35" s="852"/>
      <c r="O35" s="35"/>
    </row>
    <row r="36" spans="1:15" ht="21.75" customHeight="1">
      <c r="A36" s="150"/>
      <c r="B36" s="421" t="s">
        <v>120</v>
      </c>
      <c r="C36" s="232"/>
      <c r="D36" s="858" t="str">
        <f>IF(ISBLANK(Programmatic!L24),"",(Programmatic!L24))</f>
        <v/>
      </c>
      <c r="E36" s="859"/>
      <c r="F36" s="859"/>
      <c r="G36" s="860"/>
      <c r="H36" s="185"/>
      <c r="I36" s="850"/>
      <c r="J36" s="851"/>
      <c r="K36" s="851"/>
      <c r="L36" s="851"/>
      <c r="M36" s="851"/>
      <c r="N36" s="852"/>
      <c r="O36" s="35"/>
    </row>
    <row r="37" spans="1:15" ht="21.75" customHeight="1">
      <c r="A37" s="150"/>
      <c r="B37" s="421" t="s">
        <v>121</v>
      </c>
      <c r="C37" s="232"/>
      <c r="D37" s="858" t="str">
        <f>IF(ISBLANK(Programmatic!L25),"",(Programmatic!L25))</f>
        <v/>
      </c>
      <c r="E37" s="859"/>
      <c r="F37" s="859"/>
      <c r="G37" s="860"/>
      <c r="H37" s="185"/>
      <c r="I37" s="850"/>
      <c r="J37" s="851"/>
      <c r="K37" s="851"/>
      <c r="L37" s="851"/>
      <c r="M37" s="851"/>
      <c r="N37" s="852"/>
      <c r="O37" s="35"/>
    </row>
    <row r="38" spans="1:15" ht="21.75" customHeight="1">
      <c r="A38" s="150"/>
      <c r="B38" s="421" t="s">
        <v>122</v>
      </c>
      <c r="C38" s="232"/>
      <c r="D38" s="858" t="str">
        <f>IF(ISBLANK(Programmatic!L26),"",(Programmatic!L26))</f>
        <v/>
      </c>
      <c r="E38" s="859"/>
      <c r="F38" s="859"/>
      <c r="G38" s="860"/>
      <c r="H38" s="185"/>
      <c r="I38" s="850"/>
      <c r="J38" s="851"/>
      <c r="K38" s="851"/>
      <c r="L38" s="851"/>
      <c r="M38" s="851"/>
      <c r="N38" s="852"/>
      <c r="O38" s="35"/>
    </row>
    <row r="39" spans="1:15" ht="21.75" customHeight="1">
      <c r="A39" s="150"/>
      <c r="B39" s="421" t="s">
        <v>123</v>
      </c>
      <c r="C39" s="232"/>
      <c r="D39" s="858" t="str">
        <f>IF(ISBLANK(Programmatic!L27),"",(Programmatic!L27))</f>
        <v/>
      </c>
      <c r="E39" s="859"/>
      <c r="F39" s="859"/>
      <c r="G39" s="860"/>
      <c r="H39" s="185"/>
      <c r="I39" s="850"/>
      <c r="J39" s="851"/>
      <c r="K39" s="851"/>
      <c r="L39" s="851"/>
      <c r="M39" s="851"/>
      <c r="N39" s="852"/>
      <c r="O39" s="35"/>
    </row>
    <row r="40" spans="1:15" ht="21.75" customHeight="1">
      <c r="A40" s="150"/>
      <c r="B40" s="421" t="s">
        <v>124</v>
      </c>
      <c r="C40" s="232"/>
      <c r="D40" s="858" t="str">
        <f>IF(ISBLANK(Programmatic!L28),"",(Programmatic!L28))</f>
        <v/>
      </c>
      <c r="E40" s="859"/>
      <c r="F40" s="859"/>
      <c r="G40" s="860"/>
      <c r="H40" s="185"/>
      <c r="I40" s="850"/>
      <c r="J40" s="851"/>
      <c r="K40" s="851"/>
      <c r="L40" s="851"/>
      <c r="M40" s="851"/>
      <c r="N40" s="852"/>
      <c r="O40" s="35"/>
    </row>
    <row r="41" spans="1:15" ht="21.75" customHeight="1" thickBot="1">
      <c r="A41" s="150"/>
      <c r="B41" s="421" t="s">
        <v>125</v>
      </c>
      <c r="C41" s="190"/>
      <c r="D41" s="858" t="str">
        <f>IF(ISBLANK(Programmatic!L29),"",(Programmatic!L29))</f>
        <v/>
      </c>
      <c r="E41" s="859"/>
      <c r="F41" s="859"/>
      <c r="G41" s="860"/>
      <c r="H41" s="185"/>
      <c r="I41" s="867"/>
      <c r="J41" s="868"/>
      <c r="K41" s="868"/>
      <c r="L41" s="868"/>
      <c r="M41" s="868"/>
      <c r="N41" s="869"/>
      <c r="O41" s="35"/>
    </row>
    <row r="42" spans="1:15" ht="14">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797" t="str">
        <f>+"Dashboard:  "&amp;"  "&amp;IF(+'Data Entry'!C4="Please Select","",'Data Entry'!C4&amp;" - ")&amp;IF('Data Entry'!G6="Please Select","",'Data Entry'!G6)</f>
        <v>Dashboard:    Georgia - HIV / AIDS</v>
      </c>
      <c r="C2" s="797"/>
      <c r="D2" s="797"/>
      <c r="E2" s="797"/>
      <c r="F2" s="797"/>
      <c r="G2" s="797"/>
      <c r="H2" s="797"/>
      <c r="I2" s="797"/>
      <c r="J2" s="797"/>
      <c r="K2" s="797"/>
      <c r="L2" s="797"/>
    </row>
    <row r="3" spans="1:13">
      <c r="B3" s="24" t="str">
        <f>+IF('Data Entry'!G8="Please Select","",'Data Entry'!G8)</f>
        <v>NFM</v>
      </c>
      <c r="C3" s="795" t="str">
        <f>+IF('Data Entry'!I8="Please Select","",'Data Entry'!I8)</f>
        <v>N/A</v>
      </c>
      <c r="D3" s="795"/>
      <c r="E3" s="796"/>
      <c r="F3" s="796"/>
      <c r="G3" s="796"/>
      <c r="H3" s="796"/>
      <c r="I3" s="796"/>
      <c r="J3" s="799" t="str">
        <f>+'Data Entry'!B16</f>
        <v>Report Period:</v>
      </c>
      <c r="K3" s="799"/>
      <c r="L3" s="198" t="str">
        <f>+'Data Entry'!C16</f>
        <v>P11</v>
      </c>
      <c r="M3" s="85"/>
    </row>
    <row r="4" spans="1:13">
      <c r="B4" s="24" t="str">
        <f>+'Data Entry'!B12</f>
        <v>Latest Rating:</v>
      </c>
      <c r="C4" s="922" t="str">
        <f>+IF('Data Entry'!C12="Please Select","",'Data Entry'!C12)</f>
        <v>B1</v>
      </c>
      <c r="D4" s="922"/>
      <c r="E4" s="796" t="str">
        <f>+'Data Entry'!C8</f>
        <v>NCDC</v>
      </c>
      <c r="F4" s="796"/>
      <c r="G4" s="796"/>
      <c r="H4" s="796"/>
      <c r="I4" s="796"/>
      <c r="J4" s="799" t="str">
        <f>+'Data Entry'!D16</f>
        <v>From:</v>
      </c>
      <c r="K4" s="803"/>
      <c r="L4" s="199">
        <f>+IF(ISBLANK('Data Entry'!E16),"",'Data Entry'!E16)</f>
        <v>43466</v>
      </c>
    </row>
    <row r="5" spans="1:13" ht="18.75" customHeight="1">
      <c r="B5" s="24"/>
      <c r="C5" s="24"/>
      <c r="D5" s="796" t="str">
        <f>+'Data Entry'!G4</f>
        <v xml:space="preserve">Sustaining and Scaling up the Effective HIV/AIDS Prevention, Treatment and Care in Georgia </v>
      </c>
      <c r="E5" s="796"/>
      <c r="F5" s="796"/>
      <c r="G5" s="796"/>
      <c r="H5" s="796"/>
      <c r="I5" s="796"/>
      <c r="J5" s="796"/>
      <c r="K5" s="24" t="str">
        <f>+'Data Entry'!F16</f>
        <v>To:</v>
      </c>
      <c r="L5" s="199">
        <f>+IF(ISBLANK('Data Entry'!G16),"",'Data Entry'!G16)</f>
        <v>43555</v>
      </c>
    </row>
    <row r="6" spans="1:13" ht="19">
      <c r="B6" s="23"/>
      <c r="C6" s="24"/>
      <c r="D6" s="25"/>
      <c r="E6" s="798" t="s">
        <v>371</v>
      </c>
      <c r="F6" s="798"/>
      <c r="G6" s="798"/>
      <c r="H6" s="798"/>
      <c r="I6" s="798"/>
    </row>
    <row r="7" spans="1:13" ht="19">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1"/>
      <c r="C10" s="942"/>
      <c r="D10" s="942"/>
      <c r="E10" s="942"/>
      <c r="F10" s="942"/>
      <c r="G10" s="942"/>
      <c r="H10" s="942"/>
      <c r="I10" s="942"/>
      <c r="J10" s="942"/>
      <c r="K10" s="942"/>
      <c r="L10" s="943"/>
    </row>
    <row r="11" spans="1:13">
      <c r="B11" s="944"/>
      <c r="C11" s="945"/>
      <c r="D11" s="945"/>
      <c r="E11" s="945"/>
      <c r="F11" s="945"/>
      <c r="G11" s="945"/>
      <c r="H11" s="945"/>
      <c r="I11" s="945"/>
      <c r="J11" s="945"/>
      <c r="K11" s="945"/>
      <c r="L11" s="946"/>
    </row>
    <row r="12" spans="1:13" ht="16" thickBot="1"/>
    <row r="13" spans="1:13" ht="26.25" customHeight="1" thickBot="1">
      <c r="B13" s="937" t="s">
        <v>305</v>
      </c>
      <c r="C13" s="938"/>
      <c r="D13" s="938"/>
      <c r="E13" s="939"/>
      <c r="F13" s="77"/>
      <c r="G13" s="953" t="s">
        <v>128</v>
      </c>
      <c r="H13" s="916"/>
      <c r="I13" s="916"/>
      <c r="J13" s="78" t="s">
        <v>96</v>
      </c>
      <c r="K13" s="916" t="s">
        <v>292</v>
      </c>
      <c r="L13" s="917"/>
    </row>
    <row r="14" spans="1:13">
      <c r="A14" s="929" t="s">
        <v>306</v>
      </c>
      <c r="B14" s="933"/>
      <c r="C14" s="933"/>
      <c r="D14" s="933"/>
      <c r="E14" s="934"/>
      <c r="F14" s="46"/>
      <c r="G14" s="935"/>
      <c r="H14" s="923"/>
      <c r="I14" s="923"/>
      <c r="J14" s="932"/>
      <c r="K14" s="923"/>
      <c r="L14" s="924"/>
    </row>
    <row r="15" spans="1:13">
      <c r="A15" s="930"/>
      <c r="B15" s="933"/>
      <c r="C15" s="933"/>
      <c r="D15" s="933"/>
      <c r="E15" s="934"/>
      <c r="F15" s="46"/>
      <c r="G15" s="936"/>
      <c r="H15" s="918"/>
      <c r="I15" s="918"/>
      <c r="J15" s="918"/>
      <c r="K15" s="918"/>
      <c r="L15" s="919"/>
    </row>
    <row r="16" spans="1:13">
      <c r="A16" s="930"/>
      <c r="B16" s="933"/>
      <c r="C16" s="933"/>
      <c r="D16" s="933"/>
      <c r="E16" s="934"/>
      <c r="F16" s="46"/>
      <c r="G16" s="940"/>
      <c r="H16" s="918"/>
      <c r="I16" s="918"/>
      <c r="J16" s="918"/>
      <c r="K16" s="918"/>
      <c r="L16" s="919"/>
    </row>
    <row r="17" spans="1:12">
      <c r="A17" s="930"/>
      <c r="B17" s="933"/>
      <c r="C17" s="933"/>
      <c r="D17" s="933"/>
      <c r="E17" s="934"/>
      <c r="F17" s="46"/>
      <c r="G17" s="936"/>
      <c r="H17" s="918"/>
      <c r="I17" s="918"/>
      <c r="J17" s="918"/>
      <c r="K17" s="918"/>
      <c r="L17" s="919"/>
    </row>
    <row r="18" spans="1:12">
      <c r="A18" s="930"/>
      <c r="B18" s="933"/>
      <c r="C18" s="933"/>
      <c r="D18" s="933"/>
      <c r="E18" s="934"/>
      <c r="F18" s="46"/>
      <c r="G18" s="947"/>
      <c r="H18" s="948"/>
      <c r="I18" s="949"/>
      <c r="J18" s="918"/>
      <c r="K18" s="918"/>
      <c r="L18" s="919"/>
    </row>
    <row r="19" spans="1:12" ht="30.75" customHeight="1">
      <c r="A19" s="930"/>
      <c r="B19" s="933"/>
      <c r="C19" s="933"/>
      <c r="D19" s="933"/>
      <c r="E19" s="934"/>
      <c r="F19" s="46"/>
      <c r="G19" s="950"/>
      <c r="H19" s="951"/>
      <c r="I19" s="952"/>
      <c r="J19" s="918"/>
      <c r="K19" s="918"/>
      <c r="L19" s="919"/>
    </row>
    <row r="20" spans="1:12">
      <c r="A20" s="930"/>
      <c r="B20" s="933"/>
      <c r="C20" s="933"/>
      <c r="D20" s="933"/>
      <c r="E20" s="934"/>
      <c r="F20" s="46"/>
      <c r="G20" s="936"/>
      <c r="H20" s="918"/>
      <c r="I20" s="918"/>
      <c r="J20" s="918"/>
      <c r="K20" s="918"/>
      <c r="L20" s="919"/>
    </row>
    <row r="21" spans="1:12">
      <c r="A21" s="930"/>
      <c r="B21" s="933"/>
      <c r="C21" s="933"/>
      <c r="D21" s="933"/>
      <c r="E21" s="934"/>
      <c r="F21" s="46"/>
      <c r="G21" s="936"/>
      <c r="H21" s="918"/>
      <c r="I21" s="918"/>
      <c r="J21" s="918"/>
      <c r="K21" s="918"/>
      <c r="L21" s="919"/>
    </row>
    <row r="22" spans="1:12">
      <c r="A22" s="930"/>
      <c r="B22" s="933"/>
      <c r="C22" s="933"/>
      <c r="D22" s="933"/>
      <c r="E22" s="934"/>
      <c r="F22" s="46"/>
      <c r="G22" s="936"/>
      <c r="H22" s="918"/>
      <c r="I22" s="918"/>
      <c r="J22" s="918"/>
      <c r="K22" s="918"/>
      <c r="L22" s="919"/>
    </row>
    <row r="23" spans="1:12">
      <c r="A23" s="930"/>
      <c r="B23" s="933"/>
      <c r="C23" s="933"/>
      <c r="D23" s="933"/>
      <c r="E23" s="934"/>
      <c r="F23" s="46"/>
      <c r="G23" s="936"/>
      <c r="H23" s="918"/>
      <c r="I23" s="918"/>
      <c r="J23" s="918"/>
      <c r="K23" s="918"/>
      <c r="L23" s="919"/>
    </row>
    <row r="24" spans="1:12">
      <c r="A24" s="930"/>
      <c r="B24" s="933"/>
      <c r="C24" s="933"/>
      <c r="D24" s="933"/>
      <c r="E24" s="934"/>
      <c r="F24" s="46"/>
      <c r="G24" s="940"/>
      <c r="H24" s="918"/>
      <c r="I24" s="918"/>
      <c r="J24" s="918"/>
      <c r="K24" s="918"/>
      <c r="L24" s="919"/>
    </row>
    <row r="25" spans="1:12" ht="16" thickBot="1">
      <c r="A25" s="931"/>
      <c r="B25" s="964"/>
      <c r="C25" s="964"/>
      <c r="D25" s="964"/>
      <c r="E25" s="965"/>
      <c r="F25" s="46"/>
      <c r="G25" s="955"/>
      <c r="H25" s="920"/>
      <c r="I25" s="920"/>
      <c r="J25" s="920"/>
      <c r="K25" s="920"/>
      <c r="L25" s="921"/>
    </row>
    <row r="27" spans="1:12" ht="19">
      <c r="E27" s="954" t="s">
        <v>335</v>
      </c>
      <c r="F27" s="954"/>
      <c r="G27" s="954"/>
      <c r="H27" s="954"/>
      <c r="I27" s="954"/>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7" t="s">
        <v>128</v>
      </c>
      <c r="C31" s="938"/>
      <c r="D31" s="938"/>
      <c r="E31" s="939"/>
      <c r="F31" s="77"/>
      <c r="G31" s="953" t="s">
        <v>320</v>
      </c>
      <c r="H31" s="916"/>
      <c r="I31" s="916"/>
      <c r="J31" s="78" t="s">
        <v>294</v>
      </c>
      <c r="K31" s="916" t="s">
        <v>292</v>
      </c>
      <c r="L31" s="917"/>
    </row>
    <row r="32" spans="1:12" ht="14.25" customHeight="1">
      <c r="A32" s="929" t="s">
        <v>307</v>
      </c>
      <c r="B32" s="956"/>
      <c r="C32" s="957"/>
      <c r="D32" s="957"/>
      <c r="E32" s="958"/>
      <c r="F32" s="46"/>
      <c r="G32" s="966"/>
      <c r="H32" s="914"/>
      <c r="I32" s="914"/>
      <c r="J32" s="914"/>
      <c r="K32" s="914"/>
      <c r="L32" s="915"/>
    </row>
    <row r="33" spans="1:12" ht="16.5" customHeight="1">
      <c r="A33" s="930"/>
      <c r="B33" s="950"/>
      <c r="C33" s="951"/>
      <c r="D33" s="951"/>
      <c r="E33" s="959"/>
      <c r="F33" s="46"/>
      <c r="G33" s="925"/>
      <c r="H33" s="910"/>
      <c r="I33" s="910"/>
      <c r="J33" s="910"/>
      <c r="K33" s="910"/>
      <c r="L33" s="911"/>
    </row>
    <row r="34" spans="1:12">
      <c r="A34" s="930"/>
      <c r="B34" s="926" t="str">
        <f>IF(Recommendations!I43="","",Recommendations!I43)</f>
        <v/>
      </c>
      <c r="C34" s="927"/>
      <c r="D34" s="927"/>
      <c r="E34" s="928"/>
      <c r="F34" s="46"/>
      <c r="G34" s="925"/>
      <c r="H34" s="910"/>
      <c r="I34" s="910"/>
      <c r="J34" s="910"/>
      <c r="K34" s="910"/>
      <c r="L34" s="911"/>
    </row>
    <row r="35" spans="1:12">
      <c r="A35" s="930"/>
      <c r="B35" s="926"/>
      <c r="C35" s="927"/>
      <c r="D35" s="927"/>
      <c r="E35" s="928"/>
      <c r="F35" s="46"/>
      <c r="G35" s="925"/>
      <c r="H35" s="910"/>
      <c r="I35" s="910"/>
      <c r="J35" s="910"/>
      <c r="K35" s="910"/>
      <c r="L35" s="911"/>
    </row>
    <row r="36" spans="1:12">
      <c r="A36" s="930"/>
      <c r="B36" s="926" t="str">
        <f>+IF(Recommendations!I53="","",Recommendations!I53)</f>
        <v/>
      </c>
      <c r="C36" s="927"/>
      <c r="D36" s="927"/>
      <c r="E36" s="928"/>
      <c r="F36" s="46"/>
      <c r="G36" s="925"/>
      <c r="H36" s="910"/>
      <c r="I36" s="910"/>
      <c r="J36" s="910"/>
      <c r="K36" s="910"/>
      <c r="L36" s="911"/>
    </row>
    <row r="37" spans="1:12">
      <c r="A37" s="930"/>
      <c r="B37" s="926"/>
      <c r="C37" s="927"/>
      <c r="D37" s="927"/>
      <c r="E37" s="928"/>
      <c r="F37" s="46"/>
      <c r="G37" s="925"/>
      <c r="H37" s="910"/>
      <c r="I37" s="910"/>
      <c r="J37" s="910"/>
      <c r="K37" s="910"/>
      <c r="L37" s="911"/>
    </row>
    <row r="38" spans="1:12">
      <c r="A38" s="930"/>
      <c r="B38" s="926"/>
      <c r="C38" s="927"/>
      <c r="D38" s="927"/>
      <c r="E38" s="928"/>
      <c r="F38" s="46"/>
      <c r="G38" s="925"/>
      <c r="H38" s="910"/>
      <c r="I38" s="910"/>
      <c r="J38" s="910"/>
      <c r="K38" s="910"/>
      <c r="L38" s="911"/>
    </row>
    <row r="39" spans="1:12">
      <c r="A39" s="930"/>
      <c r="B39" s="926"/>
      <c r="C39" s="927"/>
      <c r="D39" s="927"/>
      <c r="E39" s="928"/>
      <c r="F39" s="46"/>
      <c r="G39" s="925"/>
      <c r="H39" s="910"/>
      <c r="I39" s="910"/>
      <c r="J39" s="910"/>
      <c r="K39" s="910"/>
      <c r="L39" s="911"/>
    </row>
    <row r="40" spans="1:12">
      <c r="A40" s="930"/>
      <c r="B40" s="926"/>
      <c r="C40" s="927"/>
      <c r="D40" s="927"/>
      <c r="E40" s="928"/>
      <c r="F40" s="46"/>
      <c r="G40" s="925"/>
      <c r="H40" s="910"/>
      <c r="I40" s="910"/>
      <c r="J40" s="910"/>
      <c r="K40" s="910"/>
      <c r="L40" s="911"/>
    </row>
    <row r="41" spans="1:12">
      <c r="A41" s="930"/>
      <c r="B41" s="926"/>
      <c r="C41" s="927"/>
      <c r="D41" s="927"/>
      <c r="E41" s="928"/>
      <c r="F41" s="46"/>
      <c r="G41" s="925"/>
      <c r="H41" s="910"/>
      <c r="I41" s="910"/>
      <c r="J41" s="910"/>
      <c r="K41" s="910"/>
      <c r="L41" s="911"/>
    </row>
    <row r="42" spans="1:12">
      <c r="A42" s="930"/>
      <c r="B42" s="926"/>
      <c r="C42" s="927"/>
      <c r="D42" s="927"/>
      <c r="E42" s="928"/>
      <c r="F42" s="46"/>
      <c r="G42" s="925"/>
      <c r="H42" s="910"/>
      <c r="I42" s="910"/>
      <c r="J42" s="910"/>
      <c r="K42" s="910"/>
      <c r="L42" s="911"/>
    </row>
    <row r="43" spans="1:12" ht="16" thickBot="1">
      <c r="A43" s="931"/>
      <c r="B43" s="960"/>
      <c r="C43" s="961"/>
      <c r="D43" s="961"/>
      <c r="E43" s="962"/>
      <c r="F43" s="46"/>
      <c r="G43" s="963"/>
      <c r="H43" s="912"/>
      <c r="I43" s="912"/>
      <c r="J43" s="912"/>
      <c r="K43" s="912"/>
      <c r="L43" s="913"/>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67" t="str">
        <f>'Grant Detail'!B3:J3</f>
        <v>Dashboard:  Georgia - HIV / AIDS</v>
      </c>
      <c r="C3" s="967"/>
      <c r="D3" s="967"/>
      <c r="E3" s="967"/>
      <c r="F3" s="967"/>
      <c r="G3" s="967"/>
      <c r="H3" s="967"/>
      <c r="I3" s="1"/>
    </row>
    <row r="6" spans="2:15" ht="19">
      <c r="B6" s="954" t="s">
        <v>319</v>
      </c>
      <c r="C6" s="954"/>
      <c r="D6" s="954"/>
      <c r="E6" s="954"/>
      <c r="F6" s="954"/>
      <c r="G6" s="954"/>
      <c r="H6" s="954"/>
    </row>
    <row r="8" spans="2:15" ht="19">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2019-05-31T11:28:42Z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