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SingleCells1.xml" ContentType="application/vnd.openxmlformats-officedocument.spreadsheetml.tableSingleCells+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harts/chart12.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molhsa\Desktop\OC reports and II Q dashboards_ HIV-TB 2019\"/>
    </mc:Choice>
  </mc:AlternateContent>
  <bookViews>
    <workbookView xWindow="0" yWindow="0" windowWidth="14380" windowHeight="4190" tabRatio="717" activeTab="6"/>
  </bookViews>
  <sheets>
    <sheet name="Menu" sheetId="1" r:id="rId1"/>
    <sheet name="List of Indicators" sheetId="45" r:id="rId2"/>
    <sheet name="Data Entry" sheetId="29" r:id="rId3"/>
    <sheet name="Grant Detail" sheetId="27" r:id="rId4"/>
    <sheet name="Finance" sheetId="30" r:id="rId5"/>
    <sheet name="Management" sheetId="35" r:id="rId6"/>
    <sheet name="Programmatic" sheetId="37" r:id="rId7"/>
    <sheet name="Recommendations" sheetId="42" r:id="rId8"/>
    <sheet name="Actions" sheetId="39" r:id="rId9"/>
    <sheet name="Setup" sheetId="32" state="hidden" r:id="rId10"/>
  </sheets>
  <definedNames>
    <definedName name="Component">Setup!$B$9:$B$14</definedName>
    <definedName name="Countries">Setup!$J$9:$J$143</definedName>
    <definedName name="Currency">Setup!$C$9:$C$11</definedName>
    <definedName name="LFA">Setup!$H$9:$H$22</definedName>
    <definedName name="Medicaments">Setup!$I$9:$I$30</definedName>
    <definedName name="PERIOD">Setup!$F$9:$F$21</definedName>
    <definedName name="Phase">Setup!$E$9:$E$13</definedName>
    <definedName name="_xlnm.Print_Area" localSheetId="8">Actions!$A$1:$L$43</definedName>
    <definedName name="_xlnm.Print_Area" localSheetId="4">Finance!$A$2:$K$31</definedName>
    <definedName name="_xlnm.Print_Area" localSheetId="5">Management!$A$1:$L$34</definedName>
    <definedName name="_xlnm.Print_Area" localSheetId="6">Programmatic!$A$1:$Q$29</definedName>
    <definedName name="PrintA">Actions!$A$2:$L$34</definedName>
    <definedName name="PrintDataF">'Data Entry'!$B$25:$J$68</definedName>
    <definedName name="PrintDataM">'Data Entry'!$B$70:$H$114</definedName>
    <definedName name="PrintF">Finance!$A$2:$K$31</definedName>
    <definedName name="PrintGD">'Grant Detail'!$A$2:$J$13</definedName>
    <definedName name="PrintM" localSheetId="8">Actions!$A$2:$L$6</definedName>
    <definedName name="PrintM">Management!$A$2:$L$36</definedName>
    <definedName name="PrintP">Programmatic!$A$2:$P$30</definedName>
    <definedName name="PrintR">Recommendations!$A$2:$N$41</definedName>
    <definedName name="Rating">Setup!$G$9:$G$14</definedName>
    <definedName name="Round">Setup!$D$9:$D$21</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27" i="37" l="1"/>
  <c r="E27" i="37"/>
  <c r="F26" i="37"/>
  <c r="E26" i="37"/>
  <c r="F25" i="37"/>
  <c r="E25" i="37"/>
  <c r="F24" i="37"/>
  <c r="E24" i="37"/>
  <c r="F23" i="37"/>
  <c r="E23" i="37"/>
  <c r="F22" i="37"/>
  <c r="E22" i="37"/>
  <c r="F21" i="37"/>
  <c r="E21" i="37"/>
  <c r="F20" i="37"/>
  <c r="E20" i="37"/>
  <c r="S135" i="29" l="1"/>
  <c r="S133" i="29"/>
  <c r="S131" i="29"/>
  <c r="S129" i="29"/>
  <c r="S127" i="29"/>
  <c r="S123" i="29"/>
  <c r="S121" i="29"/>
  <c r="H111" i="29" l="1"/>
  <c r="I111" i="29" s="1"/>
  <c r="S23" i="37" l="1"/>
  <c r="D58" i="29" l="1"/>
  <c r="D41" i="29"/>
  <c r="C57" i="29" l="1"/>
  <c r="C56" i="29"/>
  <c r="C58" i="29" l="1"/>
  <c r="D55" i="29"/>
  <c r="R133" i="29" l="1"/>
  <c r="R131" i="29"/>
  <c r="R121" i="29"/>
  <c r="R127" i="29"/>
  <c r="R129" i="29"/>
  <c r="R123" i="29"/>
  <c r="R124" i="29" l="1"/>
  <c r="R130" i="29"/>
  <c r="R135" i="29" l="1"/>
  <c r="M99" i="29" l="1"/>
  <c r="Q135" i="29" l="1"/>
  <c r="Q133" i="29"/>
  <c r="Q131" i="29"/>
  <c r="Q129" i="29"/>
  <c r="Q127" i="29"/>
  <c r="Q123" i="29"/>
  <c r="Q121" i="29"/>
  <c r="Q146" i="29" s="1"/>
  <c r="L99" i="29"/>
  <c r="L100" i="29"/>
  <c r="C32" i="29"/>
  <c r="I32" i="29"/>
  <c r="J32" i="29"/>
  <c r="P135" i="29"/>
  <c r="P133" i="29"/>
  <c r="P131" i="29"/>
  <c r="P130" i="29"/>
  <c r="P129" i="29"/>
  <c r="P127" i="29"/>
  <c r="P124" i="29"/>
  <c r="P149" i="29" s="1"/>
  <c r="P123" i="29"/>
  <c r="P148" i="29" s="1"/>
  <c r="P121" i="29"/>
  <c r="E56" i="29"/>
  <c r="O122" i="29"/>
  <c r="O147" i="29" s="1"/>
  <c r="O124" i="29"/>
  <c r="O130" i="29"/>
  <c r="O126" i="29"/>
  <c r="O135" i="29"/>
  <c r="O133" i="29"/>
  <c r="O131" i="29"/>
  <c r="O129" i="29"/>
  <c r="O127" i="29"/>
  <c r="O123" i="29"/>
  <c r="O148" i="29" s="1"/>
  <c r="O121" i="29"/>
  <c r="N130" i="29"/>
  <c r="N124" i="29"/>
  <c r="N149" i="29" s="1"/>
  <c r="N135" i="29"/>
  <c r="N131" i="29"/>
  <c r="N133" i="29"/>
  <c r="N129" i="29"/>
  <c r="N123" i="29"/>
  <c r="N127" i="29"/>
  <c r="N121" i="29"/>
  <c r="M135" i="29"/>
  <c r="M133" i="29"/>
  <c r="M131" i="29"/>
  <c r="M129" i="29"/>
  <c r="M127" i="29"/>
  <c r="M123" i="29"/>
  <c r="M148" i="29" s="1"/>
  <c r="M121" i="29"/>
  <c r="M146" i="29" s="1"/>
  <c r="C34" i="29"/>
  <c r="D34" i="29" s="1"/>
  <c r="E34" i="29" s="1"/>
  <c r="F34" i="29" s="1"/>
  <c r="G34" i="29" s="1"/>
  <c r="H34" i="29" s="1"/>
  <c r="L130" i="29"/>
  <c r="L123" i="29"/>
  <c r="L148" i="29" s="1"/>
  <c r="L135" i="29"/>
  <c r="L133" i="29"/>
  <c r="L131" i="29"/>
  <c r="L129" i="29"/>
  <c r="L127" i="29"/>
  <c r="L121" i="29"/>
  <c r="G28" i="37"/>
  <c r="K130" i="29"/>
  <c r="K135" i="29"/>
  <c r="K133" i="29"/>
  <c r="K131" i="29"/>
  <c r="K129" i="29"/>
  <c r="K123" i="29"/>
  <c r="K148" i="29" s="1"/>
  <c r="K127" i="29"/>
  <c r="K121" i="29"/>
  <c r="K146" i="29" s="1"/>
  <c r="J130" i="29"/>
  <c r="J135" i="29"/>
  <c r="E112" i="29"/>
  <c r="G112" i="29" s="1"/>
  <c r="I112" i="29" s="1"/>
  <c r="K31" i="35"/>
  <c r="E113" i="29"/>
  <c r="G113" i="29" s="1"/>
  <c r="I113" i="29" s="1"/>
  <c r="K32" i="35"/>
  <c r="E114" i="29"/>
  <c r="G114" i="29" s="1"/>
  <c r="I114" i="29" s="1"/>
  <c r="K33" i="35"/>
  <c r="E111" i="29"/>
  <c r="K30" i="35"/>
  <c r="C93" i="29"/>
  <c r="D93" i="29" s="1"/>
  <c r="E93" i="29" s="1"/>
  <c r="J131" i="29"/>
  <c r="J123" i="29"/>
  <c r="J148" i="29" s="1"/>
  <c r="J133" i="29"/>
  <c r="J129" i="29"/>
  <c r="J127" i="29"/>
  <c r="J121" i="29"/>
  <c r="J146" i="29" s="1"/>
  <c r="C50" i="29"/>
  <c r="H146" i="29"/>
  <c r="C101" i="29"/>
  <c r="D101" i="29" s="1"/>
  <c r="E101" i="29" s="1"/>
  <c r="F101" i="29" s="1"/>
  <c r="G101" i="29" s="1"/>
  <c r="H101" i="29" s="1"/>
  <c r="I101" i="29" s="1"/>
  <c r="J101" i="29" s="1"/>
  <c r="K101" i="29" s="1"/>
  <c r="L101" i="29" s="1"/>
  <c r="M101" i="29" s="1"/>
  <c r="N101" i="29" s="1"/>
  <c r="D50" i="29"/>
  <c r="C33" i="29"/>
  <c r="D33" i="29" s="1"/>
  <c r="B22" i="45"/>
  <c r="B2" i="45"/>
  <c r="B2" i="39"/>
  <c r="B2" i="42"/>
  <c r="B2" i="37"/>
  <c r="B2" i="35"/>
  <c r="K5" i="30"/>
  <c r="K4" i="30"/>
  <c r="L5" i="35"/>
  <c r="L4" i="35"/>
  <c r="Q5" i="37"/>
  <c r="Q4" i="37"/>
  <c r="M5" i="42"/>
  <c r="M4" i="42"/>
  <c r="L5" i="39"/>
  <c r="L4" i="39"/>
  <c r="C4" i="39"/>
  <c r="C3" i="39"/>
  <c r="B3" i="39"/>
  <c r="C4" i="42"/>
  <c r="C3" i="42"/>
  <c r="B3" i="42"/>
  <c r="C4" i="37"/>
  <c r="C3" i="37"/>
  <c r="B3" i="37"/>
  <c r="C4" i="35"/>
  <c r="C3" i="35"/>
  <c r="B3" i="35"/>
  <c r="C4" i="30"/>
  <c r="C3" i="30"/>
  <c r="B3" i="30"/>
  <c r="B2" i="30"/>
  <c r="I9" i="27"/>
  <c r="G9" i="27"/>
  <c r="G13" i="27"/>
  <c r="G11" i="27"/>
  <c r="D11" i="27"/>
  <c r="B12" i="27"/>
  <c r="I11" i="27"/>
  <c r="D10" i="27"/>
  <c r="B10" i="27"/>
  <c r="B9" i="27"/>
  <c r="B6" i="27"/>
  <c r="B3" i="27"/>
  <c r="B2" i="1" s="1"/>
  <c r="B4" i="1"/>
  <c r="E92" i="29"/>
  <c r="D11" i="42"/>
  <c r="J3" i="35"/>
  <c r="L3" i="35"/>
  <c r="I3" i="30"/>
  <c r="K3" i="30"/>
  <c r="H22" i="30" s="1"/>
  <c r="D33" i="42"/>
  <c r="D34" i="42"/>
  <c r="D35" i="42"/>
  <c r="D36" i="42"/>
  <c r="D37" i="42"/>
  <c r="D38" i="42"/>
  <c r="D39" i="42"/>
  <c r="D40" i="42"/>
  <c r="D41" i="42"/>
  <c r="D32" i="42"/>
  <c r="L147" i="29"/>
  <c r="M147" i="29"/>
  <c r="N147" i="29"/>
  <c r="P147" i="29"/>
  <c r="Q147" i="29"/>
  <c r="R147" i="29"/>
  <c r="S147" i="29"/>
  <c r="N148" i="29"/>
  <c r="Q148" i="29"/>
  <c r="R148" i="29"/>
  <c r="S148" i="29"/>
  <c r="L149" i="29"/>
  <c r="M149" i="29"/>
  <c r="O149" i="29"/>
  <c r="Q149" i="29"/>
  <c r="R149" i="29"/>
  <c r="S149" i="29"/>
  <c r="L150" i="29"/>
  <c r="M150" i="29"/>
  <c r="N150" i="29"/>
  <c r="O150" i="29"/>
  <c r="P150" i="29"/>
  <c r="Q150" i="29"/>
  <c r="R150" i="29"/>
  <c r="S150" i="29"/>
  <c r="L151" i="29"/>
  <c r="M151" i="29"/>
  <c r="N151" i="29"/>
  <c r="O151" i="29"/>
  <c r="P151" i="29"/>
  <c r="Q151" i="29"/>
  <c r="R151" i="29"/>
  <c r="S151" i="29"/>
  <c r="N146" i="29"/>
  <c r="O146" i="29"/>
  <c r="P146" i="29"/>
  <c r="R146" i="29"/>
  <c r="S146" i="29"/>
  <c r="F148" i="29"/>
  <c r="F150" i="29"/>
  <c r="F146" i="29"/>
  <c r="E148" i="29"/>
  <c r="E150" i="29"/>
  <c r="E146" i="29"/>
  <c r="B148" i="29"/>
  <c r="B150" i="29"/>
  <c r="B146" i="29"/>
  <c r="B32" i="29"/>
  <c r="D38" i="29"/>
  <c r="C38" i="29"/>
  <c r="B31" i="29"/>
  <c r="E54" i="29"/>
  <c r="H29" i="30"/>
  <c r="H28" i="30"/>
  <c r="H27" i="30"/>
  <c r="D24" i="42"/>
  <c r="D23" i="42"/>
  <c r="D22" i="42"/>
  <c r="D21" i="42"/>
  <c r="D20" i="42"/>
  <c r="D19" i="42"/>
  <c r="D14" i="42"/>
  <c r="D13" i="42"/>
  <c r="D12" i="42"/>
  <c r="B25" i="45"/>
  <c r="B23" i="45"/>
  <c r="B21" i="45"/>
  <c r="B20" i="45"/>
  <c r="B19" i="45"/>
  <c r="B11" i="45"/>
  <c r="B10" i="45"/>
  <c r="B9" i="45"/>
  <c r="B8" i="45"/>
  <c r="B4" i="37"/>
  <c r="B4" i="35"/>
  <c r="B4" i="30"/>
  <c r="E20" i="42"/>
  <c r="G12" i="27"/>
  <c r="H4" i="1"/>
  <c r="K151" i="29"/>
  <c r="K150" i="29"/>
  <c r="K149" i="29"/>
  <c r="K147" i="29"/>
  <c r="G75" i="29"/>
  <c r="K27" i="30"/>
  <c r="J27" i="30"/>
  <c r="K28" i="30"/>
  <c r="J28" i="30"/>
  <c r="K29" i="30"/>
  <c r="J29" i="30"/>
  <c r="B4" i="39"/>
  <c r="D5" i="39"/>
  <c r="E4" i="39"/>
  <c r="K5" i="39"/>
  <c r="J4" i="39"/>
  <c r="L3" i="39"/>
  <c r="J3" i="39"/>
  <c r="L5" i="42"/>
  <c r="L4" i="42"/>
  <c r="E5" i="42"/>
  <c r="E4" i="42"/>
  <c r="B4" i="42"/>
  <c r="M3" i="42"/>
  <c r="L3" i="42"/>
  <c r="E4" i="37"/>
  <c r="Q3" i="37"/>
  <c r="H30" i="35"/>
  <c r="I33" i="35"/>
  <c r="I32" i="35"/>
  <c r="I31" i="35"/>
  <c r="I30" i="35"/>
  <c r="B26" i="35"/>
  <c r="B13" i="27"/>
  <c r="B11" i="27"/>
  <c r="G10" i="27"/>
  <c r="D9" i="27"/>
  <c r="F6" i="27"/>
  <c r="C103" i="29"/>
  <c r="D103" i="29" s="1"/>
  <c r="E103" i="29" s="1"/>
  <c r="F103" i="29" s="1"/>
  <c r="G103" i="29" s="1"/>
  <c r="H103" i="29" s="1"/>
  <c r="I103" i="29" s="1"/>
  <c r="J103" i="29" s="1"/>
  <c r="K103" i="29" s="1"/>
  <c r="L103" i="29" s="1"/>
  <c r="M103" i="29" s="1"/>
  <c r="N103" i="29" s="1"/>
  <c r="C102" i="29"/>
  <c r="D102" i="29" s="1"/>
  <c r="E102" i="29" s="1"/>
  <c r="F102" i="29" s="1"/>
  <c r="G102" i="29" s="1"/>
  <c r="H102" i="29" s="1"/>
  <c r="I102" i="29" s="1"/>
  <c r="J102" i="29" s="1"/>
  <c r="K102" i="29" s="1"/>
  <c r="E82" i="29"/>
  <c r="D5" i="35"/>
  <c r="E4" i="35"/>
  <c r="K5" i="35"/>
  <c r="J4" i="35"/>
  <c r="D5" i="37"/>
  <c r="P5" i="37"/>
  <c r="P4" i="37"/>
  <c r="O3" i="37"/>
  <c r="J5" i="30"/>
  <c r="D5" i="30"/>
  <c r="I4" i="30"/>
  <c r="E4" i="30"/>
  <c r="L8" i="37"/>
  <c r="F8" i="37"/>
  <c r="B8" i="37"/>
  <c r="L146" i="29"/>
  <c r="J151" i="29"/>
  <c r="J150" i="29"/>
  <c r="J149" i="29"/>
  <c r="J147" i="29"/>
  <c r="I151" i="29"/>
  <c r="I150" i="29"/>
  <c r="I149" i="29"/>
  <c r="I148" i="29"/>
  <c r="I147" i="29"/>
  <c r="I146" i="29"/>
  <c r="H151" i="29"/>
  <c r="H150" i="29"/>
  <c r="H149" i="29"/>
  <c r="H148" i="29"/>
  <c r="H147" i="29"/>
  <c r="B26" i="37"/>
  <c r="B25" i="37"/>
  <c r="B24" i="37"/>
  <c r="B23" i="37"/>
  <c r="S145" i="29"/>
  <c r="R145" i="29"/>
  <c r="Q145" i="29"/>
  <c r="P145" i="29"/>
  <c r="O145" i="29"/>
  <c r="B22" i="37"/>
  <c r="B21" i="37"/>
  <c r="B20" i="37"/>
  <c r="E58" i="29"/>
  <c r="B27" i="37"/>
  <c r="N145" i="29"/>
  <c r="M145" i="29"/>
  <c r="L145" i="29"/>
  <c r="K145" i="29"/>
  <c r="J145" i="29"/>
  <c r="I145" i="29"/>
  <c r="H145" i="29"/>
  <c r="B36" i="39"/>
  <c r="B34" i="39"/>
  <c r="E57" i="29"/>
  <c r="B34" i="35"/>
  <c r="AD23" i="37"/>
  <c r="AF21" i="37"/>
  <c r="AE21" i="37"/>
  <c r="AD21" i="37"/>
  <c r="T21" i="37"/>
  <c r="U21" i="37"/>
  <c r="V21" i="37"/>
  <c r="T22" i="37"/>
  <c r="U22" i="37"/>
  <c r="V22" i="37"/>
  <c r="T23" i="37"/>
  <c r="U23" i="37"/>
  <c r="V23" i="37"/>
  <c r="T24" i="37"/>
  <c r="U24" i="37"/>
  <c r="V24" i="37"/>
  <c r="T25" i="37"/>
  <c r="U25" i="37"/>
  <c r="V25" i="37"/>
  <c r="U28" i="37"/>
  <c r="T26" i="37"/>
  <c r="U26" i="37"/>
  <c r="V26" i="37"/>
  <c r="W26" i="37"/>
  <c r="X26" i="37"/>
  <c r="T29" i="37"/>
  <c r="T27" i="37"/>
  <c r="U27" i="37"/>
  <c r="V27" i="37"/>
  <c r="W27" i="37"/>
  <c r="X27" i="37"/>
  <c r="T28" i="37"/>
  <c r="V28" i="37"/>
  <c r="X28" i="37"/>
  <c r="T31" i="37"/>
  <c r="U29" i="37"/>
  <c r="W29" i="37"/>
  <c r="T30" i="37"/>
  <c r="U30" i="37"/>
  <c r="V30" i="37"/>
  <c r="W30" i="37"/>
  <c r="X30" i="37"/>
  <c r="U31" i="37"/>
  <c r="W31" i="37"/>
  <c r="T32" i="37"/>
  <c r="U32" i="37"/>
  <c r="V32" i="37"/>
  <c r="W32" i="37"/>
  <c r="X32" i="37"/>
  <c r="T33" i="37"/>
  <c r="U33" i="37"/>
  <c r="V33" i="37"/>
  <c r="W33" i="37"/>
  <c r="X33" i="37"/>
  <c r="X31" i="37"/>
  <c r="V31" i="37"/>
  <c r="X29" i="37"/>
  <c r="V29" i="37"/>
  <c r="W28" i="37"/>
  <c r="F20" i="42"/>
  <c r="AE23" i="37"/>
  <c r="AF23" i="37"/>
  <c r="AF22" i="37"/>
  <c r="AD22" i="37"/>
  <c r="AE22" i="37"/>
  <c r="AD24" i="37"/>
  <c r="AF24" i="37"/>
  <c r="AE24" i="37"/>
  <c r="R29" i="29"/>
  <c r="C35" i="29"/>
  <c r="D30" i="42"/>
  <c r="D31" i="42"/>
  <c r="D29" i="42"/>
  <c r="L102" i="29" l="1"/>
  <c r="M102" i="29" s="1"/>
  <c r="N102" i="29" s="1"/>
  <c r="C55" i="29"/>
  <c r="B22" i="30"/>
  <c r="B8" i="30"/>
  <c r="I34" i="29"/>
  <c r="J34" i="29" s="1"/>
  <c r="K34" i="29" s="1"/>
  <c r="L34" i="29" s="1"/>
  <c r="M34" i="29" s="1"/>
  <c r="N34" i="29" s="1"/>
  <c r="B3" i="32"/>
  <c r="H15" i="35"/>
  <c r="E33" i="29"/>
  <c r="D35" i="29"/>
  <c r="R30" i="29"/>
  <c r="K114" i="29"/>
  <c r="J33" i="35"/>
  <c r="L33" i="35" s="1"/>
  <c r="K112" i="29"/>
  <c r="L31" i="35"/>
  <c r="K111" i="29"/>
  <c r="J30" i="35"/>
  <c r="L30" i="35" s="1"/>
  <c r="J32" i="35"/>
  <c r="L32" i="35" s="1"/>
  <c r="K113" i="29"/>
  <c r="H8" i="30"/>
  <c r="E55" i="29"/>
  <c r="G27" i="37"/>
  <c r="B7" i="35"/>
  <c r="H26" i="35"/>
  <c r="H7" i="35"/>
  <c r="B15" i="35"/>
  <c r="G25" i="37"/>
  <c r="G26" i="37"/>
  <c r="G24" i="37"/>
  <c r="G20" i="37"/>
  <c r="G21" i="37"/>
  <c r="G23" i="37"/>
  <c r="G22" i="37"/>
  <c r="E35" i="29" l="1"/>
  <c r="R31" i="29"/>
  <c r="F33" i="29"/>
  <c r="G33" i="29" l="1"/>
  <c r="F35" i="29"/>
  <c r="R32" i="29"/>
  <c r="H33" i="29" l="1"/>
  <c r="R33" i="29"/>
  <c r="G35" i="29"/>
  <c r="H35" i="29" l="1"/>
  <c r="I33" i="29"/>
  <c r="R34" i="29"/>
  <c r="I35" i="29" l="1"/>
  <c r="J33" i="29"/>
  <c r="R35" i="29"/>
  <c r="R52" i="29" l="1"/>
  <c r="K33" i="29"/>
  <c r="J35" i="29"/>
  <c r="K35" i="29" l="1"/>
  <c r="L33" i="29"/>
  <c r="R53" i="29"/>
  <c r="L35" i="29" l="1"/>
  <c r="M33" i="29"/>
  <c r="M35" i="29" l="1"/>
  <c r="F50" i="29"/>
  <c r="N33" i="29"/>
  <c r="N35" i="29" s="1"/>
  <c r="O31" i="29" s="1"/>
  <c r="Q54" i="29"/>
</calcChain>
</file>

<file path=xl/comments1.xml><?xml version="1.0" encoding="utf-8"?>
<comments xmlns="http://schemas.openxmlformats.org/spreadsheetml/2006/main">
  <authors>
    <author>mgleixner</author>
    <author>molszak</author>
  </authors>
  <commentList>
    <comment ref="B30" authorId="0" shapeId="0">
      <text>
        <r>
          <rPr>
            <sz val="8"/>
            <color indexed="81"/>
            <rFont val="Tahoma"/>
            <family val="2"/>
          </rPr>
          <t>To define your periods (eg. P1, P2, P3 etc or P9, P10, P11 etc) you need to unprotect the cells.</t>
        </r>
      </text>
    </comment>
    <comment ref="B75" authorId="1" shapeId="0">
      <text>
        <r>
          <rPr>
            <b/>
            <sz val="8"/>
            <color indexed="81"/>
            <rFont val="Tahoma"/>
            <family val="2"/>
          </rPr>
          <t xml:space="preserve">If data are not available, do not enter zeros; rather, leave the cells in the table blank. </t>
        </r>
      </text>
    </comment>
    <comment ref="B76" authorId="1" shapeId="0">
      <text>
        <r>
          <rPr>
            <b/>
            <sz val="8"/>
            <color indexed="81"/>
            <rFont val="Tahoma"/>
            <family val="2"/>
          </rPr>
          <t>If data are not available, do not enter zeros; rather, leave the cells in this table blank.</t>
        </r>
      </text>
    </comment>
    <comment ref="B82" authorId="0" shapeId="0">
      <text>
        <r>
          <rPr>
            <sz val="8"/>
            <color indexed="81"/>
            <rFont val="Tahoma"/>
            <family val="2"/>
          </rPr>
          <t xml:space="preserve">If data are not available, do not enter zeros; rather, leave the cells in this table blank. </t>
        </r>
      </text>
    </comment>
    <comment ref="B97" authorId="0" shapeId="0">
      <text>
        <r>
          <rPr>
            <sz val="8"/>
            <color indexed="81"/>
            <rFont val="Tahoma"/>
            <family val="2"/>
          </rPr>
          <t>To define your periods (eg. P1, P2, P3 etc or P9, P10, P11 etc) you need to unprotect the cells.</t>
        </r>
      </text>
    </comment>
  </commentList>
</comments>
</file>

<file path=xl/sharedStrings.xml><?xml version="1.0" encoding="utf-8"?>
<sst xmlns="http://schemas.openxmlformats.org/spreadsheetml/2006/main" count="650" uniqueCount="497">
  <si>
    <r>
      <t xml:space="preserve">
</t>
    </r>
    <r>
      <rPr>
        <b/>
        <sz val="11"/>
        <color indexed="8"/>
        <rFont val="Arial"/>
        <family val="2"/>
      </rPr>
      <t xml:space="preserve">Identified: </t>
    </r>
    <r>
      <rPr>
        <sz val="11"/>
        <color indexed="8"/>
        <rFont val="Arial"/>
        <family val="2"/>
      </rPr>
      <t xml:space="preserve">Total number of potential SRs identified by the PR for the phase. </t>
    </r>
    <r>
      <rPr>
        <b/>
        <sz val="11"/>
        <color indexed="8"/>
        <rFont val="Arial"/>
        <family val="2"/>
      </rPr>
      <t xml:space="preserve">Assessed: </t>
    </r>
    <r>
      <rPr>
        <sz val="11"/>
        <color indexed="8"/>
        <rFont val="Arial"/>
        <family val="2"/>
      </rPr>
      <t xml:space="preserve">Total number of potential SRs assessed by the PR to determine whether they qualify to function as SRs for the grant. </t>
    </r>
    <r>
      <rPr>
        <b/>
        <sz val="11"/>
        <color indexed="8"/>
        <rFont val="Arial"/>
        <family val="2"/>
      </rPr>
      <t>Approved:</t>
    </r>
    <r>
      <rPr>
        <sz val="11"/>
        <color indexed="8"/>
        <rFont val="Arial"/>
        <family val="2"/>
      </rPr>
      <t xml:space="preserve"> Total number of SRs that have been approved</t>
    </r>
    <r>
      <rPr>
        <b/>
        <sz val="11"/>
        <color indexed="8"/>
        <rFont val="Arial"/>
        <family val="2"/>
      </rPr>
      <t xml:space="preserve">. Signed: </t>
    </r>
    <r>
      <rPr>
        <sz val="11"/>
        <color indexed="8"/>
        <rFont val="Arial"/>
        <family val="2"/>
      </rPr>
      <t xml:space="preserve">Total number of SRs that have signed agreements/contracts with the PR under the grant. </t>
    </r>
    <r>
      <rPr>
        <b/>
        <sz val="11"/>
        <color indexed="8"/>
        <rFont val="Arial"/>
        <family val="2"/>
      </rPr>
      <t xml:space="preserve">Receiving funding: </t>
    </r>
    <r>
      <rPr>
        <sz val="11"/>
        <color indexed="8"/>
        <rFont val="Arial"/>
        <family val="2"/>
      </rPr>
      <t xml:space="preserve">Total number of SRs that are getting funds and/or supplies from the PR.
Numbers of SRs Identified, Assessed, Approved, Signed and Receiving funds are cumulative for the phase, with the following exceptions:  
If an SR does not need new approval in Phase II, then approval in Phase I is counted. 
If an SR was signed in a previous Phase but is </t>
    </r>
    <r>
      <rPr>
        <b/>
        <sz val="11"/>
        <color indexed="8"/>
        <rFont val="Arial"/>
        <family val="2"/>
      </rPr>
      <t>not</t>
    </r>
    <r>
      <rPr>
        <sz val="11"/>
        <color indexed="8"/>
        <rFont val="Arial"/>
        <family val="2"/>
      </rPr>
      <t xml:space="preserve"> working in the current Phase, that SR is no longer counted in Identified, Assessed, Approved.</t>
    </r>
  </si>
  <si>
    <t>Days taken to submit final PU/DR to LFA</t>
  </si>
  <si>
    <t>Information reporting period</t>
  </si>
  <si>
    <t>Enter the data based on the colour-coded cells</t>
  </si>
  <si>
    <t>% Cumulative</t>
  </si>
  <si>
    <t>Obligations cumulative</t>
  </si>
  <si>
    <t>Expenditures cumulative</t>
  </si>
  <si>
    <t>Programmatic</t>
  </si>
  <si>
    <t>To:</t>
  </si>
  <si>
    <t>Comments:</t>
  </si>
  <si>
    <t xml:space="preserve">Comments: </t>
  </si>
  <si>
    <t>Title of the Grant:</t>
  </si>
  <si>
    <t>Start Date:</t>
  </si>
  <si>
    <t>€</t>
  </si>
  <si>
    <t>Round 9</t>
  </si>
  <si>
    <t>Phase 2</t>
  </si>
  <si>
    <t>Round 1</t>
  </si>
  <si>
    <t>Phase 1</t>
  </si>
  <si>
    <t>$</t>
  </si>
  <si>
    <t>Round 2</t>
  </si>
  <si>
    <t>Report Period:</t>
  </si>
  <si>
    <t>to:</t>
  </si>
  <si>
    <t>Round 3</t>
  </si>
  <si>
    <t>RCC</t>
  </si>
  <si>
    <t>Round 4</t>
  </si>
  <si>
    <t>Country:</t>
  </si>
  <si>
    <t>Component:</t>
  </si>
  <si>
    <t>HIV / AIDS</t>
  </si>
  <si>
    <t>Latest Rating:</t>
  </si>
  <si>
    <t>Report preparation date:</t>
  </si>
  <si>
    <t>Local Fund Agent:</t>
  </si>
  <si>
    <t>Prepared by:</t>
  </si>
  <si>
    <t>Component</t>
  </si>
  <si>
    <t>MALARIA</t>
  </si>
  <si>
    <t>TB</t>
  </si>
  <si>
    <t>Currency</t>
  </si>
  <si>
    <t>Round</t>
  </si>
  <si>
    <t>Round 5</t>
  </si>
  <si>
    <t>Round 6</t>
  </si>
  <si>
    <t>Round 7</t>
  </si>
  <si>
    <t>Round 8</t>
  </si>
  <si>
    <t>Phase</t>
  </si>
  <si>
    <t>Raiting</t>
  </si>
  <si>
    <t>A1</t>
  </si>
  <si>
    <t>A2</t>
  </si>
  <si>
    <t>B1</t>
  </si>
  <si>
    <t>B2</t>
  </si>
  <si>
    <t>C</t>
  </si>
  <si>
    <t>CA (Crown Agents)</t>
  </si>
  <si>
    <t>DEL (Deloitte)</t>
  </si>
  <si>
    <t>DTT (DTT Emerging Markets)</t>
  </si>
  <si>
    <t>FIN (Finconsult)</t>
  </si>
  <si>
    <t>GT (Grant Thornton)</t>
  </si>
  <si>
    <t>H-C (Hodar-Conseil)</t>
  </si>
  <si>
    <t>KPMG (KPMG)</t>
  </si>
  <si>
    <t>MSCI (MSCI)</t>
  </si>
  <si>
    <t>PwC (PricewaterhouseCoopers)</t>
  </si>
  <si>
    <t xml:space="preserve">STI (Swiss Tropical Institute), </t>
  </si>
  <si>
    <t>Total</t>
  </si>
  <si>
    <t>Disbursement</t>
  </si>
  <si>
    <t>Expected (days)</t>
  </si>
  <si>
    <t>Actual (days)</t>
  </si>
  <si>
    <t>Financial Indicators</t>
  </si>
  <si>
    <t>Planned</t>
  </si>
  <si>
    <t>Vacant</t>
  </si>
  <si>
    <t>#  Expected</t>
  </si>
  <si>
    <t># Received</t>
  </si>
  <si>
    <t>Assessed</t>
  </si>
  <si>
    <t>Signed</t>
  </si>
  <si>
    <t>Management Indicators</t>
  </si>
  <si>
    <t>NVP</t>
  </si>
  <si>
    <t>3TC</t>
  </si>
  <si>
    <t>D4T</t>
  </si>
  <si>
    <t>AZT</t>
  </si>
  <si>
    <t>DDI</t>
  </si>
  <si>
    <t>EFV</t>
  </si>
  <si>
    <t>AS/MQ</t>
  </si>
  <si>
    <t>AS/LF</t>
  </si>
  <si>
    <t>AS/AQ</t>
  </si>
  <si>
    <t>Products</t>
  </si>
  <si>
    <t>Peru</t>
  </si>
  <si>
    <t>Filled</t>
  </si>
  <si>
    <t>Approved</t>
  </si>
  <si>
    <t>HIVAIDS / TB</t>
  </si>
  <si>
    <t>HSS</t>
  </si>
  <si>
    <t>Target</t>
  </si>
  <si>
    <t xml:space="preserve">Achieved </t>
  </si>
  <si>
    <t>Medicaments</t>
  </si>
  <si>
    <t>Indicators</t>
  </si>
  <si>
    <t>Achieved</t>
  </si>
  <si>
    <t>min</t>
  </si>
  <si>
    <t>max</t>
  </si>
  <si>
    <t>Comments</t>
  </si>
  <si>
    <t xml:space="preserve">Financial </t>
  </si>
  <si>
    <t>Management</t>
  </si>
  <si>
    <t>What is the overall status of this grant implementation?</t>
  </si>
  <si>
    <t>Due Date</t>
  </si>
  <si>
    <t>Summary Comments</t>
  </si>
  <si>
    <t>Are all funds reaching implementation levels and being spent according to budget?</t>
  </si>
  <si>
    <t>Are technical targets being achieved?</t>
  </si>
  <si>
    <t>Are procurement and hiring on schedule?</t>
  </si>
  <si>
    <t>F1</t>
  </si>
  <si>
    <t>F2</t>
  </si>
  <si>
    <t>F3</t>
  </si>
  <si>
    <t>F4</t>
  </si>
  <si>
    <t>P1</t>
  </si>
  <si>
    <t>P2</t>
  </si>
  <si>
    <t>P3</t>
  </si>
  <si>
    <t>P4</t>
  </si>
  <si>
    <t>M1</t>
  </si>
  <si>
    <t>M2</t>
  </si>
  <si>
    <t>M3</t>
  </si>
  <si>
    <t>M4</t>
  </si>
  <si>
    <t>M5</t>
  </si>
  <si>
    <t>Yes</t>
  </si>
  <si>
    <t>M6</t>
  </si>
  <si>
    <t>Grant No.:</t>
  </si>
  <si>
    <t>Fulfilled</t>
  </si>
  <si>
    <t>Not fulfilled, and past the deadline</t>
  </si>
  <si>
    <t>Receiving Funding</t>
  </si>
  <si>
    <t>P5</t>
  </si>
  <si>
    <t>P6</t>
  </si>
  <si>
    <t>P7</t>
  </si>
  <si>
    <t>P8</t>
  </si>
  <si>
    <t>P9</t>
  </si>
  <si>
    <t>P10</t>
  </si>
  <si>
    <t>P11</t>
  </si>
  <si>
    <t>SRs</t>
  </si>
  <si>
    <t>CCM Decision</t>
  </si>
  <si>
    <t>Countries</t>
  </si>
  <si>
    <t>Afghanistan</t>
  </si>
  <si>
    <t>Albania</t>
  </si>
  <si>
    <t>Algeria</t>
  </si>
  <si>
    <t>Angola</t>
  </si>
  <si>
    <t>Argentina</t>
  </si>
  <si>
    <t>Armenia</t>
  </si>
  <si>
    <t>Azerbaijan</t>
  </si>
  <si>
    <t>Bangladesh</t>
  </si>
  <si>
    <t>Belarus</t>
  </si>
  <si>
    <t>Belize</t>
  </si>
  <si>
    <t>Benin</t>
  </si>
  <si>
    <t>Bhutan</t>
  </si>
  <si>
    <t>Bolivia</t>
  </si>
  <si>
    <t>Bosnia and Herzegovina</t>
  </si>
  <si>
    <t>Botswana</t>
  </si>
  <si>
    <t>Brazil</t>
  </si>
  <si>
    <t>Bulgaria</t>
  </si>
  <si>
    <t>Burkina Faso</t>
  </si>
  <si>
    <t>Burundi</t>
  </si>
  <si>
    <t>Cambodia</t>
  </si>
  <si>
    <t>Cameroon</t>
  </si>
  <si>
    <t>Cape Verde</t>
  </si>
  <si>
    <t>Central African Republic</t>
  </si>
  <si>
    <t>Chad</t>
  </si>
  <si>
    <t>Chile</t>
  </si>
  <si>
    <t>China</t>
  </si>
  <si>
    <t>Colombia</t>
  </si>
  <si>
    <t>Comoros</t>
  </si>
  <si>
    <t>Congo (Democratic Republic of the)</t>
  </si>
  <si>
    <t>Congo (Republic of the)</t>
  </si>
  <si>
    <t>Costa Rica</t>
  </si>
  <si>
    <t>Cote d'Ivoire</t>
  </si>
  <si>
    <t>Croatia</t>
  </si>
  <si>
    <t>Cuba</t>
  </si>
  <si>
    <t>Djibouti</t>
  </si>
  <si>
    <t>Dominican Republic</t>
  </si>
  <si>
    <t>Ecuador</t>
  </si>
  <si>
    <t>Egypt</t>
  </si>
  <si>
    <t>El Salvador</t>
  </si>
  <si>
    <t>Equatorial Guinea</t>
  </si>
  <si>
    <t>Eritrea</t>
  </si>
  <si>
    <t>Estonia</t>
  </si>
  <si>
    <t>Ethiopia</t>
  </si>
  <si>
    <t>Fiji</t>
  </si>
  <si>
    <t>Gabon</t>
  </si>
  <si>
    <t>Gambia</t>
  </si>
  <si>
    <t>Georgia</t>
  </si>
  <si>
    <t>Ghana</t>
  </si>
  <si>
    <t>Global(LWF)</t>
  </si>
  <si>
    <t>Guatemala</t>
  </si>
  <si>
    <t>Guinea</t>
  </si>
  <si>
    <t>Guinea-Bissau</t>
  </si>
  <si>
    <t>Guyana</t>
  </si>
  <si>
    <t>Haiti</t>
  </si>
  <si>
    <t>Honduras</t>
  </si>
  <si>
    <t>India</t>
  </si>
  <si>
    <t>Indonesia</t>
  </si>
  <si>
    <t>Iran (Islamic Republic of)</t>
  </si>
  <si>
    <t>Iraq</t>
  </si>
  <si>
    <t>Jamaica</t>
  </si>
  <si>
    <t>Jordan</t>
  </si>
  <si>
    <t>Kazakhstan</t>
  </si>
  <si>
    <t>Kenya</t>
  </si>
  <si>
    <t>Korea, Democratic Peoples Republic of</t>
  </si>
  <si>
    <t>Kosovo (Serbia)</t>
  </si>
  <si>
    <t>Kyrgyzstan</t>
  </si>
  <si>
    <t>Lao PDR</t>
  </si>
  <si>
    <t>Lesotho</t>
  </si>
  <si>
    <t>Liberia</t>
  </si>
  <si>
    <t>Macedonia, FYR</t>
  </si>
  <si>
    <t>Madagascar</t>
  </si>
  <si>
    <t>Malawi</t>
  </si>
  <si>
    <t>Maldives</t>
  </si>
  <si>
    <t>Mali</t>
  </si>
  <si>
    <t>Mauritania</t>
  </si>
  <si>
    <t>Mauritius</t>
  </si>
  <si>
    <t>Moldova</t>
  </si>
  <si>
    <t>Mongolia</t>
  </si>
  <si>
    <t>Montenegro</t>
  </si>
  <si>
    <t>Morocco</t>
  </si>
  <si>
    <t>Mozambique</t>
  </si>
  <si>
    <t>Multi-country Africa (West Africa Corridor Program)</t>
  </si>
  <si>
    <t>Multi-country Africa(RMCC)</t>
  </si>
  <si>
    <t>Multi-country Americas (Andean)</t>
  </si>
  <si>
    <t>Multi-country Americas (CARICOM)</t>
  </si>
  <si>
    <t>Multi-country Americas (CRN+)</t>
  </si>
  <si>
    <t>Multi-country Americas (Meso)</t>
  </si>
  <si>
    <t>Multi-country Americas (OECS)</t>
  </si>
  <si>
    <t>Multi-country Americas (REDCA+)</t>
  </si>
  <si>
    <t>Multi-country Western Pacific</t>
  </si>
  <si>
    <t>Myanmar</t>
  </si>
  <si>
    <t>Namibia</t>
  </si>
  <si>
    <t>Nepal</t>
  </si>
  <si>
    <t>Nicaragua</t>
  </si>
  <si>
    <t>Niger</t>
  </si>
  <si>
    <t>Nigeria</t>
  </si>
  <si>
    <t>Pakistan</t>
  </si>
  <si>
    <t>Panama</t>
  </si>
  <si>
    <t>Papua New Guinea</t>
  </si>
  <si>
    <t>Paraguay</t>
  </si>
  <si>
    <t>Philippines</t>
  </si>
  <si>
    <t>Romania</t>
  </si>
  <si>
    <t>Russian Federation</t>
  </si>
  <si>
    <t>Rwanda</t>
  </si>
  <si>
    <t>Sao Tome and Principe</t>
  </si>
  <si>
    <t>Senegal</t>
  </si>
  <si>
    <t>Serbia</t>
  </si>
  <si>
    <t>Sierra Leone</t>
  </si>
  <si>
    <t>Solomon Islands</t>
  </si>
  <si>
    <t>Somalia</t>
  </si>
  <si>
    <t>South Africa</t>
  </si>
  <si>
    <t>Sri Lanka</t>
  </si>
  <si>
    <t>Sudan</t>
  </si>
  <si>
    <t>Suriname</t>
  </si>
  <si>
    <t>Swaziland</t>
  </si>
  <si>
    <t>Syrian Arab Republic</t>
  </si>
  <si>
    <t>Tajikistan</t>
  </si>
  <si>
    <t>Tanzania</t>
  </si>
  <si>
    <t>Thailand</t>
  </si>
  <si>
    <t>Timor-Leste</t>
  </si>
  <si>
    <t>Togo</t>
  </si>
  <si>
    <t>Tunisia</t>
  </si>
  <si>
    <t>Turkey</t>
  </si>
  <si>
    <t>Uganda</t>
  </si>
  <si>
    <t>Ukraine</t>
  </si>
  <si>
    <t>UN Theme Group on HIV/AIDS (West Bank and Gaza)</t>
  </si>
  <si>
    <t>Uzbekistan</t>
  </si>
  <si>
    <t>Viet Nam</t>
  </si>
  <si>
    <t>Yemen</t>
  </si>
  <si>
    <t>Zambia</t>
  </si>
  <si>
    <t>Zanzibar (Tanzania)</t>
  </si>
  <si>
    <t>Zimbabwe</t>
  </si>
  <si>
    <t>UNOPS</t>
  </si>
  <si>
    <t>Management Information:</t>
  </si>
  <si>
    <t>Valor</t>
  </si>
  <si>
    <t>Rating</t>
  </si>
  <si>
    <t>from:</t>
  </si>
  <si>
    <t>Reporting period</t>
  </si>
  <si>
    <t>Principal Recipient:</t>
  </si>
  <si>
    <t>Disbursed to SRs</t>
  </si>
  <si>
    <t>SR expenditures</t>
  </si>
  <si>
    <t>RDT</t>
  </si>
  <si>
    <t>Name:</t>
  </si>
  <si>
    <t>Definition</t>
  </si>
  <si>
    <t>Measurement</t>
  </si>
  <si>
    <t>Data Source</t>
  </si>
  <si>
    <t>Currency of the grant ($ or Euro)</t>
  </si>
  <si>
    <t>PR, LFA, GF emails and records;  bank notification document or the notice of receipt by the PR to GF; SR reports to PR based on bank records</t>
  </si>
  <si>
    <t>PR records</t>
  </si>
  <si>
    <t>Number, in current reporting period</t>
  </si>
  <si>
    <t>PR and SR records</t>
  </si>
  <si>
    <t>Grant agreement approved budget (for categories 4 and 5 of Enhanced Finance Reporting in current phase); and PR financial data (for expenditures), and/or PSM unit (for orders placed and funding committed or obligated).</t>
  </si>
  <si>
    <r>
      <t xml:space="preserve">Number of Conditions Precedent (CPs) and Time Bound Actions (TBAs ) fulfilled, or unfulfilled. 
</t>
    </r>
    <r>
      <rPr>
        <sz val="11"/>
        <color indexed="8"/>
        <rFont val="Arial"/>
        <family val="2"/>
      </rPr>
      <t>Within the Unfulfilled category, we distinguish between those CPs and TBAs whose deadline has not passed and those for which the deadline has passed.</t>
    </r>
  </si>
  <si>
    <t>Financial information</t>
  </si>
  <si>
    <t>Management Information</t>
  </si>
  <si>
    <t>Performance Framework</t>
  </si>
  <si>
    <t>Period</t>
  </si>
  <si>
    <t>P12</t>
  </si>
  <si>
    <t>Pending</t>
  </si>
  <si>
    <t>Fund Portfolio Manager:</t>
  </si>
  <si>
    <t>PR expenditure and disbursement</t>
  </si>
  <si>
    <t>Identified</t>
  </si>
  <si>
    <t>Person Responsible</t>
  </si>
  <si>
    <t>LFA</t>
  </si>
  <si>
    <t xml:space="preserve">Date </t>
  </si>
  <si>
    <t xml:space="preserve">The indicators should be selected by the PRs and members of the CCM or the CCM Technical Committee, from the Performance Framework </t>
  </si>
  <si>
    <t>Not fulfilled, but within deadline</t>
  </si>
  <si>
    <t>Programmatic Indicators (from Performance Framework)</t>
  </si>
  <si>
    <t>Indicator Number: Name (Perf Framework No.)</t>
  </si>
  <si>
    <t>Isoniazid</t>
  </si>
  <si>
    <t>Ethambutol</t>
  </si>
  <si>
    <t>Rifampicin</t>
  </si>
  <si>
    <t>Pyrazimamide</t>
  </si>
  <si>
    <t>Definition  (from M&amp;E Plan, June 2007)</t>
  </si>
  <si>
    <t xml:space="preserve">     Enter management data in every blue cell.</t>
  </si>
  <si>
    <t>Key Recommendations from Oversight Group(s)</t>
  </si>
  <si>
    <t>Current  Reporting  Period</t>
  </si>
  <si>
    <t>Previous  Reporting  Period</t>
  </si>
  <si>
    <t xml:space="preserve">Last fund disbursement: Calendar days </t>
  </si>
  <si>
    <t>E-PAP</t>
  </si>
  <si>
    <t>Al/Lum</t>
  </si>
  <si>
    <t>Disbursed by Global Fund</t>
  </si>
  <si>
    <t>PMU</t>
  </si>
  <si>
    <t>Expenditures</t>
  </si>
  <si>
    <t>TB nutri'l supplements</t>
  </si>
  <si>
    <t>Recommendations</t>
  </si>
  <si>
    <t>P1 - trend</t>
  </si>
  <si>
    <t>P2 - trend</t>
  </si>
  <si>
    <t>P3 - trend</t>
  </si>
  <si>
    <t>Set-up = List of validation for Grant Detail page</t>
  </si>
  <si>
    <t>Action Taken</t>
  </si>
  <si>
    <t>Total Funding:</t>
  </si>
  <si>
    <t>Phase:</t>
  </si>
  <si>
    <t>Round:</t>
  </si>
  <si>
    <t>From:</t>
  </si>
  <si>
    <t>Date of entry  of information:</t>
  </si>
  <si>
    <t xml:space="preserve">     Enter finance data in every orange cell like this.</t>
  </si>
  <si>
    <t>Code</t>
  </si>
  <si>
    <t>Grant No.</t>
  </si>
  <si>
    <t>Total Funding</t>
  </si>
  <si>
    <t>Difference between current stock and safety stock</t>
  </si>
  <si>
    <t>Months of safety stock</t>
  </si>
  <si>
    <t>0% - 59%</t>
  </si>
  <si>
    <t>60% - 89%</t>
  </si>
  <si>
    <t>&gt; 90%</t>
  </si>
  <si>
    <t>Actions to Implement / Previous Period</t>
  </si>
  <si>
    <t>(2 = 1 x 30)
Monthly treatment 
(Tablets per patient x 30 days)</t>
  </si>
  <si>
    <t>(3)
Total patients in treatment</t>
  </si>
  <si>
    <t>(4 = 2 x 3)
Total # tab/pills required for all patients per month</t>
  </si>
  <si>
    <t>(5)
Current stock in central warehouse (that does not expire within the next 3 months)</t>
  </si>
  <si>
    <t>(6 = 5 / 4)
Stock level expressed in months of treatment for all current patients</t>
  </si>
  <si>
    <t xml:space="preserve">(7)
Level of safety stock
(expressed in months and defined by country) </t>
  </si>
  <si>
    <t>(8 = 6 - 7)
Difference between current stock and safety stock</t>
  </si>
  <si>
    <t>Stock level expressed in months of treatment for all current patients</t>
  </si>
  <si>
    <t>Directly Tied?</t>
  </si>
  <si>
    <t>Indicator</t>
  </si>
  <si>
    <t xml:space="preserve">Last fund disbursement: Number of calendar days </t>
  </si>
  <si>
    <t>Data Sources</t>
  </si>
  <si>
    <t>Currency of the grant ($ or Euro) Cumulative  – Figures refer to budget and disbursements for all the periods of the phase up to and including the dashboard reporting period</t>
  </si>
  <si>
    <t>PU/DR; PR data: SR reports to PR</t>
  </si>
  <si>
    <t>• Cumulative  – Figures refer to budget, disbursements or expenditure for all the periods of the phase up to and including the dashboard reporting period.</t>
  </si>
  <si>
    <t>Number, cumulative to the dashboard reporting period. Number of fulfilled CPs and/or TBAs plus unfulfilled CPs and/or TBAs should equal the total number set by the Global Fund on the grant</t>
  </si>
  <si>
    <t>PR records; Grant Performance Reports;</t>
  </si>
  <si>
    <t>Number, cumulative to the reporting period. A SR is an institution or program with its own workplan, budget and performance targets.</t>
  </si>
  <si>
    <t>PR records; Sub-agreements/MOUs; CCM records</t>
  </si>
  <si>
    <r>
      <t xml:space="preserve">Note: </t>
    </r>
    <r>
      <rPr>
        <sz val="11"/>
        <color indexed="8"/>
        <rFont val="Arial"/>
        <family val="2"/>
      </rPr>
      <t xml:space="preserve">Category 6 of the EFR will not be considered as part of the budget for pharmaceuticals. Category 6 has several expenditures that are difficult to disaggregate or quantify, such as warehousing costs, distribution costs (particularly when distibution is done by MOHs), and others that are related to operational costs of the PSM component. </t>
    </r>
  </si>
  <si>
    <r>
      <t xml:space="preserve">Cumulative Budget per Objective:  </t>
    </r>
    <r>
      <rPr>
        <sz val="11"/>
        <color indexed="8"/>
        <rFont val="Arial"/>
        <family val="2"/>
      </rPr>
      <t xml:space="preserve">Sum of the grant budget </t>
    </r>
    <r>
      <rPr>
        <b/>
        <i/>
        <sz val="11"/>
        <color indexed="8"/>
        <rFont val="Arial"/>
        <family val="2"/>
      </rPr>
      <t>by Objective</t>
    </r>
    <r>
      <rPr>
        <sz val="11"/>
        <color indexed="8"/>
        <rFont val="Arial"/>
        <family val="2"/>
      </rPr>
      <t xml:space="preserve">, from period one of the current phase </t>
    </r>
    <r>
      <rPr>
        <b/>
        <i/>
        <sz val="11"/>
        <color indexed="8"/>
        <rFont val="Arial"/>
        <family val="2"/>
      </rPr>
      <t>up to and including</t>
    </r>
    <r>
      <rPr>
        <sz val="11"/>
        <color indexed="8"/>
        <rFont val="Arial"/>
        <family val="2"/>
      </rPr>
      <t xml:space="preserve"> the dashboard reporting period. </t>
    </r>
    <r>
      <rPr>
        <b/>
        <sz val="11"/>
        <color indexed="8"/>
        <rFont val="Arial"/>
        <family val="2"/>
      </rPr>
      <t xml:space="preserve">
Cumulative Expenditure per Objective:</t>
    </r>
    <r>
      <rPr>
        <sz val="11"/>
        <color indexed="8"/>
        <rFont val="Arial"/>
        <family val="2"/>
      </rPr>
      <t xml:space="preserve"> Sum of</t>
    </r>
    <r>
      <rPr>
        <b/>
        <sz val="11"/>
        <color indexed="8"/>
        <rFont val="Arial"/>
        <family val="2"/>
      </rPr>
      <t xml:space="preserve"> </t>
    </r>
    <r>
      <rPr>
        <sz val="11"/>
        <color indexed="8"/>
        <rFont val="Arial"/>
        <family val="2"/>
      </rPr>
      <t xml:space="preserve">amounts spent </t>
    </r>
    <r>
      <rPr>
        <b/>
        <i/>
        <sz val="11"/>
        <color indexed="8"/>
        <rFont val="Arial"/>
        <family val="2"/>
      </rPr>
      <t>by Objective</t>
    </r>
    <r>
      <rPr>
        <sz val="11"/>
        <color indexed="8"/>
        <rFont val="Arial"/>
        <family val="2"/>
      </rPr>
      <t xml:space="preserve"> directly by the PR plus the amounts transferred by the PR to all SRs from the beginning of the phase </t>
    </r>
    <r>
      <rPr>
        <b/>
        <i/>
        <sz val="11"/>
        <color indexed="8"/>
        <rFont val="Arial"/>
        <family val="2"/>
      </rPr>
      <t>up to and including</t>
    </r>
    <r>
      <rPr>
        <sz val="11"/>
        <color indexed="8"/>
        <rFont val="Arial"/>
        <family val="2"/>
      </rPr>
      <t xml:space="preserve"> dashboard reporting period, by Objective</t>
    </r>
  </si>
  <si>
    <r>
      <t xml:space="preserve">Currency of the grant ($ or Euro)
• Reporting period – Figures refer to budget, disbursements or expenditure for the reporting period to which the dashboard refers.
• Prior to reporting period - Figures refer to the total budget, disbursements or expenditure for all the periods before </t>
    </r>
    <r>
      <rPr>
        <b/>
        <i/>
        <sz val="11"/>
        <color indexed="8"/>
        <rFont val="Arial"/>
        <family val="2"/>
      </rPr>
      <t>but not including</t>
    </r>
    <r>
      <rPr>
        <sz val="11"/>
        <color indexed="8"/>
        <rFont val="Arial"/>
        <family val="2"/>
      </rPr>
      <t xml:space="preserve"> the current period.</t>
    </r>
  </si>
  <si>
    <r>
      <t xml:space="preserve">Number of calendar days; it refers only to reporting period for which the latest disbursement was received and is </t>
    </r>
    <r>
      <rPr>
        <b/>
        <sz val="11"/>
        <color indexed="8"/>
        <rFont val="Arial"/>
        <family val="2"/>
      </rPr>
      <t>not cumulative</t>
    </r>
  </si>
  <si>
    <r>
      <t xml:space="preserve">Number of reports received. The figure reflects only the period of reporting; it is </t>
    </r>
    <r>
      <rPr>
        <b/>
        <i/>
        <sz val="11"/>
        <color indexed="8"/>
        <rFont val="Arial"/>
        <family val="2"/>
      </rPr>
      <t>not cumulative.</t>
    </r>
  </si>
  <si>
    <r>
      <t xml:space="preserve">This indicator measures the budget approved for the current phase of the grant for purchase of health products and equipment and pharmaceuticals and medicines (categories 4 and 5 in the new Enhanced Financial Report), and the cumulative amounts of financial obligations and expenditures up to the dashboard reporting period. 
Budget </t>
    </r>
    <r>
      <rPr>
        <b/>
        <sz val="11"/>
        <color indexed="8"/>
        <rFont val="Arial"/>
        <family val="2"/>
      </rPr>
      <t xml:space="preserve">approved: </t>
    </r>
    <r>
      <rPr>
        <sz val="11"/>
        <color indexed="8"/>
        <rFont val="Arial"/>
        <family val="2"/>
      </rPr>
      <t xml:space="preserve">Total approved budget for purchases (categories 4 and 5) </t>
    </r>
    <r>
      <rPr>
        <b/>
        <i/>
        <sz val="11"/>
        <color indexed="8"/>
        <rFont val="Arial"/>
        <family val="2"/>
      </rPr>
      <t>for the entire phase</t>
    </r>
    <r>
      <rPr>
        <i/>
        <sz val="11"/>
        <color indexed="8"/>
        <rFont val="Arial"/>
        <family val="2"/>
      </rPr>
      <t xml:space="preserve"> </t>
    </r>
    <r>
      <rPr>
        <sz val="11"/>
        <color indexed="8"/>
        <rFont val="Arial"/>
        <family val="2"/>
      </rPr>
      <t xml:space="preserve">of the grant. It does not include the amounts for fees, management, operational costs, etc.
</t>
    </r>
    <r>
      <rPr>
        <b/>
        <sz val="11"/>
        <color indexed="8"/>
        <rFont val="Arial"/>
        <family val="2"/>
      </rPr>
      <t>Cumulative Obligations:</t>
    </r>
    <r>
      <rPr>
        <sz val="11"/>
        <color indexed="8"/>
        <rFont val="Arial"/>
        <family val="2"/>
      </rPr>
      <t xml:space="preserve"> Total of all order(s) placed and monies committed for these purchases by the PR </t>
    </r>
    <r>
      <rPr>
        <b/>
        <i/>
        <sz val="11"/>
        <color indexed="8"/>
        <rFont val="Arial"/>
        <family val="2"/>
      </rPr>
      <t xml:space="preserve">up to and including </t>
    </r>
    <r>
      <rPr>
        <sz val="11"/>
        <color indexed="8"/>
        <rFont val="Arial"/>
        <family val="2"/>
      </rPr>
      <t xml:space="preserve">the dashboard reporting period. Ideally, by the end of the Phase, budget should equal obligations.
</t>
    </r>
    <r>
      <rPr>
        <b/>
        <sz val="11"/>
        <color indexed="8"/>
        <rFont val="Arial"/>
        <family val="2"/>
      </rPr>
      <t>Cumulative expenditure:</t>
    </r>
    <r>
      <rPr>
        <sz val="11"/>
        <color indexed="8"/>
        <rFont val="Arial"/>
        <family val="2"/>
      </rPr>
      <t xml:space="preserve"> Total of actual Expenditures on category 4 and 5 </t>
    </r>
    <r>
      <rPr>
        <b/>
        <i/>
        <sz val="11"/>
        <color indexed="8"/>
        <rFont val="Arial"/>
        <family val="2"/>
      </rPr>
      <t>up to and including</t>
    </r>
    <r>
      <rPr>
        <sz val="11"/>
        <color indexed="8"/>
        <rFont val="Arial"/>
        <family val="2"/>
      </rPr>
      <t xml:space="preserve"> the dashboard reporting period (whether paid by PR or authorized to be paid by another entity like GF or other).</t>
    </r>
  </si>
  <si>
    <t>Number of months</t>
  </si>
  <si>
    <t>Information on indicators</t>
  </si>
  <si>
    <t>Days taken for disbursement to reach PR</t>
  </si>
  <si>
    <t xml:space="preserve">Days taken for disbursement to reach SRs </t>
  </si>
  <si>
    <t>Obligations</t>
  </si>
  <si>
    <t>PR records: Warehouse data.</t>
  </si>
  <si>
    <t>Budget Approved*</t>
  </si>
  <si>
    <t>Round 10</t>
  </si>
  <si>
    <t>Currency of the grant</t>
  </si>
  <si>
    <t xml:space="preserve">     Enter performance data in every yellow cell.</t>
  </si>
  <si>
    <t>Decisions and Actions</t>
  </si>
  <si>
    <t>Please Select</t>
  </si>
  <si>
    <t>Grant information</t>
  </si>
  <si>
    <t>TOP 3</t>
  </si>
  <si>
    <t>Prior to reporting period</t>
  </si>
  <si>
    <t>Current reporting period</t>
  </si>
  <si>
    <t>F3: Disbursements and expenditures</t>
  </si>
  <si>
    <t>F2: Budget and actual expenditures by Grant Objective</t>
  </si>
  <si>
    <t>F1: Budget and disbursements by Global Fund</t>
  </si>
  <si>
    <t>F4: Latest PR reporting and disbursement cycle</t>
  </si>
  <si>
    <t>M1: Status of Conditions Precedent (CPs) and Time Bound Actions (TBAs)</t>
  </si>
  <si>
    <t>M2: Status of key PR management positions</t>
  </si>
  <si>
    <t>M4: Number of complete reports received on time</t>
  </si>
  <si>
    <t>M6: Difference between current and safety stock</t>
  </si>
  <si>
    <t>Cumulative budget</t>
  </si>
  <si>
    <t>Cumulative disbursements</t>
  </si>
  <si>
    <t xml:space="preserve">M3: Contractual arrangements (SRs) </t>
  </si>
  <si>
    <t>SSR to SR</t>
  </si>
  <si>
    <t>SRs to PR</t>
  </si>
  <si>
    <t>M5: Budget and Procurement of health products, health equipment, medicines and pharmaceuticals</t>
  </si>
  <si>
    <t>Programmatic Information:</t>
  </si>
  <si>
    <t>Programmatic Indicators</t>
  </si>
  <si>
    <r>
      <t xml:space="preserve">Cumulative budget: </t>
    </r>
    <r>
      <rPr>
        <sz val="11"/>
        <color indexed="8"/>
        <rFont val="Arial"/>
        <family val="2"/>
      </rPr>
      <t xml:space="preserve">Sum of the grant budget from period one (quarter, trimester, or semester) of the current phase, </t>
    </r>
    <r>
      <rPr>
        <b/>
        <i/>
        <sz val="11"/>
        <color indexed="8"/>
        <rFont val="Arial"/>
        <family val="2"/>
      </rPr>
      <t>up to and including</t>
    </r>
    <r>
      <rPr>
        <sz val="11"/>
        <color indexed="8"/>
        <rFont val="Arial"/>
        <family val="2"/>
      </rPr>
      <t xml:space="preserve"> the dashboard reporting period.</t>
    </r>
    <r>
      <rPr>
        <b/>
        <sz val="11"/>
        <color indexed="8"/>
        <rFont val="Arial"/>
        <family val="2"/>
      </rPr>
      <t xml:space="preserve">
Cumulative Disbursments by GF:</t>
    </r>
    <r>
      <rPr>
        <sz val="11"/>
        <color indexed="8"/>
        <rFont val="Arial"/>
        <family val="2"/>
      </rPr>
      <t xml:space="preserve"> Sum of all the funds transferred by the GF to either the PR or paid directly to suppliers (e.g. drugs, equipment, bed nets), </t>
    </r>
    <r>
      <rPr>
        <b/>
        <i/>
        <sz val="11"/>
        <color indexed="8"/>
        <rFont val="Arial"/>
        <family val="2"/>
      </rPr>
      <t>up to and including</t>
    </r>
    <r>
      <rPr>
        <b/>
        <sz val="11"/>
        <color indexed="8"/>
        <rFont val="Arial"/>
        <family val="2"/>
      </rPr>
      <t xml:space="preserve"> </t>
    </r>
    <r>
      <rPr>
        <sz val="11"/>
        <color indexed="8"/>
        <rFont val="Arial"/>
        <family val="2"/>
      </rPr>
      <t>the dasboard reporting period.</t>
    </r>
  </si>
  <si>
    <t>PR banking or accounting information; TGF disbursment notification; PU/DR; GF website</t>
  </si>
  <si>
    <r>
      <t>Disbursement by GF: Prior to this Reporting period:</t>
    </r>
    <r>
      <rPr>
        <sz val="11"/>
        <color indexed="8"/>
        <rFont val="Arial"/>
        <family val="2"/>
      </rPr>
      <t xml:space="preserve"> Sum of amounts transferred by the GF to either the PR or paid directly to suppliers (e.g. drugs, equipment, bed nets), up to </t>
    </r>
    <r>
      <rPr>
        <b/>
        <i/>
        <sz val="11"/>
        <color indexed="8"/>
        <rFont val="Arial"/>
        <family val="2"/>
      </rPr>
      <t>but not including</t>
    </r>
    <r>
      <rPr>
        <sz val="11"/>
        <color indexed="8"/>
        <rFont val="Arial"/>
        <family val="2"/>
      </rPr>
      <t xml:space="preserve"> dashboard reporting period. </t>
    </r>
    <r>
      <rPr>
        <b/>
        <sz val="11"/>
        <color indexed="8"/>
        <rFont val="Arial"/>
        <family val="2"/>
      </rPr>
      <t>Disbursement by GF: Reporting period:</t>
    </r>
    <r>
      <rPr>
        <sz val="11"/>
        <color indexed="8"/>
        <rFont val="Arial"/>
        <family val="2"/>
      </rPr>
      <t xml:space="preserve"> Sum of amounts transferred by the GF to either the PR or paid directly to suppliers (e.g. drugs, equipment, bed nets), during dashboard reporting period. 
</t>
    </r>
    <r>
      <rPr>
        <b/>
        <sz val="11"/>
        <color indexed="8"/>
        <rFont val="Arial"/>
        <family val="2"/>
      </rPr>
      <t>PR disbursements and expenditure:</t>
    </r>
    <r>
      <rPr>
        <sz val="11"/>
        <color indexed="8"/>
        <rFont val="Arial"/>
        <family val="2"/>
      </rPr>
      <t xml:space="preserve">  </t>
    </r>
    <r>
      <rPr>
        <b/>
        <sz val="11"/>
        <color indexed="8"/>
        <rFont val="Arial"/>
        <family val="2"/>
      </rPr>
      <t>Prior to this Reporting period:</t>
    </r>
    <r>
      <rPr>
        <sz val="11"/>
        <color indexed="8"/>
        <rFont val="Arial"/>
        <family val="2"/>
      </rPr>
      <t xml:space="preserve"> Total funds reported as being spent by the PR and/or disbursed to the Sub Recipients (SRs) up to </t>
    </r>
    <r>
      <rPr>
        <b/>
        <i/>
        <sz val="11"/>
        <color indexed="8"/>
        <rFont val="Arial"/>
        <family val="2"/>
      </rPr>
      <t xml:space="preserve">but not including </t>
    </r>
    <r>
      <rPr>
        <sz val="11"/>
        <color indexed="8"/>
        <rFont val="Arial"/>
        <family val="2"/>
      </rPr>
      <t>dashboard reporting period.</t>
    </r>
    <r>
      <rPr>
        <b/>
        <sz val="11"/>
        <color indexed="8"/>
        <rFont val="Arial"/>
        <family val="2"/>
      </rPr>
      <t xml:space="preserve"> PR disbursements and expenditure:  Reporting period:</t>
    </r>
    <r>
      <rPr>
        <sz val="11"/>
        <color indexed="8"/>
        <rFont val="Arial"/>
        <family val="2"/>
      </rPr>
      <t xml:space="preserve"> Total funds reported as being spent by the PR and/or disbursed to the Sub Recipients (SRs) during dashboard reporting period.</t>
    </r>
    <r>
      <rPr>
        <b/>
        <sz val="11"/>
        <color indexed="8"/>
        <rFont val="Arial"/>
        <family val="2"/>
      </rPr>
      <t xml:space="preserve">
Disbursements to SRs: Prior to this Reporting period: </t>
    </r>
    <r>
      <rPr>
        <sz val="11"/>
        <color indexed="8"/>
        <rFont val="Arial"/>
        <family val="2"/>
      </rPr>
      <t xml:space="preserve">The total amount transferred by the PR to Sub Recipients (SRs), up to </t>
    </r>
    <r>
      <rPr>
        <b/>
        <i/>
        <sz val="11"/>
        <color indexed="8"/>
        <rFont val="Arial"/>
        <family val="2"/>
      </rPr>
      <t>but not including</t>
    </r>
    <r>
      <rPr>
        <sz val="11"/>
        <color indexed="8"/>
        <rFont val="Arial"/>
        <family val="2"/>
      </rPr>
      <t xml:space="preserve"> dashboard reporting period. </t>
    </r>
    <r>
      <rPr>
        <b/>
        <sz val="11"/>
        <color indexed="8"/>
        <rFont val="Arial"/>
        <family val="2"/>
      </rPr>
      <t xml:space="preserve">Disbursements to SRs:Reporting period: </t>
    </r>
    <r>
      <rPr>
        <sz val="11"/>
        <color indexed="8"/>
        <rFont val="Arial"/>
        <family val="2"/>
      </rPr>
      <t>The total amount transferred by the PR to Sub Recipients (SRs), in dashboard reporting period.</t>
    </r>
    <r>
      <rPr>
        <b/>
        <sz val="11"/>
        <color indexed="8"/>
        <rFont val="Arial"/>
        <family val="2"/>
      </rPr>
      <t xml:space="preserve">
SR expenditures: Prior to this Reporting period: </t>
    </r>
    <r>
      <rPr>
        <sz val="11"/>
        <color indexed="8"/>
        <rFont val="Arial"/>
        <family val="2"/>
      </rPr>
      <t xml:space="preserve">The sum of all expenditures reported by the SRs, up to </t>
    </r>
    <r>
      <rPr>
        <b/>
        <i/>
        <sz val="11"/>
        <color indexed="8"/>
        <rFont val="Arial"/>
        <family val="2"/>
      </rPr>
      <t xml:space="preserve">but not including </t>
    </r>
    <r>
      <rPr>
        <sz val="11"/>
        <color indexed="8"/>
        <rFont val="Arial"/>
        <family val="2"/>
      </rPr>
      <t xml:space="preserve">dashboard reporting period.   </t>
    </r>
    <r>
      <rPr>
        <b/>
        <sz val="11"/>
        <color indexed="8"/>
        <rFont val="Arial"/>
        <family val="2"/>
      </rPr>
      <t>SR expenditures: Reporting period:</t>
    </r>
    <r>
      <rPr>
        <sz val="11"/>
        <color indexed="8"/>
        <rFont val="Arial"/>
        <family val="2"/>
      </rPr>
      <t xml:space="preserve"> The sum of all expenditures reported by the SRs, during dashboard reporting period.</t>
    </r>
  </si>
  <si>
    <r>
      <t>Number of PR grant management positions planned currently filled or vacant.</t>
    </r>
    <r>
      <rPr>
        <sz val="11"/>
        <color indexed="8"/>
        <rFont val="Arial"/>
        <family val="2"/>
      </rPr>
      <t xml:space="preserve"> Full time equivalents of the </t>
    </r>
    <r>
      <rPr>
        <b/>
        <sz val="11"/>
        <color indexed="8"/>
        <rFont val="Arial"/>
        <family val="2"/>
      </rPr>
      <t xml:space="preserve">managerial </t>
    </r>
    <r>
      <rPr>
        <sz val="11"/>
        <color indexed="8"/>
        <rFont val="Arial"/>
        <family val="2"/>
      </rPr>
      <t>positions that are on the organizational chart (or otherwise planned) and directly responsible for ensuring grant implementation at the PR, and lead SRs (if necessary). This will include new hires, current staff who are assigned to work on the grant’s management, as well as any staff seconded from other divisions or partner organizations.</t>
    </r>
  </si>
  <si>
    <t>Programmatic indicators  (Performance Framework )</t>
  </si>
  <si>
    <t xml:space="preserve">Financial Information: </t>
  </si>
  <si>
    <t xml:space="preserve">Management Information: </t>
  </si>
  <si>
    <t xml:space="preserve">Programmatic Information: </t>
  </si>
  <si>
    <t>Grant Objective</t>
  </si>
  <si>
    <t>Start Date (dd/Mmm/yy):</t>
  </si>
  <si>
    <t>* Includes only EFR category 4 and 5  (Health products and health equipment &amp; Medicines and Pharmaceuticals)</t>
  </si>
  <si>
    <t>Table is automatically updated. No data or information is to be entered here.</t>
  </si>
  <si>
    <t>V1.0</t>
  </si>
  <si>
    <r>
      <t xml:space="preserve">Days taken to submit final PU/DR to LFA – </t>
    </r>
    <r>
      <rPr>
        <sz val="11"/>
        <color indexed="8"/>
        <rFont val="Arial"/>
        <family val="2"/>
      </rPr>
      <t xml:space="preserve">This indicator measures </t>
    </r>
    <r>
      <rPr>
        <b/>
        <sz val="11"/>
        <color indexed="8"/>
        <rFont val="Arial"/>
        <family val="2"/>
      </rPr>
      <t>t</t>
    </r>
    <r>
      <rPr>
        <sz val="11"/>
        <color indexed="8"/>
        <rFont val="Arial"/>
        <family val="2"/>
      </rPr>
      <t xml:space="preserve">he number of calendar days it took the PR to send a final Performance Update and Disbursement Request (PU/DR) to the LFA after the end of the period. A 'final' PU/DR would be one for which the LFA did not require any further clarifications from the PR.
The expected value is 45 days from the end of the period, as defined in the Grant Agreement.  
The actual value is the number of calendar days from the end date of the period to the date on which the PR sent to the LFA the final PU/DR.  </t>
    </r>
    <r>
      <rPr>
        <b/>
        <sz val="11"/>
        <color indexed="8"/>
        <rFont val="Arial"/>
        <family val="2"/>
      </rPr>
      <t xml:space="preserve">
Days taken for disbursement to reach PR – </t>
    </r>
    <r>
      <rPr>
        <sz val="11"/>
        <color indexed="8"/>
        <rFont val="Arial"/>
        <family val="2"/>
      </rPr>
      <t xml:space="preserve">This indicator measures the number of calendar days it took the Global Fund to send the latest disbursement to the PR's account after receipt of the acceptable PU/DR by the LFA. 
The expected number is 45 days. 
The actual number is the number of days from the date of transmission by the PR to the LFA of the acceptable PU/DR to the date the disbursement is received by the PR at its bank.  </t>
    </r>
    <r>
      <rPr>
        <b/>
        <sz val="11"/>
        <color indexed="8"/>
        <rFont val="Arial"/>
        <family val="2"/>
      </rPr>
      <t xml:space="preserve">
Days taken for disbursement to reach SRs – </t>
    </r>
    <r>
      <rPr>
        <sz val="11"/>
        <color indexed="8"/>
        <rFont val="Arial"/>
        <family val="2"/>
      </rPr>
      <t>This indicator measures the average number of days for disbursements to be made to all the SRs.
The expected value for this indicator will be set locally by the PR and SRs, preferably in the Grant Operations Manual. 
The actual value is the average of the number of days from the receipt of the funds from the GF by the PR to the date the funds are received by each SR. Different SRs coudl receive funds on different dates and this indicator is the average across all SRs for the latest disbursement.</t>
    </r>
  </si>
  <si>
    <t xml:space="preserve">The total number of periodic reports with up-to-date financial, management and performance (programmatic) data received by the PR from SRs and by SRs from the SubSRs (SSRs) by the expected date. A 'complete' report is one that contains all the data that the PR requires for the PU/DR.
The expected date would be set by the PR in the sub-agreements. </t>
  </si>
  <si>
    <t xml:space="preserve">This indicator is a snapshot of the difference between the current (or last month) stock level of a specific product (medicine in single, fixed-dose combination, bednets, diagnostic kits, etc.) of a particular dose, expressed in monthly needs (number of months of treatment available) for all patients in the program, and the safety or buffer stock (also expressed in months) as established by the disease program, warehouse system or essential drugs program, for the particular product and dosage.  
The table will show the difference in months in colors:
• RED: when the difference is negative or 0, showing that months of existing stock are lower than or equal to what has been established as months of safety stock
• YELLOW: when we have more than the level of safety stock (&gt;0) but less than 3 months (+3).
• GREEN: when the difference is between 3 and 18 months.
• VIOLET: When the difference shows that the level above the safety stock is greater than or equal to 18 months indicating a potential overstock) problem.
For a full description of how this indicator is calculated, please see the User’s Manual.
</t>
  </si>
  <si>
    <t>Budget Approved cumulative*</t>
  </si>
  <si>
    <t>Comment: P1</t>
  </si>
  <si>
    <t>Comment: P2</t>
  </si>
  <si>
    <t>Comment: P3</t>
  </si>
  <si>
    <t>GEO-H-NCDC</t>
  </si>
  <si>
    <t>NCDC</t>
  </si>
  <si>
    <t>Alexander Asatiani</t>
  </si>
  <si>
    <t>Zidovudine/Lamivudine</t>
  </si>
  <si>
    <t>Syringes (1ml)</t>
  </si>
  <si>
    <t>(1)
Number of tablets/mgs per patient per day
(Review country treatment guidelines)</t>
  </si>
  <si>
    <t>Treatment, care and support</t>
  </si>
  <si>
    <t>Program management</t>
  </si>
  <si>
    <t>Percentage of PWID reached with HIV prevention programs - defined package of services</t>
  </si>
  <si>
    <t>KP-1d</t>
  </si>
  <si>
    <t>Percentage of PWID that have received an HIV test during the reporting period and know their results</t>
  </si>
  <si>
    <t>KP-3d</t>
  </si>
  <si>
    <t>Percentage of MSM reached with HIV prevention programs - defined package of services</t>
  </si>
  <si>
    <t>KP-1a</t>
  </si>
  <si>
    <t>Percentage of MSM that have received an HIV test during the reporting period and know their results</t>
  </si>
  <si>
    <t>KP-3a</t>
  </si>
  <si>
    <t>Percentage of sex workers reached with HIV prevention programs - defined package of services</t>
  </si>
  <si>
    <t>KP-1c</t>
  </si>
  <si>
    <t>Percentage of sex workers that have received an HIV test during the reporting period and know their results</t>
  </si>
  <si>
    <t>KP-3c</t>
  </si>
  <si>
    <t>Percentage of other vulnerable populations (prisoners) that have received an HIV test during the reporting period and know their results</t>
  </si>
  <si>
    <t>KP-3e</t>
  </si>
  <si>
    <t xml:space="preserve">Percentage of people living with HIV currently receiving antiretroviral therapy </t>
  </si>
  <si>
    <t>TCS-1</t>
  </si>
  <si>
    <t>N/A</t>
  </si>
  <si>
    <t>NFM</t>
  </si>
  <si>
    <t xml:space="preserve">Sustaining and Scaling up the Effective HIV/AIDS Prevention, Treatment and Care in Georgia </t>
  </si>
  <si>
    <t>IDACIRC</t>
  </si>
  <si>
    <t>HAPSF</t>
  </si>
  <si>
    <t>GHRN</t>
  </si>
  <si>
    <t>IMPHA</t>
  </si>
  <si>
    <t>CIF</t>
  </si>
  <si>
    <t>Equality</t>
  </si>
  <si>
    <t>Tanadgoma</t>
  </si>
  <si>
    <t>2 Projects</t>
  </si>
  <si>
    <t>NFM Grant Requirements</t>
  </si>
  <si>
    <t>Jul-Sep 2016</t>
  </si>
  <si>
    <t>Oct-Dec 2017</t>
  </si>
  <si>
    <t>Jan-Mar 2017</t>
  </si>
  <si>
    <t>Condoms (Tanadgoma)</t>
  </si>
  <si>
    <t xml:space="preserve"> Percentage of individuals receiving Opioid Substitution Therapy who received treatment for at least 6 months</t>
  </si>
  <si>
    <t>Jan-Jun 2017</t>
  </si>
  <si>
    <t>Jan-Sep 2017</t>
  </si>
  <si>
    <t>Jan-Mar 2018</t>
  </si>
  <si>
    <t>Jan-Dec 2017</t>
  </si>
  <si>
    <t>Condoms (EM)</t>
  </si>
  <si>
    <t>Apr- Jun 2018</t>
  </si>
  <si>
    <t>Jul-Sep 2018</t>
  </si>
  <si>
    <t>PMTCT</t>
  </si>
  <si>
    <t>RSSH: National health strategies</t>
  </si>
  <si>
    <t>HIV Testing Services</t>
  </si>
  <si>
    <t>Comprehensive prevention programs for MSM</t>
  </si>
  <si>
    <t>Comprehensive prevention programs for sex workers and their clients</t>
  </si>
  <si>
    <t>Comprehensive prevention programs for people who inject drugs (PWID) and their partners</t>
  </si>
  <si>
    <t>Comprehensive programs for people in prisons and other closed settings</t>
  </si>
  <si>
    <t>RSSH: Health management information systems and M&amp;E</t>
  </si>
  <si>
    <t>Programs to reduce human rights-related barriers to HIV services</t>
  </si>
  <si>
    <t>Jan-June 2018</t>
  </si>
  <si>
    <t>Jan-Apr 2019</t>
  </si>
  <si>
    <t>Tatyana Vinichenko</t>
  </si>
  <si>
    <t>KP-1d(M): Percentage of people who inject drugs reached with HIV prevention programs - defined package of services</t>
  </si>
  <si>
    <t>KP-3d(M): Percentage of people who inject drugs that have received an HIV test during the reporting period and know their results</t>
  </si>
  <si>
    <t>KP-1a(M): Percentage of MSM reached with HIV prevention programs - defined package of services</t>
  </si>
  <si>
    <t>KP-3a(M): Percentage of MSM that have received an HIV test during the reporting period and know their results</t>
  </si>
  <si>
    <t>KP-other 1: Percentage of other vulnerable populations that have received an HIV test during the reporting period and know their results (prisoners)</t>
  </si>
  <si>
    <t>KP-1c(M): Percentage of sex workers reached with HIV prevention programs - defined package of services</t>
  </si>
  <si>
    <t>KP-3c(M): Percentage of sex workers that have received an HIV test during the reporting period and know their results</t>
  </si>
  <si>
    <t>TCS-1(M): Percentage of people living with HIV currently receiving antiretroviral therapy</t>
  </si>
  <si>
    <t>Numerator: Number and of IDUs reached by HIV/AIDS prevention programs during the last 6 months.  Denominator: Estimated number of IDUs in the country The last available result and final target represents the number based on first 6 month of 2015. The beneficiary is considered reached if received at least two services from the list of basic package (condom, consultation, information materials, syringe/needle) and one of them has to be syringe/needleI  at least once within a 6 month period. Clients' participation in informational events on HIV/AIDS awareness and safe behavior can be regarded as counseling. In addition beneficiaries can also receive other services (HIV, STIs, HBV, HCV testing, a referral to another specialists, and others) depending on the client’s needs. Targets for Jan-June are 6 month targets and Jul-Dec are 12 month targets (annual targets). Results of performance for period Jan -Jun 2017 - target 21570, will be reported in Febduary 2018 together with the results for July - Dec 2017 period.  Results of performance for period Jan -Jun 2018  - target 23310, will be reported in Febduary 2019 together with the results for July - Dec 2018 period.</t>
  </si>
  <si>
    <t>Targets represent number of people reached with VCT during each semi-annula period. The baseline represents the last available result for the first six months of 2015.  Targets for Jan-June are 6 month targets and Jul-Dec are 12 month targets (annual targets)  Results of performance for period Jan -Jun 2017 - target 19482, will be reported in Febduary 2018 together with the results for July - Dec 2017 period.  Results of performance for period Jan -Jun 2018  - target 20874, will be reported in Febduary 2019 together with the results for July - Dec 2018 period.</t>
  </si>
  <si>
    <t>Numerator: Number and of MSM reached by HIV/AIDS prevention programs during the last 6 months.  Denominator: Estimated number of MSM in the country, based on the MSM size estimateion study conducted in 2014.                                                                                                                              The last available result and final target represents the number based on first 6 month of 2015. MSM is considered to be reached with HIV prevention programs if received at least two services from the list of basic package (provision of condoms, lubricants, counseling and information materials) and one of them has to be condom  at least once within a 6 month period. Clients' participation in informational events on HIV/AIDS awareness and safe behavior can be regarded as counseling. In addition beneficiaries can also receive other services (HIV, STIs, a referral to another specialists, and others) depending on the client’s needs. Targets for Jan-June are 6 month targets and Jul-Dec are 12 month targets (annual targets).  Results of performance for period Jan -Jun 2017 - target 4165, will be reported in Febduary 2018 together with the results for July - Dec 2017 period.  Results of performance for period Jan -Jun 2018  - target 5950, will be reported in Febduary 2019 together with the results for July - Dec 2018 period.</t>
  </si>
  <si>
    <t>Targets represent number of people reached with VCT during each semi-annula period. The baseline represents the last available result for the first six months of 2015. Targets for Jan-June are 6 month targets and Jul-Dec are 12 month targets (annual targets).  Results of performance for period Jan -Jun 2017 - target 2550, will be reported in Febduary 2018 together with the results for July - Dec 2017 period.  Results of performance for period Jan -Jun 2018  - target 4080, will be reported in Febduary 2019 together with the results for July - Dec 2018 period.</t>
  </si>
  <si>
    <t>The baseline represents the last available result for the first six months of 2015. Targets for Jan-June are 6 month targets and Jul-Dec are 12 month targets (annual targets). Numerators and Denominators will be reported during PU and PUDR.Results of performance for period Jan -Jun 2017 - target 4025, will be reported in Febduary 2018 together with the results for July - Dec 2017 period.  Results of performance for period Jan -Jun 2018  - target 4375, will be reported in Febduary 2019 together with the results for July - Dec 2018 period.</t>
  </si>
  <si>
    <t>Numerator: Number and of FSW reached by HIV/AIDS prevention programs during the last 6 months.  Denominator: Estimated number of FSW in the country The last available result and final target represents the number based on first 6 month of 2015. The beneficiary is considered reached if received at least two services from the list of basic package (condom, information materials and counseling) and one of them has to be  condom  at least once within a 6 month period. Clients' participation in informational events on HIV/AIDS awareness and safe behavior can be regarded as counseling. In addition beneficiaries can also receive other services (HIV, STIs, HBV, HCV testing, a referral to another specialists, and others) depending on the client’s needs.Targets for Jan-June are 6 month targets and Jul-Dec are 12 month targets (annual targets).  Results of performance for period Jan -Jun 2017 - target 2285, will be reported in Febduary 2018 together with the results for July - Dec 2017 period.  Results of performance for period Jan -Jun 2018  - target 2741, will be reported in Febduary 2019 together with the results for July - Dec 2018 period.</t>
  </si>
  <si>
    <t>Targets represent number of people reached with VCT during each semi-annula period. The baseline represents the last available result for the first six months of 2015. Targets for Jan-June are 6 month targets and Jul-Dec are 12 month targets (annual targets).  Results of performance for period Jan -Jun 2017 - target 1827, will be reported in Febduary 2018 together with the results for July - Dec 2017 period.  Results of performance for period Jan -Jun 2018  - target 2285, will be reported in Febduary 2019 together with the results for July - Dec 2018 period.</t>
  </si>
  <si>
    <t>Country adopted treat all policy, which implies offering ART to all people who are already diagnosed with HIV. Because of  high rates of late HIV diagnosis in Georgia  the majority of our patinets have been already eligible  for ART at previous CD4&lt;500  recommendations. Switch to treat all policy in second half  of 2015 did not dramatically increase the number of people on ART. Proposed  scale-up is in line with propsoed coverage with HIV testing of key populaltions and takes into account  existing dynamics in HIV diagnosis. Currently approximately 40% of people living with  HIV remian  undiagnosed  and this is major problem.  More prominent scale-up in ART coverage will require more prominent scale-up in HIV testing . Without further scale-up of testing forecasting more patients on ART is not realistic. Denominator for the baseline is updated also as before it was representing alligable for treatment PLHIV, now it represents estimated number of all PLHIV.</t>
  </si>
  <si>
    <t>cummulative</t>
  </si>
  <si>
    <t>Programatic data (database)</t>
  </si>
  <si>
    <t>AIDS Center HMIS</t>
  </si>
  <si>
    <t xml:space="preserve">Programatic Data </t>
  </si>
  <si>
    <t>N-Non-cumulative</t>
  </si>
  <si>
    <t>Will be redistributed as needed from TG</t>
  </si>
  <si>
    <t>Annual Target</t>
  </si>
  <si>
    <t>Number of prison inmates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</si>
</sst>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3" formatCode="_(* #,##0.00_);_(* \(#,##0.00\);_(* &quot;-&quot;??_);_(@_)"/>
    <numFmt numFmtId="164" formatCode="_-* #,##0.00\ _L_a_r_i_-;\-* #,##0.00\ _L_a_r_i_-;_-* &quot;-&quot;??\ _L_a_r_i_-;_-@_-"/>
    <numFmt numFmtId="165" formatCode="&quot;Q&quot;#,##0_);[Red]\(&quot;Q&quot;#,##0\)"/>
    <numFmt numFmtId="166" formatCode="_(* #,##0_);_(* \(#,##0\);_(* &quot;-&quot;??_);_(@_)"/>
    <numFmt numFmtId="167" formatCode=";;;"/>
    <numFmt numFmtId="168" formatCode="0.0"/>
    <numFmt numFmtId="169" formatCode=";;;&quot;Financial Variance in %&quot;"/>
    <numFmt numFmtId="170" formatCode="_([$€]* #,##0.00_);_([$€]* \(#,##0.00\);_([$€]* &quot;-&quot;??_);_(@_)"/>
    <numFmt numFmtId="171" formatCode="[$$-409]#,##0"/>
    <numFmt numFmtId="172" formatCode="[$-409]d/mmm/yyyy;@"/>
    <numFmt numFmtId="173" formatCode="[$$-409]#,##0_);\([$$-409]#,##0\)"/>
    <numFmt numFmtId="174" formatCode="0.0%"/>
  </numFmts>
  <fonts count="142">
    <font>
      <sz val="11"/>
      <color theme="1"/>
      <name val="Calibri"/>
      <family val="2"/>
      <scheme val="minor"/>
    </font>
    <font>
      <sz val="11"/>
      <color indexed="8"/>
      <name val="Calibri"/>
      <family val="2"/>
    </font>
    <font>
      <sz val="10"/>
      <name val="Arial"/>
      <family val="2"/>
    </font>
    <font>
      <sz val="11"/>
      <color indexed="8"/>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28"/>
      <color indexed="9"/>
      <name val="Calibri"/>
      <family val="2"/>
    </font>
    <font>
      <sz val="22"/>
      <color indexed="9"/>
      <name val="Calibri"/>
      <family val="2"/>
    </font>
    <font>
      <sz val="10"/>
      <color indexed="9"/>
      <name val="Arial"/>
      <family val="2"/>
    </font>
    <font>
      <sz val="14"/>
      <color indexed="8"/>
      <name val="Calibri"/>
      <family val="2"/>
    </font>
    <font>
      <sz val="12"/>
      <color indexed="8"/>
      <name val="Calibri"/>
      <family val="2"/>
    </font>
    <font>
      <sz val="11"/>
      <name val="Calibri"/>
      <family val="2"/>
    </font>
    <font>
      <sz val="28"/>
      <name val="Calibri"/>
      <family val="2"/>
    </font>
    <font>
      <sz val="11"/>
      <color indexed="9"/>
      <name val="Arial"/>
      <family val="2"/>
    </font>
    <font>
      <b/>
      <sz val="12"/>
      <color indexed="8"/>
      <name val="Calibri"/>
      <family val="2"/>
    </font>
    <font>
      <b/>
      <sz val="11"/>
      <color indexed="16"/>
      <name val="Calibri"/>
      <family val="2"/>
    </font>
    <font>
      <sz val="11"/>
      <color indexed="16"/>
      <name val="Calibri"/>
      <family val="2"/>
    </font>
    <font>
      <b/>
      <sz val="10"/>
      <color indexed="16"/>
      <name val="Calibri"/>
      <family val="2"/>
    </font>
    <font>
      <sz val="10"/>
      <color indexed="8"/>
      <name val="Calibri"/>
      <family val="2"/>
    </font>
    <font>
      <b/>
      <sz val="10"/>
      <color indexed="60"/>
      <name val="Calibri"/>
      <family val="2"/>
    </font>
    <font>
      <sz val="8"/>
      <name val="Calibri"/>
      <family val="2"/>
    </font>
    <font>
      <b/>
      <sz val="14"/>
      <color indexed="60"/>
      <name val="Calibri"/>
      <family val="2"/>
    </font>
    <font>
      <b/>
      <sz val="10"/>
      <color indexed="8"/>
      <name val="Calibri"/>
      <family val="2"/>
    </font>
    <font>
      <b/>
      <sz val="14"/>
      <color indexed="8"/>
      <name val="Calibri"/>
      <family val="2"/>
    </font>
    <font>
      <sz val="8"/>
      <color indexed="8"/>
      <name val="Calibri"/>
      <family val="2"/>
    </font>
    <font>
      <b/>
      <sz val="8"/>
      <color indexed="8"/>
      <name val="Calibri"/>
      <family val="2"/>
    </font>
    <font>
      <b/>
      <sz val="10"/>
      <color indexed="8"/>
      <name val="Calibri"/>
      <family val="2"/>
    </font>
    <font>
      <b/>
      <sz val="9"/>
      <color indexed="8"/>
      <name val="Calibri"/>
      <family val="2"/>
    </font>
    <font>
      <b/>
      <sz val="14"/>
      <color indexed="40"/>
      <name val="Calibri"/>
      <family val="2"/>
    </font>
    <font>
      <sz val="11"/>
      <color indexed="12"/>
      <name val="Calibri"/>
      <family val="2"/>
    </font>
    <font>
      <sz val="11"/>
      <color indexed="40"/>
      <name val="Calibri"/>
      <family val="2"/>
    </font>
    <font>
      <b/>
      <sz val="11"/>
      <color indexed="62"/>
      <name val="Calibri"/>
      <family val="2"/>
    </font>
    <font>
      <b/>
      <sz val="18"/>
      <color indexed="62"/>
      <name val="Cambria"/>
      <family val="2"/>
    </font>
    <font>
      <sz val="9"/>
      <color indexed="8"/>
      <name val="Verdana"/>
      <family val="2"/>
    </font>
    <font>
      <sz val="11"/>
      <color indexed="8"/>
      <name val="Verdana"/>
      <family val="2"/>
    </font>
    <font>
      <b/>
      <sz val="10"/>
      <color indexed="63"/>
      <name val="Verdana"/>
      <family val="2"/>
    </font>
    <font>
      <sz val="8"/>
      <color indexed="8"/>
      <name val="Verdana"/>
      <family val="2"/>
    </font>
    <font>
      <b/>
      <sz val="8"/>
      <color indexed="56"/>
      <name val="Tahoma"/>
      <family val="2"/>
    </font>
    <font>
      <b/>
      <sz val="8"/>
      <color indexed="9"/>
      <name val="Calibri"/>
      <family val="2"/>
    </font>
    <font>
      <sz val="8"/>
      <color indexed="9"/>
      <name val="Tahoma"/>
      <family val="2"/>
    </font>
    <font>
      <b/>
      <sz val="8"/>
      <color indexed="9"/>
      <name val="Tahoma"/>
      <family val="2"/>
    </font>
    <font>
      <b/>
      <sz val="8"/>
      <color indexed="9"/>
      <name val="Verdana"/>
      <family val="2"/>
    </font>
    <font>
      <sz val="9"/>
      <color indexed="8"/>
      <name val="Tahoma"/>
      <family val="2"/>
    </font>
    <font>
      <sz val="8"/>
      <name val="Webdings"/>
      <family val="1"/>
    </font>
    <font>
      <sz val="11"/>
      <color indexed="8"/>
      <name val="Micro Line Charts 1.1"/>
      <family val="2"/>
    </font>
    <font>
      <sz val="7"/>
      <color indexed="23"/>
      <name val="Verdana"/>
      <family val="2"/>
    </font>
    <font>
      <sz val="10"/>
      <name val="Micro Bar Charts 1.1"/>
    </font>
    <font>
      <sz val="9"/>
      <name val="Tahoma"/>
      <family val="2"/>
    </font>
    <font>
      <sz val="8"/>
      <color indexed="63"/>
      <name val="Micro Bar Charts 1.1"/>
    </font>
    <font>
      <sz val="9"/>
      <color indexed="8"/>
      <name val="Micro Bar Charts"/>
    </font>
    <font>
      <b/>
      <sz val="8"/>
      <name val="Tahoma"/>
      <family val="2"/>
    </font>
    <font>
      <sz val="14"/>
      <color indexed="9"/>
      <name val="Calibri"/>
      <family val="2"/>
    </font>
    <font>
      <sz val="14"/>
      <name val="Calibri"/>
      <family val="2"/>
    </font>
    <font>
      <sz val="11"/>
      <color indexed="8"/>
      <name val="Arial"/>
      <family val="2"/>
    </font>
    <font>
      <sz val="8"/>
      <color indexed="9"/>
      <name val="Arial"/>
      <family val="2"/>
    </font>
    <font>
      <sz val="9"/>
      <color indexed="8"/>
      <name val="Arial"/>
      <family val="2"/>
    </font>
    <font>
      <sz val="7"/>
      <color indexed="43"/>
      <name val="Verdana"/>
      <family val="2"/>
    </font>
    <font>
      <sz val="10"/>
      <name val="Arial"/>
      <family val="2"/>
    </font>
    <font>
      <b/>
      <sz val="14"/>
      <color indexed="51"/>
      <name val="Calibri"/>
      <family val="2"/>
    </font>
    <font>
      <sz val="11"/>
      <color indexed="59"/>
      <name val="Calibri"/>
      <family val="2"/>
    </font>
    <font>
      <sz val="10"/>
      <color indexed="59"/>
      <name val="Calibri"/>
      <family val="2"/>
    </font>
    <font>
      <sz val="11"/>
      <color indexed="8"/>
      <name val="Calibri"/>
      <family val="2"/>
    </font>
    <font>
      <b/>
      <sz val="14"/>
      <color indexed="9"/>
      <name val="Calibri"/>
      <family val="2"/>
    </font>
    <font>
      <b/>
      <sz val="8"/>
      <color indexed="8"/>
      <name val="Verdana"/>
      <family val="2"/>
    </font>
    <font>
      <b/>
      <sz val="15"/>
      <color indexed="62"/>
      <name val="Calibri"/>
      <family val="2"/>
    </font>
    <font>
      <b/>
      <sz val="13"/>
      <color indexed="62"/>
      <name val="Calibri"/>
      <family val="2"/>
    </font>
    <font>
      <sz val="11"/>
      <color indexed="53"/>
      <name val="Calibri"/>
      <family val="2"/>
    </font>
    <font>
      <b/>
      <sz val="10"/>
      <name val="Arial"/>
      <family val="2"/>
    </font>
    <font>
      <b/>
      <sz val="12"/>
      <color indexed="56"/>
      <name val="Tahoma"/>
      <family val="2"/>
    </font>
    <font>
      <b/>
      <sz val="10"/>
      <name val="Verdana"/>
      <family val="2"/>
    </font>
    <font>
      <sz val="10"/>
      <color indexed="8"/>
      <name val="Arial"/>
      <family val="2"/>
    </font>
    <font>
      <b/>
      <sz val="10"/>
      <color indexed="8"/>
      <name val="Arial"/>
      <family val="2"/>
    </font>
    <font>
      <b/>
      <sz val="11"/>
      <name val="Calibri"/>
      <family val="2"/>
    </font>
    <font>
      <b/>
      <sz val="11"/>
      <color indexed="14"/>
      <name val="Calibri"/>
      <family val="2"/>
    </font>
    <font>
      <b/>
      <i/>
      <sz val="11"/>
      <color indexed="8"/>
      <name val="Calibri"/>
      <family val="2"/>
    </font>
    <font>
      <i/>
      <sz val="8"/>
      <color indexed="8"/>
      <name val="Calibri"/>
      <family val="2"/>
    </font>
    <font>
      <b/>
      <sz val="18"/>
      <color indexed="8"/>
      <name val="Calibri"/>
      <family val="2"/>
    </font>
    <font>
      <sz val="16"/>
      <color indexed="8"/>
      <name val="Calibri"/>
      <family val="2"/>
    </font>
    <font>
      <b/>
      <sz val="12"/>
      <color indexed="8"/>
      <name val="Arial"/>
      <family val="2"/>
    </font>
    <font>
      <b/>
      <sz val="11"/>
      <color indexed="8"/>
      <name val="Arial"/>
      <family val="2"/>
    </font>
    <font>
      <b/>
      <sz val="16"/>
      <color indexed="8"/>
      <name val="Calibri"/>
      <family val="2"/>
    </font>
    <font>
      <b/>
      <sz val="11"/>
      <color indexed="16"/>
      <name val="Calibri"/>
      <family val="2"/>
    </font>
    <font>
      <b/>
      <sz val="14"/>
      <color indexed="52"/>
      <name val="Calibri"/>
      <family val="2"/>
    </font>
    <font>
      <b/>
      <sz val="12"/>
      <color indexed="8"/>
      <name val="Calibri"/>
      <family val="2"/>
    </font>
    <font>
      <b/>
      <sz val="11"/>
      <color indexed="8"/>
      <name val="Calibri"/>
      <family val="2"/>
    </font>
    <font>
      <sz val="11"/>
      <color indexed="8"/>
      <name val="Calibri"/>
      <family val="2"/>
    </font>
    <font>
      <b/>
      <sz val="14"/>
      <color indexed="14"/>
      <name val="Calibri"/>
      <family val="2"/>
    </font>
    <font>
      <b/>
      <sz val="10"/>
      <color indexed="53"/>
      <name val="Calibri"/>
      <family val="2"/>
    </font>
    <font>
      <b/>
      <sz val="12"/>
      <name val="Arial"/>
      <family val="2"/>
    </font>
    <font>
      <sz val="11"/>
      <color indexed="8"/>
      <name val="Arial Black"/>
      <family val="2"/>
    </font>
    <font>
      <sz val="11"/>
      <color indexed="60"/>
      <name val="Calibri"/>
      <family val="2"/>
    </font>
    <font>
      <sz val="11"/>
      <color indexed="8"/>
      <name val="Calibri"/>
      <family val="2"/>
    </font>
    <font>
      <sz val="11"/>
      <color indexed="8"/>
      <name val="Calibri"/>
      <family val="2"/>
    </font>
    <font>
      <i/>
      <sz val="11"/>
      <color indexed="8"/>
      <name val="Calibri"/>
      <family val="2"/>
    </font>
    <font>
      <b/>
      <sz val="11"/>
      <color indexed="60"/>
      <name val="Calibri"/>
      <family val="2"/>
    </font>
    <font>
      <b/>
      <sz val="11"/>
      <color indexed="14"/>
      <name val="Calibri"/>
      <family val="2"/>
    </font>
    <font>
      <sz val="22"/>
      <color indexed="9"/>
      <name val="Calibri"/>
      <family val="2"/>
    </font>
    <font>
      <sz val="10"/>
      <color indexed="60"/>
      <name val="Calibri"/>
      <family val="2"/>
    </font>
    <font>
      <sz val="11"/>
      <color indexed="12"/>
      <name val="Calibri"/>
      <family val="2"/>
    </font>
    <font>
      <sz val="10"/>
      <name val="Calibri"/>
      <family val="2"/>
    </font>
    <font>
      <sz val="9"/>
      <color indexed="16"/>
      <name val="Calibri"/>
      <family val="2"/>
    </font>
    <font>
      <b/>
      <i/>
      <sz val="14"/>
      <color indexed="12"/>
      <name val="Calibri"/>
      <family val="2"/>
    </font>
    <font>
      <b/>
      <sz val="9"/>
      <name val="Calibri"/>
      <family val="2"/>
    </font>
    <font>
      <sz val="16"/>
      <color indexed="9"/>
      <name val="Calibri"/>
      <family val="2"/>
    </font>
    <font>
      <i/>
      <sz val="11"/>
      <color indexed="8"/>
      <name val="Calibri"/>
      <family val="2"/>
    </font>
    <font>
      <b/>
      <sz val="14"/>
      <color indexed="44"/>
      <name val="Calibri"/>
      <family val="2"/>
    </font>
    <font>
      <b/>
      <sz val="14"/>
      <color indexed="51"/>
      <name val="Calibri"/>
      <family val="2"/>
    </font>
    <font>
      <sz val="12"/>
      <color indexed="9"/>
      <name val="Calibri"/>
      <family val="2"/>
    </font>
    <font>
      <sz val="8"/>
      <color indexed="16"/>
      <name val="Calibri"/>
      <family val="2"/>
    </font>
    <font>
      <sz val="11"/>
      <color indexed="10"/>
      <name val="Arial"/>
      <family val="2"/>
    </font>
    <font>
      <b/>
      <i/>
      <sz val="11"/>
      <color indexed="8"/>
      <name val="Arial"/>
      <family val="2"/>
    </font>
    <font>
      <i/>
      <sz val="11"/>
      <color indexed="8"/>
      <name val="Arial"/>
      <family val="2"/>
    </font>
    <font>
      <sz val="11"/>
      <name val="Arial"/>
      <family val="2"/>
    </font>
    <font>
      <b/>
      <sz val="11"/>
      <color indexed="8"/>
      <name val="Calibri"/>
      <family val="2"/>
    </font>
    <font>
      <sz val="8"/>
      <color indexed="8"/>
      <name val="Calibri"/>
      <family val="2"/>
    </font>
    <font>
      <b/>
      <sz val="8"/>
      <name val="Arial"/>
      <family val="2"/>
    </font>
    <font>
      <b/>
      <sz val="8"/>
      <color indexed="81"/>
      <name val="Tahoma"/>
      <family val="2"/>
    </font>
    <font>
      <sz val="11"/>
      <color indexed="8"/>
      <name val="Calibri"/>
      <family val="2"/>
    </font>
    <font>
      <sz val="8"/>
      <color indexed="81"/>
      <name val="Tahoma"/>
      <family val="2"/>
    </font>
    <font>
      <b/>
      <sz val="20"/>
      <color indexed="8"/>
      <name val="Calibri"/>
      <family val="2"/>
    </font>
    <font>
      <sz val="20"/>
      <color indexed="8"/>
      <name val="Calibri"/>
      <family val="2"/>
    </font>
    <font>
      <sz val="11"/>
      <color theme="1"/>
      <name val="Calibri"/>
      <family val="2"/>
      <scheme val="minor"/>
    </font>
    <font>
      <b/>
      <sz val="11"/>
      <color theme="1"/>
      <name val="Calibri"/>
      <family val="2"/>
      <scheme val="minor"/>
    </font>
    <font>
      <sz val="11"/>
      <color rgb="FFFF0000"/>
      <name val="Calibri"/>
      <family val="2"/>
      <scheme val="minor"/>
    </font>
    <font>
      <strike/>
      <sz val="10"/>
      <name val="Arial"/>
      <family val="2"/>
    </font>
    <font>
      <sz val="11"/>
      <color rgb="FF000000"/>
      <name val="Calibri"/>
      <family val="2"/>
      <scheme val="minor"/>
    </font>
    <font>
      <sz val="11"/>
      <color theme="0" tint="-0.14999847407452621"/>
      <name val="Calibri"/>
      <family val="2"/>
      <scheme val="minor"/>
    </font>
    <font>
      <sz val="11"/>
      <color rgb="FF0070C0"/>
      <name val="Calibri"/>
      <family val="2"/>
      <scheme val="minor"/>
    </font>
    <font>
      <sz val="11"/>
      <color theme="0" tint="-4.9989318521683403E-2"/>
      <name val="Calibri"/>
      <family val="2"/>
      <scheme val="minor"/>
    </font>
    <font>
      <i/>
      <sz val="11"/>
      <color theme="0" tint="-4.9989318521683403E-2"/>
      <name val="Calibri"/>
      <family val="2"/>
    </font>
    <font>
      <sz val="11"/>
      <color theme="0" tint="-4.9989318521683403E-2"/>
      <name val="Calibri"/>
      <family val="2"/>
    </font>
    <font>
      <sz val="10"/>
      <name val="Arial"/>
      <family val="2"/>
      <charset val="204"/>
    </font>
  </fonts>
  <fills count="41">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45"/>
      </patternFill>
    </fill>
    <fill>
      <patternFill patternType="solid">
        <fgColor indexed="42"/>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3"/>
      </patternFill>
    </fill>
    <fill>
      <patternFill patternType="solid">
        <fgColor indexed="57"/>
      </patternFill>
    </fill>
    <fill>
      <patternFill patternType="solid">
        <fgColor indexed="54"/>
      </patternFill>
    </fill>
    <fill>
      <patternFill patternType="solid">
        <fgColor indexed="14"/>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gray0625">
        <fgColor indexed="52"/>
        <bgColor indexed="43"/>
      </patternFill>
    </fill>
    <fill>
      <patternFill patternType="solid">
        <fgColor indexed="44"/>
        <bgColor indexed="64"/>
      </patternFill>
    </fill>
    <fill>
      <patternFill patternType="solid">
        <fgColor indexed="47"/>
        <bgColor indexed="64"/>
      </patternFill>
    </fill>
    <fill>
      <patternFill patternType="solid">
        <fgColor indexed="11"/>
        <bgColor indexed="64"/>
      </patternFill>
    </fill>
    <fill>
      <patternFill patternType="gray0625">
        <fgColor indexed="52"/>
      </patternFill>
    </fill>
    <fill>
      <patternFill patternType="solid">
        <fgColor indexed="65"/>
        <bgColor indexed="51"/>
      </patternFill>
    </fill>
    <fill>
      <patternFill patternType="solid">
        <fgColor indexed="43"/>
        <bgColor indexed="52"/>
      </patternFill>
    </fill>
    <fill>
      <patternFill patternType="solid">
        <fgColor indexed="13"/>
        <bgColor indexed="64"/>
      </patternFill>
    </fill>
    <fill>
      <patternFill patternType="solid">
        <fgColor indexed="18"/>
        <bgColor indexed="64"/>
      </patternFill>
    </fill>
    <fill>
      <patternFill patternType="solid">
        <fgColor indexed="62"/>
        <bgColor indexed="64"/>
      </patternFill>
    </fill>
    <fill>
      <patternFill patternType="solid">
        <fgColor indexed="14"/>
        <bgColor indexed="64"/>
      </patternFill>
    </fill>
    <fill>
      <patternFill patternType="solid">
        <fgColor indexed="43"/>
        <bgColor indexed="51"/>
      </patternFill>
    </fill>
    <fill>
      <patternFill patternType="solid">
        <fgColor indexed="65"/>
        <bgColor indexed="64"/>
      </patternFill>
    </fill>
    <fill>
      <patternFill patternType="solid">
        <fgColor indexed="61"/>
        <bgColor indexed="64"/>
      </patternFill>
    </fill>
    <fill>
      <patternFill patternType="solid">
        <fgColor theme="0"/>
        <bgColor indexed="64"/>
      </patternFill>
    </fill>
    <fill>
      <patternFill patternType="solid">
        <fgColor rgb="FF92D050"/>
        <bgColor indexed="64"/>
      </patternFill>
    </fill>
    <fill>
      <patternFill patternType="solid">
        <fgColor rgb="FFFF0000"/>
        <bgColor indexed="64"/>
      </patternFill>
    </fill>
    <fill>
      <patternFill patternType="solid">
        <fgColor rgb="FFFFFF00"/>
        <bgColor indexed="64"/>
      </patternFill>
    </fill>
  </fills>
  <borders count="24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style="thin">
        <color auto="1"/>
      </left>
      <right style="thin">
        <color auto="1"/>
      </right>
      <top style="thin">
        <color auto="1"/>
      </top>
      <bottom style="thin">
        <color auto="1"/>
      </bottom>
      <diagonal/>
    </border>
    <border>
      <left style="thin">
        <color indexed="9"/>
      </left>
      <right style="thin">
        <color indexed="9"/>
      </right>
      <top style="thin">
        <color indexed="9"/>
      </top>
      <bottom style="thin">
        <color indexed="9"/>
      </bottom>
      <diagonal/>
    </border>
    <border>
      <left/>
      <right/>
      <top/>
      <bottom style="medium">
        <color indexed="18"/>
      </bottom>
      <diagonal/>
    </border>
    <border>
      <left style="hair">
        <color indexed="57"/>
      </left>
      <right style="hair">
        <color indexed="57"/>
      </right>
      <top style="medium">
        <color indexed="57"/>
      </top>
      <bottom style="medium">
        <color indexed="57"/>
      </bottom>
      <diagonal/>
    </border>
    <border>
      <left/>
      <right/>
      <top/>
      <bottom style="medium">
        <color indexed="60"/>
      </bottom>
      <diagonal/>
    </border>
    <border>
      <left style="medium">
        <color indexed="16"/>
      </left>
      <right style="thin">
        <color indexed="16"/>
      </right>
      <top style="thin">
        <color indexed="16"/>
      </top>
      <bottom style="thin">
        <color indexed="16"/>
      </bottom>
      <diagonal/>
    </border>
    <border>
      <left style="medium">
        <color indexed="16"/>
      </left>
      <right/>
      <top style="thin">
        <color indexed="16"/>
      </top>
      <bottom style="thin">
        <color indexed="16"/>
      </bottom>
      <diagonal/>
    </border>
    <border>
      <left style="medium">
        <color indexed="16"/>
      </left>
      <right/>
      <top style="thin">
        <color indexed="16"/>
      </top>
      <bottom style="medium">
        <color indexed="16"/>
      </bottom>
      <diagonal/>
    </border>
    <border>
      <left style="medium">
        <color indexed="16"/>
      </left>
      <right style="thin">
        <color auto="1"/>
      </right>
      <top style="thin">
        <color auto="1"/>
      </top>
      <bottom style="thin">
        <color auto="1"/>
      </bottom>
      <diagonal/>
    </border>
    <border>
      <left style="medium">
        <color indexed="16"/>
      </left>
      <right style="thin">
        <color auto="1"/>
      </right>
      <top style="thin">
        <color auto="1"/>
      </top>
      <bottom style="medium">
        <color indexed="16"/>
      </bottom>
      <diagonal/>
    </border>
    <border>
      <left/>
      <right/>
      <top/>
      <bottom style="medium">
        <color indexed="12"/>
      </bottom>
      <diagonal/>
    </border>
    <border>
      <left style="thin">
        <color auto="1"/>
      </left>
      <right style="thin">
        <color auto="1"/>
      </right>
      <top style="medium">
        <color indexed="48"/>
      </top>
      <bottom style="thin">
        <color auto="1"/>
      </bottom>
      <diagonal/>
    </border>
    <border>
      <left style="thin">
        <color auto="1"/>
      </left>
      <right style="medium">
        <color indexed="48"/>
      </right>
      <top style="medium">
        <color indexed="48"/>
      </top>
      <bottom style="thin">
        <color auto="1"/>
      </bottom>
      <diagonal/>
    </border>
    <border>
      <left style="thin">
        <color auto="1"/>
      </left>
      <right style="medium">
        <color indexed="48"/>
      </right>
      <top style="thin">
        <color auto="1"/>
      </top>
      <bottom style="thin">
        <color auto="1"/>
      </bottom>
      <diagonal/>
    </border>
    <border>
      <left style="thin">
        <color auto="1"/>
      </left>
      <right style="medium">
        <color indexed="48"/>
      </right>
      <top style="thin">
        <color auto="1"/>
      </top>
      <bottom style="medium">
        <color indexed="48"/>
      </bottom>
      <diagonal/>
    </border>
    <border>
      <left style="medium">
        <color indexed="48"/>
      </left>
      <right/>
      <top style="medium">
        <color indexed="48"/>
      </top>
      <bottom/>
      <diagonal/>
    </border>
    <border>
      <left/>
      <right/>
      <top/>
      <bottom style="medium">
        <color indexed="51"/>
      </bottom>
      <diagonal/>
    </border>
    <border>
      <left style="thin">
        <color auto="1"/>
      </left>
      <right/>
      <top style="thin">
        <color auto="1"/>
      </top>
      <bottom style="thin">
        <color auto="1"/>
      </bottom>
      <diagonal/>
    </border>
    <border>
      <left style="thin">
        <color auto="1"/>
      </left>
      <right/>
      <top style="thin">
        <color auto="1"/>
      </top>
      <bottom style="medium">
        <color indexed="51"/>
      </bottom>
      <diagonal/>
    </border>
    <border>
      <left style="thin">
        <color auto="1"/>
      </left>
      <right style="medium">
        <color indexed="51"/>
      </right>
      <top style="thin">
        <color auto="1"/>
      </top>
      <bottom style="thin">
        <color auto="1"/>
      </bottom>
      <diagonal/>
    </border>
    <border>
      <left style="dotted">
        <color auto="1"/>
      </left>
      <right style="dotted">
        <color auto="1"/>
      </right>
      <top style="medium">
        <color indexed="52"/>
      </top>
      <bottom style="hair">
        <color auto="1"/>
      </bottom>
      <diagonal/>
    </border>
    <border>
      <left style="dotted">
        <color auto="1"/>
      </left>
      <right style="dotted">
        <color auto="1"/>
      </right>
      <top style="hair">
        <color auto="1"/>
      </top>
      <bottom style="hair">
        <color auto="1"/>
      </bottom>
      <diagonal/>
    </border>
    <border>
      <left style="dotted">
        <color auto="1"/>
      </left>
      <right style="dotted">
        <color auto="1"/>
      </right>
      <top style="hair">
        <color auto="1"/>
      </top>
      <bottom style="medium">
        <color indexed="52"/>
      </bottom>
      <diagonal/>
    </border>
    <border>
      <left style="dotted">
        <color indexed="62"/>
      </left>
      <right style="dotted">
        <color auto="1"/>
      </right>
      <top style="medium">
        <color indexed="62"/>
      </top>
      <bottom style="hair">
        <color auto="1"/>
      </bottom>
      <diagonal/>
    </border>
    <border>
      <left style="dotted">
        <color indexed="62"/>
      </left>
      <right style="dotted">
        <color auto="1"/>
      </right>
      <top style="hair">
        <color auto="1"/>
      </top>
      <bottom style="hair">
        <color auto="1"/>
      </bottom>
      <diagonal/>
    </border>
    <border>
      <left style="dotted">
        <color indexed="62"/>
      </left>
      <right style="dotted">
        <color auto="1"/>
      </right>
      <top style="hair">
        <color auto="1"/>
      </top>
      <bottom style="medium">
        <color indexed="62"/>
      </bottom>
      <diagonal/>
    </border>
    <border>
      <left style="hair">
        <color auto="1"/>
      </left>
      <right style="hair">
        <color auto="1"/>
      </right>
      <top style="medium">
        <color indexed="51"/>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style="medium">
        <color indexed="5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right/>
      <top style="thin">
        <color indexed="30"/>
      </top>
      <bottom style="thin">
        <color indexed="30"/>
      </bottom>
      <diagonal/>
    </border>
    <border>
      <left/>
      <right style="thick">
        <color indexed="9"/>
      </right>
      <top/>
      <bottom/>
      <diagonal/>
    </border>
    <border>
      <left style="hair">
        <color auto="1"/>
      </left>
      <right style="hair">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medium">
        <color indexed="51"/>
      </top>
      <bottom style="thin">
        <color auto="1"/>
      </bottom>
      <diagonal/>
    </border>
    <border>
      <left style="thin">
        <color auto="1"/>
      </left>
      <right style="thin">
        <color auto="1"/>
      </right>
      <top style="thin">
        <color auto="1"/>
      </top>
      <bottom style="medium">
        <color indexed="48"/>
      </bottom>
      <diagonal/>
    </border>
    <border>
      <left style="medium">
        <color indexed="16"/>
      </left>
      <right style="thin">
        <color indexed="16"/>
      </right>
      <top/>
      <bottom style="thin">
        <color indexed="16"/>
      </bottom>
      <diagonal/>
    </border>
    <border>
      <left/>
      <right style="thin">
        <color auto="1"/>
      </right>
      <top style="medium">
        <color indexed="51"/>
      </top>
      <bottom style="thin">
        <color auto="1"/>
      </bottom>
      <diagonal/>
    </border>
    <border>
      <left style="thin">
        <color auto="1"/>
      </left>
      <right/>
      <top/>
      <bottom/>
      <diagonal/>
    </border>
    <border>
      <left style="medium">
        <color indexed="60"/>
      </left>
      <right style="thin">
        <color auto="1"/>
      </right>
      <top style="thin">
        <color auto="1"/>
      </top>
      <bottom style="thin">
        <color auto="1"/>
      </bottom>
      <diagonal/>
    </border>
    <border>
      <left style="medium">
        <color indexed="60"/>
      </left>
      <right style="thin">
        <color auto="1"/>
      </right>
      <top style="thin">
        <color auto="1"/>
      </top>
      <bottom style="medium">
        <color indexed="60"/>
      </bottom>
      <diagonal/>
    </border>
    <border>
      <left style="medium">
        <color indexed="60"/>
      </left>
      <right/>
      <top style="medium">
        <color indexed="60"/>
      </top>
      <bottom style="thin">
        <color auto="1"/>
      </bottom>
      <diagonal/>
    </border>
    <border>
      <left style="thin">
        <color indexed="60"/>
      </left>
      <right style="thin">
        <color indexed="60"/>
      </right>
      <top style="medium">
        <color indexed="60"/>
      </top>
      <bottom style="thin">
        <color auto="1"/>
      </bottom>
      <diagonal/>
    </border>
    <border>
      <left style="medium">
        <color auto="1"/>
      </left>
      <right style="thin">
        <color auto="1"/>
      </right>
      <top style="thin">
        <color auto="1"/>
      </top>
      <bottom style="thin">
        <color auto="1"/>
      </bottom>
      <diagonal/>
    </border>
    <border>
      <left style="thin">
        <color auto="1"/>
      </left>
      <right style="medium">
        <color indexed="16"/>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indexed="51"/>
      </left>
      <right style="medium">
        <color indexed="51"/>
      </right>
      <top style="medium">
        <color indexed="5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medium">
        <color auto="1"/>
      </bottom>
      <diagonal/>
    </border>
    <border>
      <left style="thin">
        <color auto="1"/>
      </left>
      <right/>
      <top/>
      <bottom style="thin">
        <color auto="1"/>
      </bottom>
      <diagonal/>
    </border>
    <border>
      <left style="thin">
        <color auto="1"/>
      </left>
      <right style="thin">
        <color auto="1"/>
      </right>
      <top style="thin">
        <color auto="1"/>
      </top>
      <bottom style="medium">
        <color indexed="16"/>
      </bottom>
      <diagonal/>
    </border>
    <border>
      <left style="thin">
        <color auto="1"/>
      </left>
      <right style="medium">
        <color indexed="16"/>
      </right>
      <top style="thin">
        <color auto="1"/>
      </top>
      <bottom style="medium">
        <color indexed="16"/>
      </bottom>
      <diagonal/>
    </border>
    <border>
      <left style="thin">
        <color indexed="16"/>
      </left>
      <right style="thin">
        <color indexed="16"/>
      </right>
      <top/>
      <bottom style="thin">
        <color indexed="16"/>
      </bottom>
      <diagonal/>
    </border>
    <border>
      <left style="thin">
        <color indexed="16"/>
      </left>
      <right style="thin">
        <color indexed="16"/>
      </right>
      <top style="thin">
        <color indexed="16"/>
      </top>
      <bottom style="thin">
        <color indexed="16"/>
      </bottom>
      <diagonal/>
    </border>
    <border>
      <left style="thin">
        <color indexed="16"/>
      </left>
      <right style="medium">
        <color indexed="16"/>
      </right>
      <top style="medium">
        <color indexed="16"/>
      </top>
      <bottom style="thin">
        <color indexed="16"/>
      </bottom>
      <diagonal/>
    </border>
    <border>
      <left style="thin">
        <color indexed="16"/>
      </left>
      <right style="thin">
        <color indexed="16"/>
      </right>
      <top style="medium">
        <color auto="1"/>
      </top>
      <bottom style="thin">
        <color auto="1"/>
      </bottom>
      <diagonal/>
    </border>
    <border>
      <left style="thin">
        <color indexed="16"/>
      </left>
      <right style="medium">
        <color indexed="16"/>
      </right>
      <top style="medium">
        <color auto="1"/>
      </top>
      <bottom style="thin">
        <color auto="1"/>
      </bottom>
      <diagonal/>
    </border>
    <border>
      <left style="medium">
        <color auto="1"/>
      </left>
      <right/>
      <top/>
      <bottom style="thin">
        <color auto="1"/>
      </bottom>
      <diagonal/>
    </border>
    <border>
      <left style="thin">
        <color indexed="16"/>
      </left>
      <right style="thin">
        <color indexed="16"/>
      </right>
      <top style="thin">
        <color indexed="16"/>
      </top>
      <bottom/>
      <diagonal/>
    </border>
    <border>
      <left style="thin">
        <color auto="1"/>
      </left>
      <right style="medium">
        <color indexed="60"/>
      </right>
      <top style="thin">
        <color auto="1"/>
      </top>
      <bottom style="thin">
        <color auto="1"/>
      </bottom>
      <diagonal/>
    </border>
    <border>
      <left style="thin">
        <color auto="1"/>
      </left>
      <right style="medium">
        <color indexed="60"/>
      </right>
      <top style="thin">
        <color auto="1"/>
      </top>
      <bottom style="medium">
        <color indexed="60"/>
      </bottom>
      <diagonal/>
    </border>
    <border>
      <left style="thin">
        <color indexed="16"/>
      </left>
      <right style="thin">
        <color indexed="16"/>
      </right>
      <top style="medium">
        <color indexed="51"/>
      </top>
      <bottom style="thin">
        <color auto="1"/>
      </bottom>
      <diagonal/>
    </border>
    <border>
      <left style="thin">
        <color indexed="16"/>
      </left>
      <right style="medium">
        <color indexed="51"/>
      </right>
      <top style="medium">
        <color indexed="51"/>
      </top>
      <bottom style="thin">
        <color auto="1"/>
      </bottom>
      <diagonal/>
    </border>
    <border>
      <left style="medium">
        <color indexed="60"/>
      </left>
      <right style="thin">
        <color indexed="60"/>
      </right>
      <top style="medium">
        <color indexed="60"/>
      </top>
      <bottom style="thin">
        <color indexed="60"/>
      </bottom>
      <diagonal/>
    </border>
    <border>
      <left style="thin">
        <color indexed="60"/>
      </left>
      <right style="thin">
        <color indexed="60"/>
      </right>
      <top style="medium">
        <color indexed="60"/>
      </top>
      <bottom style="thin">
        <color indexed="60"/>
      </bottom>
      <diagonal/>
    </border>
    <border>
      <left style="thin">
        <color indexed="60"/>
      </left>
      <right style="medium">
        <color indexed="60"/>
      </right>
      <top style="medium">
        <color indexed="60"/>
      </top>
      <bottom style="thin">
        <color indexed="60"/>
      </bottom>
      <diagonal/>
    </border>
    <border>
      <left style="medium">
        <color indexed="60"/>
      </left>
      <right style="thin">
        <color indexed="60"/>
      </right>
      <top style="thin">
        <color indexed="60"/>
      </top>
      <bottom style="thin">
        <color indexed="60"/>
      </bottom>
      <diagonal/>
    </border>
    <border>
      <left style="medium">
        <color indexed="60"/>
      </left>
      <right style="thin">
        <color indexed="60"/>
      </right>
      <top style="thin">
        <color indexed="60"/>
      </top>
      <bottom style="medium">
        <color indexed="60"/>
      </bottom>
      <diagonal/>
    </border>
    <border>
      <left style="medium">
        <color indexed="60"/>
      </left>
      <right style="medium">
        <color indexed="60"/>
      </right>
      <top style="medium">
        <color indexed="60"/>
      </top>
      <bottom style="medium">
        <color indexed="60"/>
      </bottom>
      <diagonal/>
    </border>
    <border>
      <left style="medium">
        <color indexed="51"/>
      </left>
      <right style="medium">
        <color indexed="51"/>
      </right>
      <top style="medium">
        <color indexed="51"/>
      </top>
      <bottom style="medium">
        <color indexed="51"/>
      </bottom>
      <diagonal/>
    </border>
    <border>
      <left style="medium">
        <color indexed="12"/>
      </left>
      <right/>
      <top style="medium">
        <color indexed="12"/>
      </top>
      <bottom style="medium">
        <color indexed="12"/>
      </bottom>
      <diagonal/>
    </border>
    <border>
      <left style="medium">
        <color indexed="12"/>
      </left>
      <right/>
      <top/>
      <bottom/>
      <diagonal/>
    </border>
    <border>
      <left style="thin">
        <color auto="1"/>
      </left>
      <right style="thin">
        <color auto="1"/>
      </right>
      <top/>
      <bottom/>
      <diagonal/>
    </border>
    <border>
      <left/>
      <right style="medium">
        <color indexed="60"/>
      </right>
      <top style="medium">
        <color indexed="60"/>
      </top>
      <bottom/>
      <diagonal/>
    </border>
    <border>
      <left style="thin">
        <color auto="1"/>
      </left>
      <right style="thin">
        <color auto="1"/>
      </right>
      <top style="thin">
        <color auto="1"/>
      </top>
      <bottom style="medium">
        <color indexed="51"/>
      </bottom>
      <diagonal/>
    </border>
    <border>
      <left style="medium">
        <color indexed="60"/>
      </left>
      <right style="dotted">
        <color auto="1"/>
      </right>
      <top style="medium">
        <color indexed="60"/>
      </top>
      <bottom style="hair">
        <color auto="1"/>
      </bottom>
      <diagonal/>
    </border>
    <border>
      <left style="medium">
        <color indexed="60"/>
      </left>
      <right style="dotted">
        <color auto="1"/>
      </right>
      <top style="hair">
        <color auto="1"/>
      </top>
      <bottom style="hair">
        <color auto="1"/>
      </bottom>
      <diagonal/>
    </border>
    <border>
      <left style="medium">
        <color indexed="60"/>
      </left>
      <right style="dotted">
        <color auto="1"/>
      </right>
      <top style="hair">
        <color auto="1"/>
      </top>
      <bottom style="medium">
        <color indexed="60"/>
      </bottom>
      <diagonal/>
    </border>
    <border>
      <left style="medium">
        <color indexed="62"/>
      </left>
      <right/>
      <top style="medium">
        <color indexed="62"/>
      </top>
      <bottom style="hair">
        <color auto="1"/>
      </bottom>
      <diagonal/>
    </border>
    <border>
      <left style="medium">
        <color indexed="62"/>
      </left>
      <right/>
      <top style="hair">
        <color auto="1"/>
      </top>
      <bottom style="hair">
        <color auto="1"/>
      </bottom>
      <diagonal/>
    </border>
    <border>
      <left style="medium">
        <color indexed="62"/>
      </left>
      <right/>
      <top style="hair">
        <color auto="1"/>
      </top>
      <bottom style="medium">
        <color indexed="62"/>
      </bottom>
      <diagonal/>
    </border>
    <border>
      <left style="medium">
        <color indexed="51"/>
      </left>
      <right style="hair">
        <color auto="1"/>
      </right>
      <top style="medium">
        <color indexed="51"/>
      </top>
      <bottom style="hair">
        <color auto="1"/>
      </bottom>
      <diagonal/>
    </border>
    <border>
      <left style="medium">
        <color indexed="51"/>
      </left>
      <right style="hair">
        <color auto="1"/>
      </right>
      <top style="hair">
        <color auto="1"/>
      </top>
      <bottom style="hair">
        <color auto="1"/>
      </bottom>
      <diagonal/>
    </border>
    <border>
      <left style="medium">
        <color indexed="51"/>
      </left>
      <right/>
      <top/>
      <bottom style="hair">
        <color auto="1"/>
      </bottom>
      <diagonal/>
    </border>
    <border>
      <left style="thin">
        <color auto="1"/>
      </left>
      <right style="medium">
        <color indexed="51"/>
      </right>
      <top style="thin">
        <color auto="1"/>
      </top>
      <bottom style="medium">
        <color indexed="51"/>
      </bottom>
      <diagonal/>
    </border>
    <border>
      <left style="thin">
        <color auto="1"/>
      </left>
      <right style="thin">
        <color auto="1"/>
      </right>
      <top style="thin">
        <color auto="1"/>
      </top>
      <bottom style="medium">
        <color auto="1"/>
      </bottom>
      <diagonal/>
    </border>
    <border>
      <left/>
      <right/>
      <top style="medium">
        <color auto="1"/>
      </top>
      <bottom/>
      <diagonal/>
    </border>
    <border>
      <left style="medium">
        <color indexed="48"/>
      </left>
      <right style="thin">
        <color auto="1"/>
      </right>
      <top style="thin">
        <color auto="1"/>
      </top>
      <bottom style="medium">
        <color indexed="48"/>
      </bottom>
      <diagonal/>
    </border>
    <border>
      <left style="medium">
        <color indexed="51"/>
      </left>
      <right/>
      <top/>
      <bottom style="thin">
        <color auto="1"/>
      </bottom>
      <diagonal/>
    </border>
    <border>
      <left/>
      <right/>
      <top/>
      <bottom style="thin">
        <color auto="1"/>
      </bottom>
      <diagonal/>
    </border>
    <border>
      <left style="medium">
        <color indexed="51"/>
      </left>
      <right style="medium">
        <color indexed="5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medium">
        <color indexed="51"/>
      </right>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style="thin">
        <color auto="1"/>
      </top>
      <bottom style="medium">
        <color indexed="51"/>
      </bottom>
      <diagonal/>
    </border>
    <border>
      <left style="medium">
        <color indexed="51"/>
      </left>
      <right style="medium">
        <color indexed="51"/>
      </right>
      <top style="thin">
        <color auto="1"/>
      </top>
      <bottom style="thin">
        <color auto="1"/>
      </bottom>
      <diagonal/>
    </border>
    <border>
      <left style="medium">
        <color indexed="51"/>
      </left>
      <right style="medium">
        <color indexed="51"/>
      </right>
      <top style="thin">
        <color auto="1"/>
      </top>
      <bottom style="medium">
        <color indexed="51"/>
      </bottom>
      <diagonal/>
    </border>
    <border>
      <left style="medium">
        <color indexed="16"/>
      </left>
      <right style="medium">
        <color indexed="16"/>
      </right>
      <top style="thin">
        <color indexed="16"/>
      </top>
      <bottom/>
      <diagonal/>
    </border>
    <border>
      <left style="medium">
        <color indexed="16"/>
      </left>
      <right style="medium">
        <color indexed="16"/>
      </right>
      <top/>
      <bottom/>
      <diagonal/>
    </border>
    <border>
      <left style="medium">
        <color indexed="16"/>
      </left>
      <right style="medium">
        <color indexed="16"/>
      </right>
      <top/>
      <bottom style="medium">
        <color indexed="16"/>
      </bottom>
      <diagonal/>
    </border>
    <border>
      <left style="medium">
        <color indexed="51"/>
      </left>
      <right style="thin">
        <color auto="1"/>
      </right>
      <top style="thin">
        <color auto="1"/>
      </top>
      <bottom/>
      <diagonal/>
    </border>
    <border>
      <left style="medium">
        <color indexed="5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51"/>
      </left>
      <right/>
      <top style="thin">
        <color auto="1"/>
      </top>
      <bottom style="medium">
        <color indexed="51"/>
      </bottom>
      <diagonal/>
    </border>
    <border>
      <left/>
      <right/>
      <top style="thin">
        <color auto="1"/>
      </top>
      <bottom style="medium">
        <color indexed="51"/>
      </bottom>
      <diagonal/>
    </border>
    <border>
      <left/>
      <right style="medium">
        <color indexed="51"/>
      </right>
      <top style="thin">
        <color auto="1"/>
      </top>
      <bottom style="medium">
        <color indexed="51"/>
      </bottom>
      <diagonal/>
    </border>
    <border>
      <left style="medium">
        <color indexed="51"/>
      </left>
      <right/>
      <top style="thin">
        <color auto="1"/>
      </top>
      <bottom/>
      <diagonal/>
    </border>
    <border>
      <left/>
      <right style="medium">
        <color indexed="51"/>
      </right>
      <top style="thin">
        <color auto="1"/>
      </top>
      <bottom/>
      <diagonal/>
    </border>
    <border>
      <left style="medium">
        <color indexed="51"/>
      </left>
      <right/>
      <top/>
      <bottom style="medium">
        <color indexed="51"/>
      </bottom>
      <diagonal/>
    </border>
    <border>
      <left/>
      <right style="medium">
        <color indexed="51"/>
      </right>
      <top/>
      <bottom style="medium">
        <color indexed="51"/>
      </bottom>
      <diagonal/>
    </border>
    <border>
      <left style="medium">
        <color indexed="48"/>
      </left>
      <right style="thin">
        <color auto="1"/>
      </right>
      <top style="medium">
        <color indexed="48"/>
      </top>
      <bottom style="thin">
        <color auto="1"/>
      </bottom>
      <diagonal/>
    </border>
    <border>
      <left/>
      <right/>
      <top style="medium">
        <color indexed="60"/>
      </top>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indexed="51"/>
      </left>
      <right/>
      <top style="medium">
        <color indexed="51"/>
      </top>
      <bottom style="thin">
        <color auto="1"/>
      </bottom>
      <diagonal/>
    </border>
    <border>
      <left/>
      <right/>
      <top style="medium">
        <color indexed="51"/>
      </top>
      <bottom style="thin">
        <color auto="1"/>
      </bottom>
      <diagonal/>
    </border>
    <border>
      <left/>
      <right style="medium">
        <color indexed="51"/>
      </right>
      <top style="medium">
        <color indexed="51"/>
      </top>
      <bottom style="thin">
        <color auto="1"/>
      </bottom>
      <diagonal/>
    </border>
    <border>
      <left style="medium">
        <color indexed="51"/>
      </left>
      <right/>
      <top style="thin">
        <color auto="1"/>
      </top>
      <bottom style="thin">
        <color auto="1"/>
      </bottom>
      <diagonal/>
    </border>
    <border>
      <left/>
      <right style="medium">
        <color indexed="51"/>
      </right>
      <top style="thin">
        <color auto="1"/>
      </top>
      <bottom style="thin">
        <color auto="1"/>
      </bottom>
      <diagonal/>
    </border>
    <border>
      <left/>
      <right style="thin">
        <color auto="1"/>
      </right>
      <top/>
      <bottom/>
      <diagonal/>
    </border>
    <border>
      <left style="medium">
        <color indexed="48"/>
      </left>
      <right style="thin">
        <color auto="1"/>
      </right>
      <top style="thin">
        <color auto="1"/>
      </top>
      <bottom style="thin">
        <color auto="1"/>
      </bottom>
      <diagonal/>
    </border>
    <border>
      <left/>
      <right style="medium">
        <color indexed="51"/>
      </right>
      <top/>
      <bottom/>
      <diagonal/>
    </border>
    <border>
      <left style="medium">
        <color indexed="16"/>
      </left>
      <right/>
      <top style="medium">
        <color indexed="16"/>
      </top>
      <bottom style="thin">
        <color indexed="16"/>
      </bottom>
      <diagonal/>
    </border>
    <border>
      <left/>
      <right/>
      <top style="medium">
        <color indexed="16"/>
      </top>
      <bottom style="thin">
        <color indexed="16"/>
      </bottom>
      <diagonal/>
    </border>
    <border>
      <left/>
      <right style="medium">
        <color indexed="16"/>
      </right>
      <top style="medium">
        <color indexed="16"/>
      </top>
      <bottom/>
      <diagonal/>
    </border>
    <border>
      <left style="medium">
        <color indexed="51"/>
      </left>
      <right style="thin">
        <color auto="1"/>
      </right>
      <top style="thin">
        <color auto="1"/>
      </top>
      <bottom style="thin">
        <color auto="1"/>
      </bottom>
      <diagonal/>
    </border>
    <border>
      <left style="medium">
        <color indexed="16"/>
      </left>
      <right/>
      <top style="medium">
        <color indexed="16"/>
      </top>
      <bottom style="thin">
        <color auto="1"/>
      </bottom>
      <diagonal/>
    </border>
    <border>
      <left/>
      <right/>
      <top style="medium">
        <color indexed="16"/>
      </top>
      <bottom style="thin">
        <color auto="1"/>
      </bottom>
      <diagonal/>
    </border>
    <border>
      <left/>
      <right style="medium">
        <color indexed="16"/>
      </right>
      <top style="medium">
        <color indexed="16"/>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style="thick">
        <color indexed="9"/>
      </left>
      <right/>
      <top/>
      <bottom/>
      <diagonal/>
    </border>
    <border>
      <left style="medium">
        <color indexed="51"/>
      </left>
      <right/>
      <top style="hair">
        <color indexed="51"/>
      </top>
      <bottom style="hair">
        <color indexed="51"/>
      </bottom>
      <diagonal/>
    </border>
    <border>
      <left/>
      <right/>
      <top style="hair">
        <color indexed="51"/>
      </top>
      <bottom style="hair">
        <color indexed="51"/>
      </bottom>
      <diagonal/>
    </border>
    <border>
      <left/>
      <right style="medium">
        <color indexed="51"/>
      </right>
      <top style="hair">
        <color indexed="51"/>
      </top>
      <bottom style="hair">
        <color indexed="51"/>
      </bottom>
      <diagonal/>
    </border>
    <border>
      <left style="medium">
        <color indexed="51"/>
      </left>
      <right/>
      <top style="hair">
        <color indexed="51"/>
      </top>
      <bottom style="medium">
        <color indexed="51"/>
      </bottom>
      <diagonal/>
    </border>
    <border>
      <left/>
      <right/>
      <top style="hair">
        <color indexed="51"/>
      </top>
      <bottom style="medium">
        <color indexed="51"/>
      </bottom>
      <diagonal/>
    </border>
    <border>
      <left/>
      <right style="medium">
        <color indexed="51"/>
      </right>
      <top style="hair">
        <color indexed="51"/>
      </top>
      <bottom style="medium">
        <color indexed="51"/>
      </bottom>
      <diagonal/>
    </border>
    <border>
      <left style="medium">
        <color indexed="60"/>
      </left>
      <right/>
      <top style="medium">
        <color indexed="60"/>
      </top>
      <bottom style="medium">
        <color indexed="60"/>
      </bottom>
      <diagonal/>
    </border>
    <border>
      <left/>
      <right/>
      <top style="medium">
        <color indexed="60"/>
      </top>
      <bottom style="medium">
        <color indexed="60"/>
      </bottom>
      <diagonal/>
    </border>
    <border>
      <left/>
      <right style="medium">
        <color indexed="60"/>
      </right>
      <top style="medium">
        <color indexed="60"/>
      </top>
      <bottom style="medium">
        <color indexed="60"/>
      </bottom>
      <diagonal/>
    </border>
    <border>
      <left style="medium">
        <color indexed="18"/>
      </left>
      <right/>
      <top style="medium">
        <color indexed="18"/>
      </top>
      <bottom style="hair">
        <color indexed="18"/>
      </bottom>
      <diagonal/>
    </border>
    <border>
      <left/>
      <right/>
      <top style="medium">
        <color indexed="18"/>
      </top>
      <bottom style="hair">
        <color indexed="18"/>
      </bottom>
      <diagonal/>
    </border>
    <border>
      <left/>
      <right style="medium">
        <color indexed="18"/>
      </right>
      <top style="medium">
        <color indexed="18"/>
      </top>
      <bottom style="hair">
        <color indexed="18"/>
      </bottom>
      <diagonal/>
    </border>
    <border>
      <left style="medium">
        <color indexed="18"/>
      </left>
      <right/>
      <top style="hair">
        <color indexed="18"/>
      </top>
      <bottom style="medium">
        <color indexed="18"/>
      </bottom>
      <diagonal/>
    </border>
    <border>
      <left/>
      <right/>
      <top style="hair">
        <color indexed="18"/>
      </top>
      <bottom style="medium">
        <color indexed="18"/>
      </bottom>
      <diagonal/>
    </border>
    <border>
      <left/>
      <right style="medium">
        <color indexed="18"/>
      </right>
      <top style="hair">
        <color indexed="18"/>
      </top>
      <bottom style="medium">
        <color indexed="18"/>
      </bottom>
      <diagonal/>
    </border>
    <border>
      <left style="medium">
        <color indexed="18"/>
      </left>
      <right/>
      <top style="hair">
        <color indexed="18"/>
      </top>
      <bottom style="hair">
        <color indexed="18"/>
      </bottom>
      <diagonal/>
    </border>
    <border>
      <left/>
      <right/>
      <top style="hair">
        <color indexed="18"/>
      </top>
      <bottom style="hair">
        <color indexed="18"/>
      </bottom>
      <diagonal/>
    </border>
    <border>
      <left/>
      <right style="medium">
        <color indexed="18"/>
      </right>
      <top style="hair">
        <color indexed="18"/>
      </top>
      <bottom style="hair">
        <color indexed="18"/>
      </bottom>
      <diagonal/>
    </border>
    <border>
      <left/>
      <right/>
      <top/>
      <bottom style="medium">
        <color indexed="52"/>
      </bottom>
      <diagonal/>
    </border>
    <border>
      <left/>
      <right style="medium">
        <color indexed="52"/>
      </right>
      <top/>
      <bottom style="medium">
        <color indexed="52"/>
      </bottom>
      <diagonal/>
    </border>
    <border>
      <left style="medium">
        <color indexed="60"/>
      </left>
      <right/>
      <top style="hair">
        <color auto="1"/>
      </top>
      <bottom style="hair">
        <color auto="1"/>
      </bottom>
      <diagonal/>
    </border>
    <border>
      <left/>
      <right/>
      <top style="hair">
        <color auto="1"/>
      </top>
      <bottom style="hair">
        <color auto="1"/>
      </bottom>
      <diagonal/>
    </border>
    <border>
      <left/>
      <right style="medium">
        <color indexed="60"/>
      </right>
      <top style="hair">
        <color auto="1"/>
      </top>
      <bottom style="hair">
        <color auto="1"/>
      </bottom>
      <diagonal/>
    </border>
    <border>
      <left style="medium">
        <color indexed="60"/>
      </left>
      <right/>
      <top/>
      <bottom style="medium">
        <color indexed="60"/>
      </bottom>
      <diagonal/>
    </border>
    <border>
      <left/>
      <right style="medium">
        <color indexed="60"/>
      </right>
      <top/>
      <bottom style="medium">
        <color indexed="60"/>
      </bottom>
      <diagonal/>
    </border>
    <border>
      <left/>
      <right/>
      <top style="hair">
        <color indexed="23"/>
      </top>
      <bottom style="medium">
        <color indexed="60"/>
      </bottom>
      <diagonal/>
    </border>
    <border>
      <left/>
      <right style="medium">
        <color indexed="60"/>
      </right>
      <top style="hair">
        <color indexed="23"/>
      </top>
      <bottom style="medium">
        <color indexed="60"/>
      </bottom>
      <diagonal/>
    </border>
    <border>
      <left/>
      <right/>
      <top style="hair">
        <color indexed="23"/>
      </top>
      <bottom style="hair">
        <color indexed="23"/>
      </bottom>
      <diagonal/>
    </border>
    <border>
      <left/>
      <right style="medium">
        <color indexed="60"/>
      </right>
      <top style="hair">
        <color indexed="23"/>
      </top>
      <bottom style="hair">
        <color indexed="23"/>
      </bottom>
      <diagonal/>
    </border>
    <border>
      <left style="medium">
        <color indexed="60"/>
      </left>
      <right/>
      <top/>
      <bottom style="hair">
        <color auto="1"/>
      </bottom>
      <diagonal/>
    </border>
    <border>
      <left/>
      <right/>
      <top/>
      <bottom style="hair">
        <color auto="1"/>
      </bottom>
      <diagonal/>
    </border>
    <border>
      <left/>
      <right style="medium">
        <color indexed="60"/>
      </right>
      <top/>
      <bottom style="hair">
        <color auto="1"/>
      </bottom>
      <diagonal/>
    </border>
    <border>
      <left style="hair">
        <color auto="1"/>
      </left>
      <right/>
      <top style="hair">
        <color auto="1"/>
      </top>
      <bottom style="hair">
        <color auto="1"/>
      </bottom>
      <diagonal/>
    </border>
    <border>
      <left/>
      <right style="medium">
        <color indexed="51"/>
      </right>
      <top style="hair">
        <color auto="1"/>
      </top>
      <bottom style="hair">
        <color auto="1"/>
      </bottom>
      <diagonal/>
    </border>
    <border>
      <left style="medium">
        <color indexed="51"/>
      </left>
      <right/>
      <top style="medium">
        <color indexed="51"/>
      </top>
      <bottom style="hair">
        <color indexed="51"/>
      </bottom>
      <diagonal/>
    </border>
    <border>
      <left/>
      <right/>
      <top style="medium">
        <color indexed="51"/>
      </top>
      <bottom style="hair">
        <color indexed="51"/>
      </bottom>
      <diagonal/>
    </border>
    <border>
      <left/>
      <right style="medium">
        <color indexed="51"/>
      </right>
      <top style="medium">
        <color indexed="51"/>
      </top>
      <bottom style="hair">
        <color indexed="51"/>
      </bottom>
      <diagonal/>
    </border>
    <border>
      <left/>
      <right style="medium">
        <color indexed="62"/>
      </right>
      <top style="hair">
        <color indexed="23"/>
      </top>
      <bottom style="hair">
        <color indexed="23"/>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right/>
      <top style="medium">
        <color indexed="62"/>
      </top>
      <bottom style="hair">
        <color indexed="23"/>
      </bottom>
      <diagonal/>
    </border>
    <border>
      <left/>
      <right style="medium">
        <color indexed="62"/>
      </right>
      <top style="medium">
        <color indexed="62"/>
      </top>
      <bottom style="hair">
        <color indexed="23"/>
      </bottom>
      <diagonal/>
    </border>
    <border>
      <left/>
      <right/>
      <top style="hair">
        <color indexed="23"/>
      </top>
      <bottom style="medium">
        <color indexed="62"/>
      </bottom>
      <diagonal/>
    </border>
    <border>
      <left/>
      <right style="medium">
        <color indexed="62"/>
      </right>
      <top style="hair">
        <color indexed="23"/>
      </top>
      <bottom style="medium">
        <color indexed="62"/>
      </bottom>
      <diagonal/>
    </border>
    <border>
      <left style="medium">
        <color indexed="51"/>
      </left>
      <right/>
      <top style="medium">
        <color indexed="51"/>
      </top>
      <bottom style="medium">
        <color indexed="51"/>
      </bottom>
      <diagonal/>
    </border>
    <border>
      <left/>
      <right/>
      <top style="medium">
        <color indexed="51"/>
      </top>
      <bottom style="medium">
        <color indexed="51"/>
      </bottom>
      <diagonal/>
    </border>
    <border>
      <left/>
      <right style="medium">
        <color indexed="51"/>
      </right>
      <top style="medium">
        <color indexed="51"/>
      </top>
      <bottom style="medium">
        <color indexed="51"/>
      </bottom>
      <diagonal/>
    </border>
    <border>
      <left style="hair">
        <color auto="1"/>
      </left>
      <right/>
      <top style="medium">
        <color indexed="51"/>
      </top>
      <bottom style="hair">
        <color auto="1"/>
      </bottom>
      <diagonal/>
    </border>
    <border>
      <left/>
      <right/>
      <top style="medium">
        <color indexed="51"/>
      </top>
      <bottom style="hair">
        <color auto="1"/>
      </bottom>
      <diagonal/>
    </border>
    <border>
      <left/>
      <right style="medium">
        <color indexed="51"/>
      </right>
      <top style="medium">
        <color indexed="51"/>
      </top>
      <bottom style="hair">
        <color auto="1"/>
      </bottom>
      <diagonal/>
    </border>
    <border>
      <left style="hair">
        <color indexed="57"/>
      </left>
      <right style="medium">
        <color indexed="57"/>
      </right>
      <top style="medium">
        <color indexed="57"/>
      </top>
      <bottom style="medium">
        <color indexed="57"/>
      </bottom>
      <diagonal/>
    </border>
    <border>
      <left/>
      <right style="medium">
        <color auto="1"/>
      </right>
      <top style="hair">
        <color auto="1"/>
      </top>
      <bottom style="hair">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style="hair">
        <color auto="1"/>
      </right>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top style="hair">
        <color auto="1"/>
      </top>
      <bottom/>
      <diagonal/>
    </border>
    <border>
      <left/>
      <right/>
      <top style="hair">
        <color auto="1"/>
      </top>
      <bottom/>
      <diagonal/>
    </border>
    <border>
      <left/>
      <right style="hair">
        <color auto="1"/>
      </right>
      <top style="hair">
        <color auto="1"/>
      </top>
      <bottom/>
      <diagonal/>
    </border>
    <border>
      <left style="medium">
        <color auto="1"/>
      </left>
      <right/>
      <top/>
      <bottom style="hair">
        <color auto="1"/>
      </bottom>
      <diagonal/>
    </border>
    <border>
      <left/>
      <right style="hair">
        <color auto="1"/>
      </right>
      <top/>
      <bottom style="hair">
        <color auto="1"/>
      </bottom>
      <diagonal/>
    </border>
    <border>
      <left style="medium">
        <color indexed="57"/>
      </left>
      <right style="hair">
        <color indexed="57"/>
      </right>
      <top style="medium">
        <color indexed="57"/>
      </top>
      <bottom style="medium">
        <color indexed="57"/>
      </bottom>
      <diagonal/>
    </border>
    <border>
      <left style="thin">
        <color auto="1"/>
      </left>
      <right style="thin">
        <color auto="1"/>
      </right>
      <top style="thin">
        <color auto="1"/>
      </top>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medium">
        <color auto="1"/>
      </left>
      <right/>
      <top style="medium">
        <color indexed="57"/>
      </top>
      <bottom/>
      <diagonal/>
    </border>
    <border>
      <left/>
      <right/>
      <top style="medium">
        <color indexed="57"/>
      </top>
      <bottom/>
      <diagonal/>
    </border>
    <border>
      <left/>
      <right style="medium">
        <color auto="1"/>
      </right>
      <top style="medium">
        <color indexed="57"/>
      </top>
      <bottom/>
      <diagonal/>
    </border>
    <border>
      <left/>
      <right style="medium">
        <color auto="1"/>
      </right>
      <top/>
      <bottom style="hair">
        <color auto="1"/>
      </bottom>
      <diagonal/>
    </border>
    <border>
      <left style="medium">
        <color auto="1"/>
      </left>
      <right/>
      <top style="hair">
        <color auto="1"/>
      </top>
      <bottom style="hair">
        <color auto="1"/>
      </bottom>
      <diagonal/>
    </border>
    <border>
      <left style="medium">
        <color auto="1"/>
      </left>
      <right/>
      <top style="hair">
        <color auto="1"/>
      </top>
      <bottom style="medium">
        <color auto="1"/>
      </bottom>
      <diagonal/>
    </border>
    <border>
      <left style="hair">
        <color auto="1"/>
      </left>
      <right style="medium">
        <color auto="1"/>
      </right>
      <top/>
      <bottom style="hair">
        <color auto="1"/>
      </bottom>
      <diagonal/>
    </border>
    <border>
      <left style="hair">
        <color auto="1"/>
      </left>
      <right style="medium">
        <color auto="1"/>
      </right>
      <top style="hair">
        <color auto="1"/>
      </top>
      <bottom style="medium">
        <color auto="1"/>
      </bottom>
      <diagonal/>
    </border>
    <border>
      <left style="thin">
        <color indexed="60"/>
      </left>
      <right style="thin">
        <color indexed="60"/>
      </right>
      <top style="thin">
        <color indexed="60"/>
      </top>
      <bottom style="thin">
        <color indexed="60"/>
      </bottom>
      <diagonal/>
    </border>
    <border>
      <left style="thin">
        <color indexed="60"/>
      </left>
      <right style="medium">
        <color indexed="60"/>
      </right>
      <top style="thin">
        <color indexed="60"/>
      </top>
      <bottom style="thin">
        <color indexed="60"/>
      </bottom>
      <diagonal/>
    </border>
    <border>
      <left style="thin">
        <color indexed="60"/>
      </left>
      <right style="thin">
        <color indexed="60"/>
      </right>
      <top style="thin">
        <color indexed="60"/>
      </top>
      <bottom style="medium">
        <color indexed="60"/>
      </bottom>
      <diagonal/>
    </border>
    <border>
      <left/>
      <right/>
      <top style="medium">
        <color rgb="FFFFC000"/>
      </top>
      <bottom/>
      <diagonal/>
    </border>
    <border>
      <left style="thin">
        <color auto="1"/>
      </left>
      <right style="medium">
        <color indexed="51"/>
      </right>
      <top style="thin">
        <color auto="1"/>
      </top>
      <bottom style="medium">
        <color rgb="FFFFC000"/>
      </bottom>
      <diagonal/>
    </border>
  </borders>
  <cellStyleXfs count="66">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3"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0" borderId="0" applyNumberFormat="0" applyBorder="0" applyAlignment="0" applyProtection="0"/>
    <xf numFmtId="0" fontId="15" fillId="8" borderId="0" applyNumberFormat="0" applyBorder="0" applyAlignment="0" applyProtection="0"/>
    <xf numFmtId="0" fontId="15" fillId="12" borderId="0" applyNumberFormat="0" applyBorder="0" applyAlignment="0" applyProtection="0"/>
    <xf numFmtId="0" fontId="15" fillId="3" borderId="0" applyNumberFormat="0" applyBorder="0" applyAlignment="0" applyProtection="0"/>
    <xf numFmtId="0" fontId="15" fillId="12"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2" borderId="0" applyNumberFormat="0" applyBorder="0" applyAlignment="0" applyProtection="0"/>
    <xf numFmtId="0" fontId="15" fillId="17" borderId="0" applyNumberFormat="0" applyBorder="0" applyAlignment="0" applyProtection="0"/>
    <xf numFmtId="0" fontId="5" fillId="6" borderId="0" applyNumberFormat="0" applyBorder="0" applyAlignment="0" applyProtection="0"/>
    <xf numFmtId="0" fontId="9" fillId="2" borderId="1" applyNumberFormat="0" applyAlignment="0" applyProtection="0"/>
    <xf numFmtId="0" fontId="11" fillId="18" borderId="2" applyNumberFormat="0" applyAlignment="0" applyProtection="0"/>
    <xf numFmtId="43" fontId="3" fillId="0" borderId="0" applyFont="0" applyFill="0" applyBorder="0" applyAlignment="0" applyProtection="0"/>
    <xf numFmtId="170" fontId="2" fillId="0" borderId="0" applyFont="0" applyFill="0" applyBorder="0" applyAlignment="0" applyProtection="0"/>
    <xf numFmtId="0" fontId="13" fillId="0" borderId="0" applyNumberFormat="0" applyFill="0" applyBorder="0" applyAlignment="0" applyProtection="0"/>
    <xf numFmtId="0" fontId="4" fillId="7" borderId="0" applyNumberFormat="0" applyBorder="0" applyAlignment="0" applyProtection="0"/>
    <xf numFmtId="0" fontId="74" fillId="0" borderId="4" applyNumberFormat="0" applyFill="0" applyAlignment="0" applyProtection="0"/>
    <xf numFmtId="0" fontId="75" fillId="0" borderId="5" applyNumberFormat="0" applyFill="0" applyAlignment="0" applyProtection="0"/>
    <xf numFmtId="0" fontId="41" fillId="0" borderId="6" applyNumberFormat="0" applyFill="0" applyAlignment="0" applyProtection="0"/>
    <xf numFmtId="0" fontId="41" fillId="0" borderId="0" applyNumberFormat="0" applyFill="0" applyBorder="0" applyAlignment="0" applyProtection="0"/>
    <xf numFmtId="0" fontId="7" fillId="3" borderId="1" applyNumberFormat="0" applyAlignment="0" applyProtection="0"/>
    <xf numFmtId="0" fontId="10" fillId="0" borderId="3" applyNumberFormat="0" applyFill="0" applyAlignment="0" applyProtection="0"/>
    <xf numFmtId="43" fontId="2" fillId="0" borderId="0" applyFill="0" applyBorder="0" applyAlignment="0" applyProtection="0"/>
    <xf numFmtId="43" fontId="13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1" fillId="0" borderId="0"/>
    <xf numFmtId="43" fontId="1" fillId="0" borderId="0"/>
    <xf numFmtId="43" fontId="131" fillId="0" borderId="0"/>
    <xf numFmtId="43" fontId="131" fillId="0" borderId="0"/>
    <xf numFmtId="43" fontId="131" fillId="0" borderId="0"/>
    <xf numFmtId="43" fontId="131" fillId="0" borderId="0"/>
    <xf numFmtId="0" fontId="67" fillId="0" borderId="0"/>
    <xf numFmtId="0" fontId="2" fillId="4" borderId="7" applyNumberFormat="0" applyFont="0" applyAlignment="0" applyProtection="0"/>
    <xf numFmtId="0" fontId="8" fillId="2" borderId="8" applyNumberFormat="0" applyAlignment="0" applyProtection="0"/>
    <xf numFmtId="9" fontId="3" fillId="0" borderId="0" applyFont="0" applyFill="0" applyBorder="0" applyAlignment="0" applyProtection="0"/>
    <xf numFmtId="0" fontId="42" fillId="0" borderId="0" applyNumberFormat="0" applyFill="0" applyBorder="0" applyAlignment="0" applyProtection="0"/>
    <xf numFmtId="43" fontId="131" fillId="0" borderId="9" applyNumberFormat="0" applyFill="0" applyAlignment="0" applyProtection="0"/>
    <xf numFmtId="43" fontId="1" fillId="0" borderId="9" applyNumberFormat="0" applyFill="0" applyAlignment="0" applyProtection="0"/>
    <xf numFmtId="43" fontId="1" fillId="0" borderId="9" applyNumberFormat="0" applyFill="0" applyAlignment="0" applyProtection="0"/>
    <xf numFmtId="43" fontId="131" fillId="0" borderId="9" applyNumberFormat="0" applyFill="0" applyAlignment="0" applyProtection="0"/>
    <xf numFmtId="0" fontId="76" fillId="0" borderId="0" applyNumberFormat="0" applyFill="0" applyBorder="0" applyAlignment="0" applyProtection="0"/>
    <xf numFmtId="164" fontId="135" fillId="0" borderId="0" applyFont="0" applyFill="0" applyBorder="0" applyAlignment="0" applyProtection="0"/>
    <xf numFmtId="0" fontId="2" fillId="0" borderId="0"/>
    <xf numFmtId="9" fontId="131" fillId="0" borderId="0" applyFont="0" applyFill="0" applyBorder="0" applyAlignment="0" applyProtection="0"/>
  </cellStyleXfs>
  <cellXfs count="974">
    <xf numFmtId="0" fontId="0" fillId="0" borderId="0" xfId="0"/>
    <xf numFmtId="43" fontId="16" fillId="0" borderId="0" xfId="39" applyFont="1" applyFill="1" applyAlignment="1">
      <alignment vertical="center"/>
    </xf>
    <xf numFmtId="0" fontId="0" fillId="0" borderId="0" xfId="0" applyBorder="1" applyProtection="1"/>
    <xf numFmtId="0" fontId="0" fillId="0" borderId="0" xfId="0" applyProtection="1"/>
    <xf numFmtId="43" fontId="22" fillId="0" borderId="0" xfId="39" applyFont="1" applyFill="1" applyAlignment="1" applyProtection="1">
      <alignment vertical="center"/>
    </xf>
    <xf numFmtId="0" fontId="21" fillId="0" borderId="0" xfId="0" applyFont="1" applyProtection="1"/>
    <xf numFmtId="43" fontId="19" fillId="0" borderId="0" xfId="50" applyFont="1" applyFill="1" applyAlignment="1" applyProtection="1"/>
    <xf numFmtId="43" fontId="19" fillId="0" borderId="0" xfId="50" applyFont="1" applyFill="1" applyAlignment="1" applyProtection="1">
      <alignment horizontal="center"/>
    </xf>
    <xf numFmtId="43" fontId="19" fillId="0" borderId="0" xfId="50" applyFont="1" applyFill="1" applyAlignment="1" applyProtection="1">
      <alignment horizontal="right"/>
    </xf>
    <xf numFmtId="43" fontId="19" fillId="0" borderId="0" xfId="50" applyFont="1" applyFill="1" applyBorder="1" applyAlignment="1" applyProtection="1">
      <alignment horizontal="center"/>
    </xf>
    <xf numFmtId="43" fontId="131" fillId="0" borderId="0" xfId="49" applyProtection="1"/>
    <xf numFmtId="43" fontId="15" fillId="0" borderId="0" xfId="49" applyFont="1" applyProtection="1"/>
    <xf numFmtId="0" fontId="18" fillId="0" borderId="0" xfId="49" applyNumberFormat="1" applyFont="1" applyBorder="1" applyProtection="1"/>
    <xf numFmtId="43" fontId="131" fillId="0" borderId="0" xfId="51" applyProtection="1"/>
    <xf numFmtId="43" fontId="131" fillId="0" borderId="0" xfId="51" applyFill="1" applyBorder="1" applyAlignment="1" applyProtection="1">
      <alignment horizontal="left"/>
    </xf>
    <xf numFmtId="0" fontId="0" fillId="0" borderId="0" xfId="0" applyFill="1" applyBorder="1" applyProtection="1"/>
    <xf numFmtId="43" fontId="131" fillId="0" borderId="0" xfId="51" applyFill="1" applyBorder="1" applyProtection="1"/>
    <xf numFmtId="0" fontId="15" fillId="0" borderId="0" xfId="0" applyFont="1" applyProtection="1"/>
    <xf numFmtId="43" fontId="15" fillId="0" borderId="0" xfId="51" applyFont="1" applyProtection="1"/>
    <xf numFmtId="0" fontId="0" fillId="0" borderId="0" xfId="0" applyBorder="1"/>
    <xf numFmtId="0" fontId="0" fillId="0" borderId="0" xfId="0" applyFill="1" applyBorder="1"/>
    <xf numFmtId="0" fontId="34" fillId="0" borderId="0" xfId="0" applyFont="1"/>
    <xf numFmtId="15" fontId="29" fillId="0" borderId="0" xfId="0" applyNumberFormat="1" applyFont="1" applyFill="1" applyBorder="1" applyAlignment="1" applyProtection="1">
      <alignment horizontal="center" vertical="center" wrapText="1"/>
      <protection locked="0"/>
    </xf>
    <xf numFmtId="43" fontId="28" fillId="0" borderId="0" xfId="0" applyNumberFormat="1" applyFont="1"/>
    <xf numFmtId="43" fontId="28" fillId="0" borderId="0" xfId="0" applyNumberFormat="1" applyFont="1" applyAlignment="1">
      <alignment horizontal="right"/>
    </xf>
    <xf numFmtId="166" fontId="28" fillId="0" borderId="0" xfId="28" applyNumberFormat="1" applyFont="1" applyAlignment="1">
      <alignment horizontal="left"/>
    </xf>
    <xf numFmtId="43" fontId="16" fillId="0" borderId="0" xfId="48" applyFont="1" applyFill="1" applyAlignment="1">
      <alignment vertical="center"/>
    </xf>
    <xf numFmtId="0" fontId="0" fillId="0" borderId="10" xfId="0" applyBorder="1" applyAlignment="1">
      <alignment horizontal="center"/>
    </xf>
    <xf numFmtId="0" fontId="14" fillId="0" borderId="0" xfId="0" applyFont="1" applyBorder="1" applyAlignment="1">
      <alignment horizontal="center"/>
    </xf>
    <xf numFmtId="0" fontId="1" fillId="0" borderId="0" xfId="0" applyFont="1" applyBorder="1" applyAlignment="1"/>
    <xf numFmtId="0" fontId="1" fillId="0" borderId="0" xfId="0" applyFont="1" applyFill="1" applyBorder="1" applyAlignment="1"/>
    <xf numFmtId="0" fontId="43" fillId="0" borderId="0" xfId="0" applyFont="1"/>
    <xf numFmtId="0" fontId="43" fillId="0" borderId="0" xfId="0" applyFont="1" applyAlignment="1">
      <alignment horizontal="right"/>
    </xf>
    <xf numFmtId="0" fontId="43" fillId="0" borderId="0" xfId="0" applyFont="1" applyBorder="1"/>
    <xf numFmtId="0" fontId="46" fillId="0" borderId="0" xfId="0" applyFont="1"/>
    <xf numFmtId="0" fontId="43" fillId="0" borderId="0" xfId="0" applyNumberFormat="1" applyFont="1" applyBorder="1"/>
    <xf numFmtId="0" fontId="0" fillId="0" borderId="0" xfId="0" applyFill="1"/>
    <xf numFmtId="10" fontId="6" fillId="0" borderId="0" xfId="56" applyNumberFormat="1" applyFont="1" applyFill="1" applyBorder="1" applyAlignment="1">
      <alignment horizontal="center"/>
    </xf>
    <xf numFmtId="10" fontId="6" fillId="0" borderId="0" xfId="56" applyNumberFormat="1" applyFont="1" applyFill="1" applyBorder="1" applyAlignment="1" applyProtection="1">
      <alignment horizontal="center"/>
      <protection locked="0"/>
    </xf>
    <xf numFmtId="43" fontId="28" fillId="0" borderId="0" xfId="0" applyNumberFormat="1" applyFont="1" applyFill="1" applyBorder="1" applyAlignment="1"/>
    <xf numFmtId="43" fontId="131" fillId="0" borderId="0" xfId="61" applyFill="1" applyBorder="1" applyAlignment="1" applyProtection="1">
      <alignment vertical="center"/>
      <protection locked="0"/>
    </xf>
    <xf numFmtId="165" fontId="32" fillId="0" borderId="0" xfId="0" applyNumberFormat="1" applyFont="1" applyFill="1" applyBorder="1" applyAlignment="1">
      <alignment horizontal="center"/>
    </xf>
    <xf numFmtId="0" fontId="26" fillId="0" borderId="0" xfId="0" applyFont="1" applyFill="1" applyBorder="1" applyAlignment="1">
      <alignment horizontal="centerContinuous"/>
    </xf>
    <xf numFmtId="0" fontId="0" fillId="0" borderId="0" xfId="0" applyFill="1" applyBorder="1" applyAlignment="1">
      <alignment horizontal="centerContinuous"/>
    </xf>
    <xf numFmtId="43" fontId="39" fillId="0" borderId="0" xfId="61" applyFont="1" applyFill="1" applyBorder="1" applyAlignment="1" applyProtection="1">
      <alignment vertical="center"/>
      <protection locked="0"/>
    </xf>
    <xf numFmtId="0" fontId="0" fillId="0" borderId="10" xfId="0" applyBorder="1"/>
    <xf numFmtId="0" fontId="0" fillId="0" borderId="0" xfId="0" applyFill="1" applyBorder="1" applyAlignment="1">
      <alignment horizontal="center"/>
    </xf>
    <xf numFmtId="22" fontId="0" fillId="0" borderId="0" xfId="0" applyNumberFormat="1"/>
    <xf numFmtId="2" fontId="0" fillId="0" borderId="0" xfId="0" applyNumberFormat="1" applyFill="1"/>
    <xf numFmtId="2" fontId="131" fillId="0" borderId="0" xfId="58" applyNumberFormat="1" applyFill="1" applyBorder="1" applyAlignment="1" applyProtection="1">
      <alignment horizontal="center"/>
      <protection locked="0"/>
    </xf>
    <xf numFmtId="0" fontId="15" fillId="0" borderId="0" xfId="0" applyFont="1" applyFill="1" applyBorder="1" applyAlignment="1" applyProtection="1">
      <alignment horizontal="center"/>
    </xf>
    <xf numFmtId="0" fontId="23" fillId="0" borderId="0" xfId="0" applyFont="1" applyFill="1" applyAlignment="1" applyProtection="1"/>
    <xf numFmtId="0" fontId="15" fillId="0" borderId="0" xfId="0" applyFont="1" applyAlignment="1" applyProtection="1">
      <alignment horizontal="left" indent="1"/>
    </xf>
    <xf numFmtId="0" fontId="18" fillId="0" borderId="0" xfId="0" applyFont="1" applyAlignment="1" applyProtection="1">
      <alignment horizontal="left" indent="1"/>
    </xf>
    <xf numFmtId="0" fontId="15" fillId="0" borderId="0" xfId="0" applyFont="1" applyFill="1" applyBorder="1" applyProtection="1"/>
    <xf numFmtId="43" fontId="69" fillId="0" borderId="0" xfId="49" applyFont="1" applyProtection="1"/>
    <xf numFmtId="43" fontId="69" fillId="0" borderId="0" xfId="51" applyFont="1" applyProtection="1"/>
    <xf numFmtId="0" fontId="69" fillId="0" borderId="10" xfId="0" applyFont="1" applyFill="1" applyBorder="1" applyAlignment="1" applyProtection="1">
      <alignment horizontal="center"/>
    </xf>
    <xf numFmtId="0" fontId="69" fillId="0" borderId="10" xfId="0" applyFont="1" applyFill="1" applyBorder="1" applyProtection="1"/>
    <xf numFmtId="43" fontId="69" fillId="0" borderId="10" xfId="51" applyFont="1" applyBorder="1" applyProtection="1"/>
    <xf numFmtId="0" fontId="70" fillId="0" borderId="10" xfId="0" applyFont="1" applyBorder="1" applyAlignment="1" applyProtection="1">
      <alignment horizontal="left" indent="1"/>
    </xf>
    <xf numFmtId="0" fontId="71" fillId="0" borderId="10" xfId="0" applyFont="1" applyBorder="1"/>
    <xf numFmtId="0" fontId="72" fillId="19" borderId="10" xfId="0" applyFont="1" applyFill="1" applyBorder="1" applyAlignment="1" applyProtection="1">
      <alignment horizontal="center"/>
    </xf>
    <xf numFmtId="0" fontId="72" fillId="19" borderId="10" xfId="0" applyFont="1" applyFill="1" applyBorder="1" applyAlignment="1">
      <alignment horizontal="center"/>
    </xf>
    <xf numFmtId="0" fontId="21" fillId="0" borderId="0" xfId="0" applyFont="1"/>
    <xf numFmtId="3" fontId="15" fillId="20" borderId="11" xfId="0" applyNumberFormat="1" applyFont="1" applyFill="1" applyBorder="1" applyAlignment="1">
      <alignment horizontal="right"/>
    </xf>
    <xf numFmtId="3" fontId="15" fillId="20" borderId="11" xfId="28" applyNumberFormat="1" applyFont="1" applyFill="1" applyBorder="1"/>
    <xf numFmtId="9" fontId="15" fillId="20" borderId="11" xfId="56" applyFont="1" applyFill="1" applyBorder="1"/>
    <xf numFmtId="9" fontId="15" fillId="20" borderId="11" xfId="56" applyNumberFormat="1" applyFont="1" applyFill="1" applyBorder="1"/>
    <xf numFmtId="0" fontId="15" fillId="20" borderId="11" xfId="0" applyFont="1" applyFill="1" applyBorder="1"/>
    <xf numFmtId="9" fontId="15" fillId="20" borderId="11" xfId="56" applyFont="1" applyFill="1" applyBorder="1" applyAlignment="1">
      <alignment horizontal="center"/>
    </xf>
    <xf numFmtId="0" fontId="15" fillId="0" borderId="0" xfId="0" applyFont="1"/>
    <xf numFmtId="0" fontId="33" fillId="0" borderId="0" xfId="0" applyFont="1" applyAlignment="1">
      <alignment horizontal="center"/>
    </xf>
    <xf numFmtId="43" fontId="61" fillId="0" borderId="0" xfId="48" applyFont="1" applyFill="1" applyAlignment="1">
      <alignment vertical="center"/>
    </xf>
    <xf numFmtId="0" fontId="14" fillId="0" borderId="0" xfId="0" applyFont="1"/>
    <xf numFmtId="0" fontId="46" fillId="0" borderId="0" xfId="0" applyFont="1" applyFill="1"/>
    <xf numFmtId="0" fontId="79" fillId="19" borderId="12" xfId="0" applyFont="1" applyFill="1" applyBorder="1" applyAlignment="1">
      <alignment vertical="center"/>
    </xf>
    <xf numFmtId="0" fontId="77" fillId="0" borderId="0" xfId="53" applyNumberFormat="1" applyFont="1" applyFill="1" applyBorder="1" applyAlignment="1">
      <alignment horizontal="center" vertical="center" wrapText="1"/>
    </xf>
    <xf numFmtId="0" fontId="77" fillId="21" borderId="13" xfId="53" applyNumberFormat="1" applyFont="1" applyFill="1" applyBorder="1" applyAlignment="1">
      <alignment horizontal="center" vertical="center" wrapText="1"/>
    </xf>
    <xf numFmtId="15" fontId="0" fillId="0" borderId="0" xfId="0" applyNumberFormat="1" applyFont="1" applyFill="1" applyBorder="1" applyAlignment="1">
      <alignment horizontal="center"/>
    </xf>
    <xf numFmtId="1" fontId="21" fillId="0" borderId="0" xfId="0" applyNumberFormat="1" applyFont="1" applyFill="1" applyBorder="1" applyAlignment="1">
      <alignment horizontal="center"/>
    </xf>
    <xf numFmtId="1" fontId="82" fillId="20" borderId="0" xfId="0" applyNumberFormat="1" applyFont="1" applyFill="1" applyBorder="1" applyAlignment="1">
      <alignment horizontal="center"/>
    </xf>
    <xf numFmtId="0" fontId="82" fillId="0" borderId="0" xfId="0" applyFont="1" applyFill="1" applyBorder="1" applyAlignment="1" applyProtection="1">
      <alignment horizontal="left"/>
    </xf>
    <xf numFmtId="0" fontId="83" fillId="0" borderId="0" xfId="0" applyFont="1"/>
    <xf numFmtId="43" fontId="39" fillId="0" borderId="0" xfId="61" applyFont="1" applyFill="1" applyBorder="1" applyAlignment="1" applyProtection="1">
      <alignment horizontal="center" vertical="center"/>
      <protection locked="0"/>
    </xf>
    <xf numFmtId="15" fontId="0" fillId="0" borderId="0" xfId="0" applyNumberFormat="1"/>
    <xf numFmtId="0" fontId="0" fillId="0" borderId="10" xfId="0" quotePrefix="1" applyNumberFormat="1" applyBorder="1"/>
    <xf numFmtId="43" fontId="31" fillId="0" borderId="14" xfId="61" applyFont="1" applyBorder="1" applyAlignment="1" applyProtection="1"/>
    <xf numFmtId="43" fontId="131" fillId="0" borderId="14" xfId="61" applyFill="1" applyBorder="1" applyAlignment="1" applyProtection="1">
      <alignment vertical="center"/>
    </xf>
    <xf numFmtId="43" fontId="3" fillId="0" borderId="14" xfId="61" applyFont="1" applyFill="1" applyBorder="1" applyAlignment="1" applyProtection="1">
      <alignment vertical="center"/>
    </xf>
    <xf numFmtId="43" fontId="31" fillId="0" borderId="0" xfId="61" applyFont="1" applyBorder="1" applyAlignment="1" applyProtection="1"/>
    <xf numFmtId="43" fontId="131" fillId="0" borderId="0" xfId="61" applyFill="1" applyBorder="1" applyAlignment="1" applyProtection="1">
      <alignment vertical="center"/>
    </xf>
    <xf numFmtId="43" fontId="3" fillId="0" borderId="0" xfId="61" applyFont="1" applyFill="1" applyBorder="1" applyAlignment="1" applyProtection="1">
      <alignment vertical="center"/>
    </xf>
    <xf numFmtId="0" fontId="32" fillId="0" borderId="15" xfId="0" applyFont="1" applyBorder="1" applyAlignment="1" applyProtection="1">
      <alignment horizontal="center"/>
    </xf>
    <xf numFmtId="15" fontId="32" fillId="0" borderId="16" xfId="0" applyNumberFormat="1" applyFont="1" applyBorder="1" applyAlignment="1" applyProtection="1">
      <alignment horizontal="center"/>
    </xf>
    <xf numFmtId="0" fontId="32" fillId="0" borderId="17" xfId="0" applyFont="1" applyBorder="1" applyAlignment="1" applyProtection="1">
      <alignment horizontal="center"/>
    </xf>
    <xf numFmtId="166" fontId="15" fillId="0" borderId="0" xfId="0" applyNumberFormat="1" applyFont="1" applyFill="1" applyBorder="1" applyAlignment="1" applyProtection="1"/>
    <xf numFmtId="0" fontId="6" fillId="0" borderId="0" xfId="0" applyFont="1" applyFill="1" applyBorder="1" applyAlignment="1" applyProtection="1">
      <alignment horizontal="centerContinuous"/>
    </xf>
    <xf numFmtId="10" fontId="6" fillId="0" borderId="0" xfId="56" applyNumberFormat="1" applyFont="1" applyFill="1" applyBorder="1" applyAlignment="1" applyProtection="1">
      <alignment horizontal="center"/>
    </xf>
    <xf numFmtId="0" fontId="6" fillId="0" borderId="0" xfId="0" applyFont="1" applyFill="1" applyBorder="1" applyAlignment="1" applyProtection="1"/>
    <xf numFmtId="0" fontId="26" fillId="0" borderId="0" xfId="0" applyFont="1" applyFill="1" applyBorder="1" applyAlignment="1" applyProtection="1">
      <alignment horizontal="centerContinuous" wrapText="1"/>
    </xf>
    <xf numFmtId="0" fontId="26" fillId="0" borderId="0" xfId="0" applyFont="1" applyFill="1" applyBorder="1" applyAlignment="1" applyProtection="1">
      <alignment horizontal="centerContinuous"/>
    </xf>
    <xf numFmtId="0" fontId="0" fillId="0" borderId="0" xfId="0" applyFill="1" applyBorder="1" applyAlignment="1" applyProtection="1">
      <alignment horizontal="centerContinuous"/>
    </xf>
    <xf numFmtId="15" fontId="26" fillId="0" borderId="18" xfId="0" applyNumberFormat="1" applyFont="1" applyFill="1" applyBorder="1" applyAlignment="1" applyProtection="1"/>
    <xf numFmtId="0" fontId="26" fillId="0" borderId="18" xfId="0" applyFont="1" applyFill="1" applyBorder="1" applyProtection="1"/>
    <xf numFmtId="0" fontId="26" fillId="0" borderId="19" xfId="0" applyFont="1" applyFill="1" applyBorder="1" applyProtection="1"/>
    <xf numFmtId="43" fontId="38" fillId="0" borderId="20" xfId="61" applyFont="1" applyBorder="1" applyAlignment="1" applyProtection="1"/>
    <xf numFmtId="43" fontId="39" fillId="0" borderId="20" xfId="61" applyFont="1" applyFill="1" applyBorder="1" applyAlignment="1" applyProtection="1">
      <alignment vertical="center"/>
    </xf>
    <xf numFmtId="43" fontId="39" fillId="0" borderId="20" xfId="61" applyFont="1" applyFill="1" applyBorder="1" applyAlignment="1" applyProtection="1">
      <alignment horizontal="center" vertical="center"/>
    </xf>
    <xf numFmtId="43" fontId="39" fillId="0" borderId="0" xfId="61" applyFont="1" applyFill="1" applyBorder="1" applyAlignment="1" applyProtection="1">
      <alignment vertical="center"/>
    </xf>
    <xf numFmtId="43" fontId="38" fillId="0" borderId="0" xfId="61" applyFont="1" applyBorder="1" applyAlignment="1" applyProtection="1"/>
    <xf numFmtId="43" fontId="40" fillId="0" borderId="0" xfId="61" applyFont="1" applyFill="1" applyBorder="1" applyAlignment="1" applyProtection="1">
      <alignment vertical="center"/>
    </xf>
    <xf numFmtId="0" fontId="14" fillId="0" borderId="0" xfId="0" applyFont="1" applyBorder="1" applyAlignment="1" applyProtection="1">
      <alignment horizontal="center"/>
    </xf>
    <xf numFmtId="0" fontId="0" fillId="0" borderId="21" xfId="0" applyBorder="1" applyAlignment="1" applyProtection="1">
      <alignment horizontal="center"/>
    </xf>
    <xf numFmtId="0" fontId="14" fillId="0" borderId="21" xfId="0" applyFont="1" applyBorder="1" applyAlignment="1" applyProtection="1">
      <alignment horizontal="center"/>
    </xf>
    <xf numFmtId="0" fontId="14" fillId="0" borderId="21" xfId="0" applyFont="1" applyBorder="1" applyAlignment="1" applyProtection="1">
      <alignment horizontal="center" wrapText="1"/>
    </xf>
    <xf numFmtId="0" fontId="14" fillId="0" borderId="22" xfId="0" applyFont="1" applyBorder="1" applyAlignment="1" applyProtection="1">
      <alignment horizontal="center"/>
    </xf>
    <xf numFmtId="1" fontId="21" fillId="20" borderId="23" xfId="0" applyNumberFormat="1" applyFont="1" applyFill="1" applyBorder="1" applyAlignment="1" applyProtection="1">
      <alignment horizontal="center"/>
    </xf>
    <xf numFmtId="1" fontId="21" fillId="20" borderId="24" xfId="0" applyNumberFormat="1" applyFont="1" applyFill="1" applyBorder="1" applyAlignment="1" applyProtection="1">
      <alignment horizontal="center"/>
    </xf>
    <xf numFmtId="0" fontId="0" fillId="0" borderId="25" xfId="0" applyBorder="1" applyProtection="1"/>
    <xf numFmtId="0" fontId="0" fillId="0" borderId="22" xfId="0" applyBorder="1" applyAlignment="1" applyProtection="1">
      <alignment horizontal="center"/>
    </xf>
    <xf numFmtId="0" fontId="32" fillId="0" borderId="21" xfId="0" applyFont="1" applyBorder="1" applyAlignment="1" applyProtection="1">
      <alignment horizontal="center"/>
    </xf>
    <xf numFmtId="0" fontId="32" fillId="0" borderId="22" xfId="0" applyFont="1" applyBorder="1" applyAlignment="1" applyProtection="1">
      <alignment horizontal="center"/>
    </xf>
    <xf numFmtId="0" fontId="0" fillId="0" borderId="0" xfId="0" applyFill="1" applyBorder="1" applyAlignment="1" applyProtection="1">
      <alignment horizontal="center" wrapText="1"/>
    </xf>
    <xf numFmtId="43" fontId="101" fillId="0" borderId="0" xfId="28" applyFont="1" applyFill="1" applyBorder="1" applyProtection="1"/>
    <xf numFmtId="43" fontId="0" fillId="0" borderId="0" xfId="0" applyNumberFormat="1" applyFill="1" applyBorder="1" applyProtection="1"/>
    <xf numFmtId="43" fontId="68" fillId="0" borderId="26" xfId="61" applyFont="1" applyFill="1" applyBorder="1" applyAlignment="1" applyProtection="1"/>
    <xf numFmtId="43" fontId="39" fillId="0" borderId="26" xfId="61" applyFont="1" applyFill="1" applyBorder="1" applyAlignment="1" applyProtection="1">
      <alignment vertical="center"/>
    </xf>
    <xf numFmtId="0" fontId="67" fillId="0" borderId="27" xfId="0" applyFont="1" applyFill="1" applyBorder="1" applyProtection="1"/>
    <xf numFmtId="0" fontId="67" fillId="0" borderId="28" xfId="0" applyFont="1" applyFill="1" applyBorder="1" applyProtection="1"/>
    <xf numFmtId="3" fontId="67" fillId="22" borderId="10" xfId="0" applyNumberFormat="1" applyFont="1" applyFill="1" applyBorder="1" applyAlignment="1" applyProtection="1">
      <alignment vertical="center"/>
      <protection locked="0"/>
    </xf>
    <xf numFmtId="3" fontId="67" fillId="22" borderId="29" xfId="0" applyNumberFormat="1" applyFont="1" applyFill="1" applyBorder="1" applyAlignment="1" applyProtection="1">
      <alignment vertical="center"/>
      <protection locked="0"/>
    </xf>
    <xf numFmtId="43" fontId="28" fillId="0" borderId="0" xfId="0" applyNumberFormat="1" applyFont="1" applyAlignment="1" applyProtection="1">
      <alignment horizontal="right"/>
    </xf>
    <xf numFmtId="166" fontId="28" fillId="0" borderId="0" xfId="28" applyNumberFormat="1" applyFont="1" applyAlignment="1" applyProtection="1">
      <alignment horizontal="left"/>
    </xf>
    <xf numFmtId="15" fontId="28" fillId="0" borderId="0" xfId="0" applyNumberFormat="1" applyFont="1" applyAlignment="1" applyProtection="1">
      <alignment horizontal="left"/>
    </xf>
    <xf numFmtId="15" fontId="28" fillId="0" borderId="0" xfId="0" applyNumberFormat="1" applyFont="1" applyAlignment="1" applyProtection="1">
      <alignment horizontal="right"/>
    </xf>
    <xf numFmtId="43" fontId="28" fillId="0" borderId="0" xfId="0" applyNumberFormat="1" applyFont="1" applyProtection="1"/>
    <xf numFmtId="43" fontId="28" fillId="0" borderId="0" xfId="0" applyNumberFormat="1" applyFont="1" applyBorder="1" applyProtection="1"/>
    <xf numFmtId="43" fontId="28" fillId="0" borderId="0" xfId="0" applyNumberFormat="1" applyFont="1" applyBorder="1" applyAlignment="1" applyProtection="1">
      <alignment horizontal="right"/>
    </xf>
    <xf numFmtId="166" fontId="28" fillId="0" borderId="0" xfId="28" applyNumberFormat="1" applyFont="1" applyBorder="1" applyAlignment="1" applyProtection="1">
      <alignment horizontal="left"/>
    </xf>
    <xf numFmtId="0" fontId="19" fillId="0" borderId="0" xfId="0" applyFont="1" applyBorder="1" applyAlignment="1" applyProtection="1">
      <alignment horizontal="center"/>
    </xf>
    <xf numFmtId="0" fontId="19" fillId="0" borderId="0" xfId="0" applyFont="1" applyAlignment="1" applyProtection="1">
      <alignment horizontal="center"/>
    </xf>
    <xf numFmtId="0" fontId="34" fillId="0" borderId="0" xfId="0" applyFont="1" applyBorder="1" applyProtection="1"/>
    <xf numFmtId="0" fontId="34" fillId="0" borderId="10" xfId="0" applyFont="1" applyBorder="1" applyAlignment="1" applyProtection="1">
      <alignment horizontal="center" vertical="center" wrapText="1"/>
    </xf>
    <xf numFmtId="15" fontId="26" fillId="0" borderId="0" xfId="0" applyNumberFormat="1" applyFont="1" applyFill="1" applyBorder="1" applyAlignment="1" applyProtection="1"/>
    <xf numFmtId="15" fontId="26" fillId="0" borderId="0" xfId="0" applyNumberFormat="1" applyFont="1" applyFill="1" applyBorder="1" applyAlignment="1" applyProtection="1">
      <alignment horizontal="center" wrapText="1"/>
    </xf>
    <xf numFmtId="0" fontId="26" fillId="0" borderId="0" xfId="0" applyFont="1" applyFill="1" applyBorder="1" applyProtection="1"/>
    <xf numFmtId="0" fontId="0" fillId="0" borderId="0" xfId="0" applyFill="1" applyBorder="1" applyAlignment="1" applyProtection="1">
      <alignment horizontal="center"/>
    </xf>
    <xf numFmtId="0" fontId="26" fillId="0" borderId="0" xfId="0" applyFont="1" applyFill="1" applyBorder="1" applyAlignment="1" applyProtection="1"/>
    <xf numFmtId="0" fontId="0" fillId="0" borderId="22" xfId="0" applyBorder="1" applyAlignment="1" applyProtection="1">
      <alignment horizontal="center" wrapText="1"/>
    </xf>
    <xf numFmtId="0" fontId="43" fillId="0" borderId="0" xfId="0" applyFont="1" applyProtection="1"/>
    <xf numFmtId="0" fontId="43" fillId="0" borderId="0" xfId="0" applyFont="1" applyAlignment="1" applyProtection="1">
      <alignment horizontal="right"/>
    </xf>
    <xf numFmtId="0" fontId="43" fillId="0" borderId="0" xfId="0" applyFont="1" applyBorder="1" applyProtection="1"/>
    <xf numFmtId="0" fontId="45" fillId="0" borderId="0" xfId="0" applyFont="1" applyBorder="1" applyAlignment="1" applyProtection="1">
      <alignment horizontal="left" vertical="center"/>
    </xf>
    <xf numFmtId="0" fontId="45" fillId="0" borderId="0" xfId="0" applyFont="1" applyBorder="1" applyAlignment="1" applyProtection="1">
      <alignment horizontal="left"/>
    </xf>
    <xf numFmtId="167" fontId="45" fillId="0" borderId="0" xfId="0" applyNumberFormat="1" applyFont="1" applyBorder="1" applyAlignment="1" applyProtection="1">
      <alignment horizontal="left"/>
    </xf>
    <xf numFmtId="0" fontId="46" fillId="0" borderId="0" xfId="0" applyFont="1" applyProtection="1"/>
    <xf numFmtId="0" fontId="47" fillId="0" borderId="0" xfId="0" applyFont="1" applyFill="1" applyBorder="1" applyProtection="1"/>
    <xf numFmtId="0" fontId="48" fillId="0" borderId="0" xfId="0" applyFont="1" applyFill="1" applyBorder="1" applyProtection="1"/>
    <xf numFmtId="0" fontId="50" fillId="0" borderId="0" xfId="0" applyFont="1" applyFill="1" applyBorder="1" applyAlignment="1" applyProtection="1">
      <alignment horizontal="right"/>
    </xf>
    <xf numFmtId="0" fontId="51" fillId="0" borderId="0" xfId="0" applyFont="1" applyFill="1" applyBorder="1" applyAlignment="1" applyProtection="1">
      <alignment horizontal="center"/>
    </xf>
    <xf numFmtId="0" fontId="34" fillId="0" borderId="0" xfId="0" applyFont="1" applyBorder="1" applyAlignment="1" applyProtection="1">
      <alignment horizontal="center" vertical="center"/>
    </xf>
    <xf numFmtId="0" fontId="52" fillId="20" borderId="0" xfId="0" applyFont="1" applyFill="1" applyBorder="1" applyAlignment="1" applyProtection="1">
      <alignment horizontal="left" vertical="center"/>
    </xf>
    <xf numFmtId="3" fontId="57" fillId="0" borderId="0" xfId="0" applyNumberFormat="1" applyFont="1" applyFill="1" applyBorder="1" applyAlignment="1" applyProtection="1">
      <alignment horizontal="right" vertical="center"/>
    </xf>
    <xf numFmtId="0" fontId="58" fillId="20" borderId="0" xfId="0" applyFont="1" applyFill="1" applyBorder="1" applyAlignment="1" applyProtection="1">
      <alignment horizontal="left" vertical="center"/>
    </xf>
    <xf numFmtId="169" fontId="52" fillId="20" borderId="0" xfId="0" applyNumberFormat="1" applyFont="1" applyFill="1" applyBorder="1" applyAlignment="1" applyProtection="1">
      <alignment vertical="center"/>
    </xf>
    <xf numFmtId="0" fontId="53" fillId="20" borderId="0" xfId="0" applyNumberFormat="1" applyFont="1" applyFill="1" applyBorder="1" applyAlignment="1" applyProtection="1">
      <alignment horizontal="right"/>
    </xf>
    <xf numFmtId="0" fontId="63" fillId="20" borderId="0" xfId="0" applyFont="1" applyFill="1" applyBorder="1" applyAlignment="1" applyProtection="1">
      <alignment horizontal="center" vertical="center"/>
    </xf>
    <xf numFmtId="0" fontId="54" fillId="20" borderId="0" xfId="0" applyFont="1" applyFill="1" applyBorder="1" applyAlignment="1" applyProtection="1">
      <alignment horizontal="center" vertical="center"/>
    </xf>
    <xf numFmtId="168" fontId="52" fillId="20" borderId="0" xfId="56" applyNumberFormat="1" applyFont="1" applyFill="1" applyBorder="1" applyAlignment="1" applyProtection="1">
      <alignment horizontal="right"/>
    </xf>
    <xf numFmtId="9" fontId="55" fillId="20" borderId="0" xfId="0" applyNumberFormat="1" applyFont="1" applyFill="1" applyBorder="1" applyProtection="1"/>
    <xf numFmtId="0" fontId="56" fillId="20" borderId="0" xfId="0" applyFont="1" applyFill="1" applyBorder="1" applyAlignment="1" applyProtection="1">
      <alignment horizontal="center" vertical="center"/>
    </xf>
    <xf numFmtId="9" fontId="55" fillId="20" borderId="0" xfId="0" applyNumberFormat="1" applyFont="1" applyFill="1" applyBorder="1" applyAlignment="1" applyProtection="1">
      <alignment horizontal="left"/>
    </xf>
    <xf numFmtId="0" fontId="64" fillId="0" borderId="0" xfId="0" applyFont="1" applyFill="1" applyBorder="1" applyAlignment="1" applyProtection="1">
      <alignment horizontal="center" vertical="center"/>
    </xf>
    <xf numFmtId="0" fontId="49" fillId="0" borderId="0" xfId="0" applyFont="1" applyFill="1" applyBorder="1" applyAlignment="1" applyProtection="1">
      <alignment horizontal="center" vertical="center"/>
    </xf>
    <xf numFmtId="0" fontId="49" fillId="0" borderId="0" xfId="0" applyFont="1" applyFill="1" applyBorder="1" applyAlignment="1" applyProtection="1">
      <alignment horizontal="right" vertical="center" indent="1"/>
    </xf>
    <xf numFmtId="0" fontId="53" fillId="0" borderId="30" xfId="0" applyNumberFormat="1" applyFont="1" applyFill="1" applyBorder="1" applyAlignment="1" applyProtection="1">
      <alignment horizontal="right"/>
    </xf>
    <xf numFmtId="0" fontId="53" fillId="0" borderId="31" xfId="0" applyNumberFormat="1" applyFont="1" applyFill="1" applyBorder="1" applyAlignment="1" applyProtection="1">
      <alignment horizontal="right"/>
    </xf>
    <xf numFmtId="0" fontId="53" fillId="0" borderId="32" xfId="0" applyNumberFormat="1" applyFont="1" applyFill="1" applyBorder="1" applyAlignment="1" applyProtection="1">
      <alignment horizontal="right"/>
    </xf>
    <xf numFmtId="0" fontId="62" fillId="0" borderId="0" xfId="0" applyFont="1" applyFill="1" applyBorder="1" applyAlignment="1" applyProtection="1">
      <alignment horizontal="center"/>
    </xf>
    <xf numFmtId="0" fontId="53" fillId="0" borderId="0" xfId="0" applyNumberFormat="1" applyFont="1" applyFill="1" applyBorder="1" applyAlignment="1" applyProtection="1">
      <alignment horizontal="right"/>
    </xf>
    <xf numFmtId="0" fontId="63" fillId="0" borderId="0" xfId="0" applyFont="1" applyFill="1" applyBorder="1" applyAlignment="1" applyProtection="1">
      <alignment horizontal="center" vertical="center"/>
    </xf>
    <xf numFmtId="9" fontId="66" fillId="0" borderId="0" xfId="0" applyNumberFormat="1" applyFont="1" applyFill="1" applyBorder="1" applyAlignment="1" applyProtection="1"/>
    <xf numFmtId="9" fontId="66" fillId="0" borderId="0" xfId="0" applyNumberFormat="1" applyFont="1" applyFill="1" applyBorder="1" applyAlignment="1" applyProtection="1">
      <alignment horizontal="center"/>
    </xf>
    <xf numFmtId="0" fontId="53" fillId="0" borderId="33" xfId="0" applyNumberFormat="1" applyFont="1" applyFill="1" applyBorder="1" applyAlignment="1" applyProtection="1">
      <alignment horizontal="right"/>
    </xf>
    <xf numFmtId="9" fontId="55" fillId="0" borderId="0" xfId="0" applyNumberFormat="1" applyFont="1" applyFill="1" applyBorder="1" applyProtection="1"/>
    <xf numFmtId="0" fontId="53" fillId="0" borderId="34" xfId="0" applyNumberFormat="1" applyFont="1" applyFill="1" applyBorder="1" applyAlignment="1" applyProtection="1">
      <alignment horizontal="right"/>
    </xf>
    <xf numFmtId="0" fontId="53" fillId="0" borderId="35" xfId="0" applyNumberFormat="1" applyFont="1" applyFill="1" applyBorder="1" applyAlignment="1" applyProtection="1">
      <alignment horizontal="right"/>
    </xf>
    <xf numFmtId="0" fontId="34" fillId="0" borderId="36" xfId="0" applyNumberFormat="1" applyFont="1" applyFill="1" applyBorder="1" applyAlignment="1" applyProtection="1">
      <alignment vertical="center"/>
    </xf>
    <xf numFmtId="0" fontId="34" fillId="0" borderId="37" xfId="0" applyNumberFormat="1" applyFont="1" applyFill="1" applyBorder="1" applyAlignment="1" applyProtection="1">
      <alignment vertical="center"/>
    </xf>
    <xf numFmtId="0" fontId="34" fillId="0" borderId="38" xfId="0" applyNumberFormat="1" applyFont="1" applyFill="1" applyBorder="1" applyAlignment="1" applyProtection="1">
      <alignment vertical="center"/>
    </xf>
    <xf numFmtId="0" fontId="44" fillId="0" borderId="0" xfId="0" applyFont="1" applyProtection="1"/>
    <xf numFmtId="0" fontId="65" fillId="0" borderId="0" xfId="0" applyFont="1" applyProtection="1"/>
    <xf numFmtId="0" fontId="59" fillId="0" borderId="0" xfId="0" applyFont="1" applyProtection="1"/>
    <xf numFmtId="0" fontId="73" fillId="0" borderId="0" xfId="0" applyFont="1" applyBorder="1" applyAlignment="1" applyProtection="1">
      <alignment wrapText="1"/>
    </xf>
    <xf numFmtId="0" fontId="69" fillId="0" borderId="0" xfId="0" applyFont="1" applyFill="1" applyBorder="1" applyAlignment="1" applyProtection="1"/>
    <xf numFmtId="43" fontId="15" fillId="0" borderId="0" xfId="0" applyNumberFormat="1" applyFont="1"/>
    <xf numFmtId="0" fontId="28" fillId="0" borderId="0" xfId="0" applyNumberFormat="1" applyFont="1" applyAlignment="1" applyProtection="1">
      <alignment horizontal="center"/>
    </xf>
    <xf numFmtId="0" fontId="28" fillId="0" borderId="0" xfId="0" applyFont="1" applyAlignment="1" applyProtection="1">
      <alignment horizontal="center"/>
    </xf>
    <xf numFmtId="15" fontId="28" fillId="0" borderId="0" xfId="0" applyNumberFormat="1" applyFont="1" applyAlignment="1" applyProtection="1">
      <alignment horizontal="center"/>
    </xf>
    <xf numFmtId="43" fontId="0" fillId="0" borderId="0" xfId="0" applyNumberFormat="1" applyAlignment="1" applyProtection="1">
      <alignment horizontal="right"/>
    </xf>
    <xf numFmtId="3" fontId="0" fillId="0" borderId="0" xfId="0" applyNumberFormat="1" applyProtection="1"/>
    <xf numFmtId="43" fontId="37" fillId="0" borderId="0" xfId="0" applyNumberFormat="1" applyFont="1" applyBorder="1" applyProtection="1"/>
    <xf numFmtId="43" fontId="37" fillId="0" borderId="0" xfId="0" applyNumberFormat="1" applyFont="1" applyProtection="1"/>
    <xf numFmtId="166" fontId="6" fillId="0" borderId="0" xfId="28" applyNumberFormat="1" applyFont="1" applyFill="1" applyBorder="1" applyAlignment="1" applyProtection="1">
      <protection locked="0"/>
    </xf>
    <xf numFmtId="166" fontId="6" fillId="0" borderId="0" xfId="28" applyNumberFormat="1" applyFont="1" applyFill="1" applyBorder="1" applyProtection="1">
      <protection locked="0"/>
    </xf>
    <xf numFmtId="0" fontId="0" fillId="0" borderId="0" xfId="0" applyBorder="1" applyAlignment="1">
      <alignment horizontal="center"/>
    </xf>
    <xf numFmtId="0" fontId="15" fillId="20" borderId="0" xfId="0" applyFont="1" applyFill="1"/>
    <xf numFmtId="165" fontId="15" fillId="20" borderId="0" xfId="0" applyNumberFormat="1" applyFont="1" applyFill="1"/>
    <xf numFmtId="166" fontId="15" fillId="20" borderId="0" xfId="0" applyNumberFormat="1" applyFont="1" applyFill="1"/>
    <xf numFmtId="3" fontId="15" fillId="20" borderId="0" xfId="0" applyNumberFormat="1" applyFont="1" applyFill="1" applyProtection="1"/>
    <xf numFmtId="165" fontId="15" fillId="20" borderId="0" xfId="0" applyNumberFormat="1" applyFont="1" applyFill="1" applyProtection="1"/>
    <xf numFmtId="0" fontId="34" fillId="0" borderId="0" xfId="0" applyFont="1" applyFill="1" applyAlignment="1" applyProtection="1">
      <alignment horizontal="left"/>
      <protection locked="0"/>
    </xf>
    <xf numFmtId="0" fontId="34" fillId="0" borderId="0" xfId="0" applyFont="1" applyFill="1" applyBorder="1" applyAlignment="1" applyProtection="1">
      <alignment horizontal="left"/>
      <protection locked="0"/>
    </xf>
    <xf numFmtId="0" fontId="28" fillId="0" borderId="0" xfId="0" applyFont="1" applyFill="1" applyBorder="1" applyAlignment="1">
      <alignment vertical="center" wrapText="1"/>
    </xf>
    <xf numFmtId="0" fontId="28" fillId="0" borderId="0" xfId="0" applyFont="1" applyFill="1" applyBorder="1" applyAlignment="1">
      <alignment horizontal="center"/>
    </xf>
    <xf numFmtId="0" fontId="0" fillId="20" borderId="0" xfId="0" applyFill="1" applyBorder="1" applyAlignment="1">
      <alignment horizontal="center"/>
    </xf>
    <xf numFmtId="0" fontId="28" fillId="0" borderId="39" xfId="0" applyFont="1" applyFill="1" applyBorder="1" applyAlignment="1" applyProtection="1">
      <alignment horizontal="center" wrapText="1"/>
    </xf>
    <xf numFmtId="0" fontId="28" fillId="0" borderId="40" xfId="0" applyFont="1" applyFill="1" applyBorder="1" applyAlignment="1" applyProtection="1">
      <alignment horizontal="center" wrapText="1"/>
    </xf>
    <xf numFmtId="0" fontId="0" fillId="0" borderId="40" xfId="0" applyBorder="1" applyProtection="1"/>
    <xf numFmtId="43" fontId="17" fillId="0" borderId="0" xfId="47" applyFont="1" applyFill="1" applyAlignment="1" applyProtection="1">
      <alignment horizontal="center" vertical="center"/>
    </xf>
    <xf numFmtId="43" fontId="16" fillId="0" borderId="0" xfId="47" applyFont="1" applyFill="1" applyAlignment="1" applyProtection="1">
      <alignment vertical="center"/>
    </xf>
    <xf numFmtId="0" fontId="84" fillId="0" borderId="0" xfId="0" applyFont="1"/>
    <xf numFmtId="43" fontId="14" fillId="0" borderId="0" xfId="0" applyNumberFormat="1" applyFont="1" applyAlignment="1" applyProtection="1">
      <alignment horizontal="center"/>
    </xf>
    <xf numFmtId="43" fontId="20" fillId="0" borderId="41" xfId="58" applyFont="1" applyBorder="1" applyAlignment="1" applyProtection="1">
      <alignment horizontal="right"/>
    </xf>
    <xf numFmtId="0" fontId="12" fillId="0" borderId="0" xfId="0" applyFont="1"/>
    <xf numFmtId="0" fontId="0" fillId="20" borderId="0" xfId="0" applyFill="1" applyProtection="1"/>
    <xf numFmtId="0" fontId="0" fillId="20" borderId="42" xfId="0" applyFill="1" applyBorder="1" applyProtection="1"/>
    <xf numFmtId="43" fontId="90" fillId="0" borderId="0" xfId="0" applyNumberFormat="1" applyFont="1"/>
    <xf numFmtId="0" fontId="90" fillId="0" borderId="0" xfId="0" applyFont="1"/>
    <xf numFmtId="43" fontId="0" fillId="0" borderId="0" xfId="0" quotePrefix="1" applyNumberFormat="1"/>
    <xf numFmtId="43" fontId="0" fillId="0" borderId="0" xfId="0" applyNumberFormat="1"/>
    <xf numFmtId="0" fontId="34" fillId="0" borderId="43" xfId="0" applyNumberFormat="1" applyFont="1" applyFill="1" applyBorder="1" applyAlignment="1" applyProtection="1">
      <alignment vertical="center"/>
    </xf>
    <xf numFmtId="43" fontId="131" fillId="0" borderId="0" xfId="52" applyFill="1" applyBorder="1" applyAlignment="1" applyProtection="1">
      <alignment horizontal="center"/>
    </xf>
    <xf numFmtId="0" fontId="34" fillId="0" borderId="0" xfId="0" quotePrefix="1" applyFont="1" applyProtection="1"/>
    <xf numFmtId="0" fontId="63" fillId="0" borderId="27" xfId="0" applyFont="1" applyBorder="1" applyAlignment="1">
      <alignment horizontal="justify" vertical="center" wrapText="1"/>
    </xf>
    <xf numFmtId="0" fontId="63" fillId="0" borderId="44" xfId="0" applyFont="1" applyBorder="1" applyAlignment="1">
      <alignment horizontal="justify" vertical="center" wrapText="1"/>
    </xf>
    <xf numFmtId="0" fontId="63" fillId="0" borderId="45" xfId="0" applyFont="1" applyBorder="1" applyAlignment="1">
      <alignment horizontal="justify" vertical="center" wrapText="1"/>
    </xf>
    <xf numFmtId="0" fontId="89" fillId="0" borderId="44" xfId="0" applyFont="1" applyBorder="1" applyAlignment="1">
      <alignment horizontal="justify" vertical="center" wrapText="1"/>
    </xf>
    <xf numFmtId="43" fontId="92" fillId="0" borderId="26" xfId="61" applyFont="1" applyFill="1" applyBorder="1" applyAlignment="1" applyProtection="1"/>
    <xf numFmtId="43" fontId="9" fillId="0" borderId="26" xfId="61" applyFont="1" applyFill="1" applyBorder="1" applyAlignment="1" applyProtection="1">
      <alignment vertical="center"/>
    </xf>
    <xf numFmtId="3" fontId="67" fillId="23" borderId="10" xfId="0" applyNumberFormat="1" applyFont="1" applyFill="1" applyBorder="1" applyAlignment="1" applyProtection="1">
      <alignment vertical="center"/>
      <protection locked="0"/>
    </xf>
    <xf numFmtId="0" fontId="88" fillId="0" borderId="27" xfId="0" applyFont="1" applyBorder="1" applyAlignment="1">
      <alignment vertical="center" wrapText="1"/>
    </xf>
    <xf numFmtId="0" fontId="88" fillId="0" borderId="44" xfId="0" applyFont="1" applyBorder="1" applyAlignment="1">
      <alignment vertical="center" wrapText="1"/>
    </xf>
    <xf numFmtId="0" fontId="2" fillId="0" borderId="46" xfId="0" applyFont="1" applyFill="1" applyBorder="1" applyAlignment="1" applyProtection="1">
      <alignment horizontal="center"/>
    </xf>
    <xf numFmtId="0" fontId="67" fillId="0" borderId="10" xfId="0" applyFont="1" applyFill="1" applyBorder="1" applyAlignment="1" applyProtection="1">
      <alignment horizontal="center"/>
    </xf>
    <xf numFmtId="0" fontId="1" fillId="0" borderId="0" xfId="0" applyFont="1"/>
    <xf numFmtId="0" fontId="95" fillId="0" borderId="0" xfId="0" applyFont="1"/>
    <xf numFmtId="0" fontId="63" fillId="22" borderId="27" xfId="0" applyFont="1" applyFill="1" applyBorder="1" applyAlignment="1">
      <alignment horizontal="justify" vertical="center" wrapText="1"/>
    </xf>
    <xf numFmtId="0" fontId="89" fillId="22" borderId="44" xfId="0" applyFont="1" applyFill="1" applyBorder="1" applyAlignment="1">
      <alignment horizontal="justify" vertical="center" wrapText="1"/>
    </xf>
    <xf numFmtId="0" fontId="89" fillId="22" borderId="45" xfId="0" applyFont="1" applyFill="1" applyBorder="1" applyAlignment="1">
      <alignment horizontal="justify" vertical="center" wrapText="1"/>
    </xf>
    <xf numFmtId="0" fontId="63" fillId="0" borderId="27" xfId="0" applyFont="1" applyBorder="1" applyAlignment="1" applyProtection="1">
      <alignment horizontal="justify" vertical="center" wrapText="1"/>
      <protection locked="0"/>
    </xf>
    <xf numFmtId="0" fontId="89" fillId="0" borderId="44" xfId="0" applyFont="1" applyBorder="1" applyAlignment="1" applyProtection="1">
      <alignment horizontal="justify" vertical="center" wrapText="1"/>
      <protection locked="0"/>
    </xf>
    <xf numFmtId="0" fontId="89" fillId="0" borderId="45" xfId="0" applyFont="1" applyBorder="1" applyAlignment="1" applyProtection="1">
      <alignment horizontal="justify" vertical="center" wrapText="1"/>
      <protection locked="0"/>
    </xf>
    <xf numFmtId="43" fontId="97" fillId="0" borderId="26" xfId="61" applyFont="1" applyFill="1" applyBorder="1" applyAlignment="1" applyProtection="1">
      <alignment vertical="center"/>
    </xf>
    <xf numFmtId="0" fontId="96" fillId="0" borderId="0" xfId="0" applyFont="1" applyFill="1"/>
    <xf numFmtId="15" fontId="36" fillId="0" borderId="0" xfId="0" applyNumberFormat="1" applyFont="1" applyAlignment="1" applyProtection="1">
      <alignment horizontal="center"/>
    </xf>
    <xf numFmtId="1" fontId="21" fillId="24" borderId="10" xfId="0" applyNumberFormat="1" applyFont="1" applyFill="1" applyBorder="1" applyAlignment="1" applyProtection="1">
      <alignment horizontal="center"/>
      <protection locked="0"/>
    </xf>
    <xf numFmtId="1" fontId="21" fillId="24" borderId="47" xfId="0" applyNumberFormat="1" applyFont="1" applyFill="1" applyBorder="1" applyAlignment="1" applyProtection="1">
      <alignment horizontal="center"/>
      <protection locked="0"/>
    </xf>
    <xf numFmtId="1" fontId="0" fillId="24" borderId="10" xfId="0" applyNumberFormat="1" applyFill="1" applyBorder="1" applyAlignment="1" applyProtection="1">
      <alignment horizontal="center"/>
      <protection locked="0"/>
    </xf>
    <xf numFmtId="166" fontId="0" fillId="0" borderId="0" xfId="0" applyNumberFormat="1" applyProtection="1"/>
    <xf numFmtId="0" fontId="63" fillId="0" borderId="27" xfId="0" applyFont="1" applyBorder="1" applyAlignment="1" applyProtection="1">
      <alignment horizontal="left" vertical="center" wrapText="1"/>
      <protection locked="0"/>
    </xf>
    <xf numFmtId="0" fontId="63" fillId="0" borderId="44" xfId="0" applyFont="1" applyBorder="1" applyAlignment="1" applyProtection="1">
      <alignment horizontal="left" vertical="center" wrapText="1"/>
      <protection locked="0"/>
    </xf>
    <xf numFmtId="0" fontId="63" fillId="0" borderId="45" xfId="0" applyFont="1" applyBorder="1" applyAlignment="1" applyProtection="1">
      <alignment horizontal="left" vertical="center" wrapText="1"/>
      <protection locked="0"/>
    </xf>
    <xf numFmtId="43" fontId="20" fillId="0" borderId="0" xfId="50" applyFont="1" applyFill="1" applyAlignment="1" applyProtection="1">
      <alignment horizontal="right" vertical="center"/>
    </xf>
    <xf numFmtId="0" fontId="103" fillId="0" borderId="0" xfId="0" applyFont="1" applyFill="1" applyBorder="1" applyAlignment="1" applyProtection="1">
      <alignment horizontal="right"/>
    </xf>
    <xf numFmtId="0" fontId="63" fillId="22" borderId="27" xfId="0" applyFont="1" applyFill="1" applyBorder="1" applyAlignment="1">
      <alignment horizontal="left" vertical="center" wrapText="1"/>
    </xf>
    <xf numFmtId="0" fontId="63" fillId="22" borderId="44" xfId="0" applyFont="1" applyFill="1" applyBorder="1" applyAlignment="1">
      <alignment horizontal="left" vertical="center" wrapText="1"/>
    </xf>
    <xf numFmtId="0" fontId="63" fillId="22" borderId="45" xfId="0" applyFont="1" applyFill="1" applyBorder="1" applyAlignment="1">
      <alignment horizontal="left" vertical="center" wrapText="1"/>
    </xf>
    <xf numFmtId="43" fontId="104" fillId="0" borderId="14" xfId="61" applyFont="1" applyFill="1" applyBorder="1" applyAlignment="1" applyProtection="1">
      <alignment horizontal="left" vertical="center"/>
    </xf>
    <xf numFmtId="0" fontId="105" fillId="0" borderId="0" xfId="0" applyFont="1" applyFill="1" applyBorder="1" applyProtection="1"/>
    <xf numFmtId="0" fontId="103" fillId="0" borderId="0" xfId="0" applyFont="1" applyBorder="1" applyProtection="1"/>
    <xf numFmtId="3" fontId="6" fillId="0" borderId="0" xfId="0" applyNumberFormat="1" applyFont="1" applyAlignment="1" applyProtection="1">
      <alignment horizontal="right"/>
    </xf>
    <xf numFmtId="15" fontId="102" fillId="0" borderId="0" xfId="0" applyNumberFormat="1" applyFont="1" applyFill="1" applyBorder="1" applyAlignment="1" applyProtection="1">
      <alignment horizontal="left"/>
    </xf>
    <xf numFmtId="3" fontId="2" fillId="22" borderId="10" xfId="0" applyNumberFormat="1" applyFont="1" applyFill="1" applyBorder="1" applyAlignment="1" applyProtection="1">
      <alignment vertical="center"/>
      <protection locked="0"/>
    </xf>
    <xf numFmtId="3" fontId="2" fillId="23" borderId="10" xfId="0" applyNumberFormat="1" applyFont="1" applyFill="1" applyBorder="1" applyAlignment="1" applyProtection="1">
      <alignment vertical="center"/>
      <protection locked="0"/>
    </xf>
    <xf numFmtId="0" fontId="0" fillId="0" borderId="0" xfId="0" quotePrefix="1" applyProtection="1"/>
    <xf numFmtId="15" fontId="32" fillId="0" borderId="48" xfId="0" applyNumberFormat="1" applyFont="1" applyBorder="1" applyAlignment="1" applyProtection="1">
      <alignment horizontal="center"/>
    </xf>
    <xf numFmtId="15" fontId="29" fillId="0" borderId="0" xfId="0" applyNumberFormat="1" applyFont="1" applyFill="1" applyBorder="1" applyAlignment="1" applyProtection="1">
      <alignment horizontal="center" vertical="center" wrapText="1"/>
    </xf>
    <xf numFmtId="0" fontId="77" fillId="0" borderId="49" xfId="0" applyFont="1" applyFill="1" applyBorder="1" applyAlignment="1" applyProtection="1">
      <alignment horizontal="center" vertical="center"/>
    </xf>
    <xf numFmtId="0" fontId="114" fillId="0" borderId="0" xfId="0" applyFont="1" applyBorder="1" applyAlignment="1" applyProtection="1">
      <alignment horizontal="right"/>
    </xf>
    <xf numFmtId="0" fontId="114" fillId="0" borderId="0" xfId="0" applyFont="1" applyAlignment="1" applyProtection="1">
      <alignment horizontal="right"/>
    </xf>
    <xf numFmtId="0" fontId="114" fillId="0" borderId="50" xfId="0" applyFont="1" applyBorder="1" applyAlignment="1" applyProtection="1">
      <alignment horizontal="right"/>
    </xf>
    <xf numFmtId="43" fontId="113" fillId="0" borderId="0" xfId="39" applyFont="1" applyFill="1" applyAlignment="1" applyProtection="1">
      <alignment vertical="center"/>
    </xf>
    <xf numFmtId="0" fontId="114" fillId="0" borderId="0" xfId="0" applyFont="1" applyProtection="1"/>
    <xf numFmtId="0" fontId="114" fillId="0" borderId="0" xfId="0" applyFont="1" applyBorder="1" applyProtection="1"/>
    <xf numFmtId="15" fontId="1" fillId="0" borderId="10" xfId="58" applyNumberFormat="1" applyFont="1" applyFill="1" applyBorder="1" applyAlignment="1" applyProtection="1">
      <alignment horizontal="center"/>
      <protection locked="0"/>
    </xf>
    <xf numFmtId="0" fontId="0" fillId="0" borderId="0" xfId="0" applyBorder="1" applyAlignment="1" applyProtection="1"/>
    <xf numFmtId="0" fontId="0" fillId="0" borderId="0" xfId="0" applyAlignment="1" applyProtection="1"/>
    <xf numFmtId="3" fontId="0" fillId="0" borderId="0" xfId="0" applyNumberFormat="1" applyFill="1" applyProtection="1"/>
    <xf numFmtId="0" fontId="0" fillId="0" borderId="0" xfId="0" applyFill="1" applyBorder="1" applyProtection="1">
      <protection locked="0"/>
    </xf>
    <xf numFmtId="0" fontId="100" fillId="0" borderId="0" xfId="0" applyFont="1" applyFill="1" applyBorder="1" applyAlignment="1" applyProtection="1">
      <alignment horizontal="center" vertical="center"/>
    </xf>
    <xf numFmtId="0" fontId="6" fillId="0" borderId="51" xfId="0" applyFont="1" applyBorder="1" applyAlignment="1" applyProtection="1"/>
    <xf numFmtId="0" fontId="6" fillId="0" borderId="52" xfId="0" applyFont="1" applyBorder="1" applyAlignment="1" applyProtection="1"/>
    <xf numFmtId="0" fontId="25" fillId="0" borderId="53" xfId="0" applyFont="1" applyBorder="1" applyAlignment="1" applyProtection="1">
      <alignment vertical="distributed"/>
    </xf>
    <xf numFmtId="15" fontId="27" fillId="0" borderId="54" xfId="0" applyNumberFormat="1" applyFont="1" applyFill="1" applyBorder="1" applyAlignment="1" applyProtection="1">
      <alignment horizontal="center" vertical="center" wrapText="1"/>
    </xf>
    <xf numFmtId="0" fontId="6" fillId="0" borderId="0" xfId="0" applyFont="1" applyFill="1" applyBorder="1" applyAlignment="1" applyProtection="1">
      <protection locked="0"/>
    </xf>
    <xf numFmtId="0" fontId="107" fillId="0" borderId="0" xfId="0" applyFont="1" applyFill="1" applyBorder="1" applyAlignment="1" applyProtection="1">
      <alignment horizontal="center" vertical="center"/>
    </xf>
    <xf numFmtId="0" fontId="26" fillId="0" borderId="55" xfId="0" applyFont="1" applyFill="1" applyBorder="1" applyAlignment="1" applyProtection="1"/>
    <xf numFmtId="15" fontId="26" fillId="0" borderId="10" xfId="0" applyNumberFormat="1" applyFont="1" applyFill="1" applyBorder="1" applyAlignment="1" applyProtection="1">
      <alignment horizontal="center"/>
    </xf>
    <xf numFmtId="15" fontId="26" fillId="0" borderId="56" xfId="0" applyNumberFormat="1" applyFont="1" applyFill="1" applyBorder="1" applyAlignment="1" applyProtection="1">
      <alignment horizontal="center"/>
    </xf>
    <xf numFmtId="0" fontId="32" fillId="25" borderId="57" xfId="0" applyFont="1" applyFill="1" applyBorder="1" applyAlignment="1" applyProtection="1">
      <alignment horizontal="centerContinuous"/>
    </xf>
    <xf numFmtId="15" fontId="110" fillId="0" borderId="40" xfId="0" applyNumberFormat="1" applyFont="1" applyFill="1" applyBorder="1" applyAlignment="1" applyProtection="1">
      <alignment horizontal="center" wrapText="1"/>
    </xf>
    <xf numFmtId="15" fontId="110" fillId="0" borderId="58" xfId="0" applyNumberFormat="1" applyFont="1" applyFill="1" applyBorder="1" applyAlignment="1" applyProtection="1">
      <alignment horizontal="center" wrapText="1"/>
    </xf>
    <xf numFmtId="0" fontId="37" fillId="0" borderId="55" xfId="0" applyFont="1" applyFill="1" applyBorder="1" applyAlignment="1" applyProtection="1">
      <alignment horizontal="center"/>
    </xf>
    <xf numFmtId="0" fontId="37" fillId="0" borderId="59" xfId="0" applyFont="1" applyFill="1" applyBorder="1" applyAlignment="1" applyProtection="1">
      <alignment horizontal="center"/>
    </xf>
    <xf numFmtId="0" fontId="32" fillId="25" borderId="60" xfId="0" applyFont="1" applyFill="1" applyBorder="1" applyAlignment="1" applyProtection="1">
      <alignment horizontal="centerContinuous"/>
    </xf>
    <xf numFmtId="0" fontId="0" fillId="0" borderId="0" xfId="0" applyFill="1" applyBorder="1" applyAlignment="1" applyProtection="1">
      <alignment horizontal="left" vertical="top"/>
      <protection locked="0"/>
    </xf>
    <xf numFmtId="0" fontId="102" fillId="0" borderId="0" xfId="0" applyFont="1" applyFill="1" applyBorder="1" applyAlignment="1" applyProtection="1">
      <alignment horizontal="center"/>
    </xf>
    <xf numFmtId="0" fontId="108" fillId="0" borderId="0" xfId="0" applyFont="1" applyFill="1" applyBorder="1" applyAlignment="1" applyProtection="1">
      <alignment horizontal="center" vertical="center"/>
    </xf>
    <xf numFmtId="1" fontId="0" fillId="0" borderId="23" xfId="0" applyNumberFormat="1" applyFill="1" applyBorder="1" applyAlignment="1" applyProtection="1">
      <alignment horizontal="center"/>
    </xf>
    <xf numFmtId="14" fontId="0" fillId="0" borderId="10" xfId="0" applyNumberFormat="1" applyBorder="1" applyAlignment="1" applyProtection="1">
      <alignment horizontal="center"/>
      <protection locked="0"/>
    </xf>
    <xf numFmtId="0" fontId="0" fillId="0" borderId="61" xfId="0" applyBorder="1" applyAlignment="1" applyProtection="1">
      <alignment horizontal="center"/>
    </xf>
    <xf numFmtId="0" fontId="0" fillId="0" borderId="40" xfId="0" applyFill="1" applyBorder="1" applyAlignment="1" applyProtection="1">
      <alignment horizontal="center"/>
    </xf>
    <xf numFmtId="0" fontId="1" fillId="0" borderId="39" xfId="0" applyFont="1" applyFill="1" applyBorder="1" applyAlignment="1" applyProtection="1">
      <alignment horizontal="center" wrapText="1"/>
    </xf>
    <xf numFmtId="0" fontId="0" fillId="0" borderId="39" xfId="0" applyBorder="1" applyAlignment="1">
      <alignment horizontal="center" wrapText="1"/>
    </xf>
    <xf numFmtId="0" fontId="28" fillId="0" borderId="39" xfId="0" applyFont="1" applyBorder="1" applyAlignment="1">
      <alignment horizontal="center" wrapText="1"/>
    </xf>
    <xf numFmtId="0" fontId="1" fillId="0" borderId="58" xfId="0" applyFont="1" applyFill="1" applyBorder="1" applyAlignment="1" applyProtection="1">
      <alignment horizontal="center" wrapText="1"/>
    </xf>
    <xf numFmtId="3" fontId="67" fillId="23" borderId="29" xfId="0" applyNumberFormat="1" applyFont="1" applyFill="1" applyBorder="1" applyAlignment="1" applyProtection="1">
      <alignment vertical="center"/>
      <protection locked="0"/>
    </xf>
    <xf numFmtId="3" fontId="67" fillId="23" borderId="10" xfId="0" applyNumberFormat="1" applyFont="1" applyFill="1" applyBorder="1" applyAlignment="1" applyProtection="1">
      <alignment horizontal="right" vertical="center"/>
      <protection locked="0"/>
    </xf>
    <xf numFmtId="3" fontId="2" fillId="23" borderId="10" xfId="0" applyNumberFormat="1" applyFont="1" applyFill="1" applyBorder="1" applyAlignment="1" applyProtection="1">
      <alignment horizontal="right" vertical="center"/>
      <protection locked="0"/>
    </xf>
    <xf numFmtId="0" fontId="77" fillId="0" borderId="62" xfId="0" applyFont="1" applyFill="1" applyBorder="1" applyAlignment="1" applyProtection="1">
      <alignment horizontal="center" vertical="center"/>
    </xf>
    <xf numFmtId="43" fontId="115" fillId="0" borderId="20" xfId="61" applyFont="1" applyFill="1" applyBorder="1" applyAlignment="1" applyProtection="1">
      <alignment vertical="center"/>
    </xf>
    <xf numFmtId="0" fontId="24" fillId="0" borderId="0" xfId="0" applyFont="1" applyProtection="1"/>
    <xf numFmtId="43" fontId="110" fillId="0" borderId="0" xfId="0" applyNumberFormat="1" applyFont="1" applyBorder="1" applyAlignment="1" applyProtection="1">
      <alignment vertical="center" wrapText="1"/>
    </xf>
    <xf numFmtId="0" fontId="110" fillId="0" borderId="0" xfId="0" applyFont="1" applyFill="1" applyBorder="1" applyAlignment="1" applyProtection="1">
      <alignment wrapText="1"/>
    </xf>
    <xf numFmtId="43" fontId="20" fillId="0" borderId="41" xfId="58" applyFont="1" applyFill="1" applyBorder="1" applyAlignment="1" applyProtection="1">
      <alignment horizontal="right"/>
    </xf>
    <xf numFmtId="0" fontId="28" fillId="0" borderId="63" xfId="0" applyFont="1" applyFill="1" applyBorder="1" applyAlignment="1" applyProtection="1">
      <alignment wrapText="1"/>
    </xf>
    <xf numFmtId="0" fontId="34" fillId="0" borderId="64" xfId="0" applyFont="1" applyFill="1" applyBorder="1" applyAlignment="1" applyProtection="1">
      <alignment horizontal="center" wrapText="1"/>
    </xf>
    <xf numFmtId="0" fontId="21" fillId="20" borderId="27" xfId="0" applyFont="1" applyFill="1" applyBorder="1" applyAlignment="1" applyProtection="1"/>
    <xf numFmtId="0" fontId="21" fillId="20" borderId="65" xfId="0" applyFont="1" applyFill="1" applyBorder="1" applyAlignment="1" applyProtection="1"/>
    <xf numFmtId="0" fontId="28" fillId="0" borderId="0" xfId="0" applyFont="1" applyFill="1" applyBorder="1" applyAlignment="1" applyProtection="1">
      <alignment wrapText="1"/>
    </xf>
    <xf numFmtId="9" fontId="112" fillId="26" borderId="10" xfId="56" applyFont="1" applyFill="1" applyBorder="1" applyAlignment="1" applyProtection="1">
      <alignment horizontal="center" vertical="center" wrapText="1"/>
    </xf>
    <xf numFmtId="43" fontId="28" fillId="0" borderId="0" xfId="0" applyNumberFormat="1" applyFont="1" applyAlignment="1" applyProtection="1"/>
    <xf numFmtId="15" fontId="28" fillId="0" borderId="0" xfId="0" applyNumberFormat="1" applyFont="1"/>
    <xf numFmtId="0" fontId="0" fillId="0" borderId="26" xfId="0" applyFill="1" applyBorder="1" applyProtection="1"/>
    <xf numFmtId="43" fontId="116" fillId="0" borderId="26" xfId="61" applyFont="1" applyFill="1" applyBorder="1" applyAlignment="1" applyProtection="1">
      <alignment vertical="center"/>
    </xf>
    <xf numFmtId="0" fontId="0" fillId="0" borderId="26" xfId="0" applyBorder="1" applyProtection="1"/>
    <xf numFmtId="0" fontId="0" fillId="0" borderId="26" xfId="0" applyBorder="1"/>
    <xf numFmtId="9" fontId="15" fillId="0" borderId="0" xfId="56" applyFont="1" applyProtection="1"/>
    <xf numFmtId="14" fontId="24" fillId="24" borderId="41" xfId="58" applyNumberFormat="1" applyFont="1" applyFill="1" applyBorder="1" applyAlignment="1" applyProtection="1">
      <alignment horizontal="center" vertical="center"/>
    </xf>
    <xf numFmtId="43" fontId="24" fillId="24" borderId="41" xfId="58" applyFont="1" applyFill="1" applyBorder="1" applyAlignment="1" applyProtection="1">
      <alignment horizontal="center" vertical="center"/>
    </xf>
    <xf numFmtId="15" fontId="24" fillId="24" borderId="41" xfId="58" applyNumberFormat="1" applyFont="1" applyFill="1" applyBorder="1" applyAlignment="1" applyProtection="1">
      <alignment horizontal="center" vertical="center"/>
    </xf>
    <xf numFmtId="172" fontId="24" fillId="24" borderId="41" xfId="58" applyNumberFormat="1" applyFont="1" applyFill="1" applyBorder="1" applyAlignment="1" applyProtection="1">
      <alignment horizontal="center"/>
    </xf>
    <xf numFmtId="3" fontId="24" fillId="24" borderId="41" xfId="58" applyNumberFormat="1" applyFont="1" applyFill="1" applyBorder="1" applyAlignment="1" applyProtection="1">
      <alignment horizontal="center"/>
    </xf>
    <xf numFmtId="43" fontId="24" fillId="24" borderId="41" xfId="58" applyFont="1" applyFill="1" applyBorder="1" applyAlignment="1" applyProtection="1">
      <alignment horizontal="center"/>
    </xf>
    <xf numFmtId="15" fontId="24" fillId="24" borderId="41" xfId="58" applyNumberFormat="1" applyFont="1" applyFill="1" applyBorder="1" applyAlignment="1" applyProtection="1">
      <alignment horizontal="center"/>
    </xf>
    <xf numFmtId="43" fontId="90" fillId="0" borderId="0" xfId="0" applyNumberFormat="1" applyFont="1" applyAlignment="1"/>
    <xf numFmtId="0" fontId="34" fillId="0" borderId="39" xfId="0" applyFont="1" applyFill="1" applyBorder="1" applyAlignment="1" applyProtection="1">
      <alignment horizontal="center" wrapText="1"/>
    </xf>
    <xf numFmtId="0" fontId="67" fillId="0" borderId="66" xfId="0" applyFont="1" applyFill="1" applyBorder="1" applyProtection="1"/>
    <xf numFmtId="0" fontId="30" fillId="22" borderId="0" xfId="0" applyFont="1" applyFill="1" applyBorder="1" applyAlignment="1" applyProtection="1">
      <alignment horizontal="left"/>
      <protection locked="0"/>
    </xf>
    <xf numFmtId="0" fontId="34" fillId="22" borderId="0" xfId="0" applyFont="1" applyFill="1" applyBorder="1" applyAlignment="1" applyProtection="1">
      <alignment horizontal="left"/>
      <protection locked="0"/>
    </xf>
    <xf numFmtId="0" fontId="34" fillId="22" borderId="0" xfId="0" applyFont="1" applyFill="1" applyAlignment="1" applyProtection="1">
      <alignment horizontal="left"/>
      <protection locked="0"/>
    </xf>
    <xf numFmtId="49" fontId="0" fillId="0" borderId="0" xfId="0" applyNumberFormat="1" applyProtection="1"/>
    <xf numFmtId="0" fontId="0" fillId="24" borderId="47" xfId="0" applyNumberFormat="1" applyFill="1" applyBorder="1" applyAlignment="1" applyProtection="1">
      <alignment horizontal="center"/>
      <protection locked="0"/>
    </xf>
    <xf numFmtId="0" fontId="0" fillId="0" borderId="24" xfId="0" applyNumberFormat="1" applyFill="1" applyBorder="1" applyAlignment="1" applyProtection="1">
      <alignment horizontal="center"/>
    </xf>
    <xf numFmtId="0" fontId="0" fillId="24" borderId="24" xfId="0" applyNumberFormat="1" applyFill="1" applyBorder="1" applyAlignment="1" applyProtection="1">
      <alignment horizontal="center"/>
      <protection locked="0"/>
    </xf>
    <xf numFmtId="3" fontId="0" fillId="24" borderId="10" xfId="0" applyNumberFormat="1" applyFill="1" applyBorder="1" applyAlignment="1" applyProtection="1">
      <alignment horizontal="right" wrapText="1"/>
      <protection locked="0"/>
    </xf>
    <xf numFmtId="3" fontId="0" fillId="0" borderId="10" xfId="0" applyNumberFormat="1" applyBorder="1" applyAlignment="1" applyProtection="1">
      <alignment horizontal="right" wrapText="1"/>
    </xf>
    <xf numFmtId="171" fontId="21" fillId="20" borderId="0" xfId="0" applyNumberFormat="1" applyFont="1" applyFill="1"/>
    <xf numFmtId="4" fontId="0" fillId="0" borderId="0" xfId="0" applyNumberFormat="1" applyProtection="1"/>
    <xf numFmtId="1" fontId="0" fillId="25" borderId="10" xfId="0" applyNumberFormat="1" applyFill="1" applyBorder="1" applyAlignment="1" applyProtection="1">
      <alignment horizontal="center"/>
      <protection locked="0"/>
    </xf>
    <xf numFmtId="1" fontId="0" fillId="25" borderId="56" xfId="0" applyNumberFormat="1" applyFill="1" applyBorder="1" applyAlignment="1" applyProtection="1">
      <alignment horizontal="center"/>
      <protection locked="0"/>
    </xf>
    <xf numFmtId="1" fontId="0" fillId="25" borderId="67" xfId="0" applyNumberFormat="1" applyFill="1" applyBorder="1" applyAlignment="1" applyProtection="1">
      <alignment horizontal="center"/>
      <protection locked="0"/>
    </xf>
    <xf numFmtId="1" fontId="0" fillId="25" borderId="68" xfId="0" applyNumberFormat="1" applyFill="1" applyBorder="1" applyAlignment="1" applyProtection="1">
      <alignment horizontal="center"/>
      <protection locked="0"/>
    </xf>
    <xf numFmtId="165" fontId="32" fillId="19" borderId="69" xfId="0" applyNumberFormat="1" applyFont="1" applyFill="1" applyBorder="1" applyAlignment="1" applyProtection="1">
      <alignment horizontal="center"/>
      <protection locked="0"/>
    </xf>
    <xf numFmtId="165" fontId="32" fillId="19" borderId="70" xfId="0" applyNumberFormat="1" applyFont="1" applyFill="1" applyBorder="1" applyAlignment="1" applyProtection="1">
      <alignment horizontal="center"/>
      <protection locked="0"/>
    </xf>
    <xf numFmtId="165" fontId="32" fillId="19" borderId="71" xfId="0" applyNumberFormat="1" applyFont="1" applyFill="1" applyBorder="1" applyAlignment="1" applyProtection="1">
      <alignment horizontal="center"/>
      <protection locked="0"/>
    </xf>
    <xf numFmtId="165" fontId="32" fillId="19" borderId="72" xfId="0" applyNumberFormat="1" applyFont="1" applyFill="1" applyBorder="1" applyAlignment="1" applyProtection="1">
      <alignment horizontal="center"/>
      <protection locked="0"/>
    </xf>
    <xf numFmtId="165" fontId="32" fillId="19" borderId="73" xfId="0" applyNumberFormat="1" applyFont="1" applyFill="1" applyBorder="1" applyAlignment="1" applyProtection="1">
      <alignment horizontal="center"/>
      <protection locked="0"/>
    </xf>
    <xf numFmtId="0" fontId="0" fillId="0" borderId="74" xfId="0" applyFill="1" applyBorder="1" applyAlignment="1" applyProtection="1">
      <alignment horizontal="center"/>
    </xf>
    <xf numFmtId="0" fontId="0" fillId="0" borderId="0" xfId="0" applyBorder="1" applyAlignment="1">
      <alignment horizontal="left" wrapText="1"/>
    </xf>
    <xf numFmtId="43" fontId="35" fillId="0" borderId="0" xfId="0" applyNumberFormat="1" applyFont="1"/>
    <xf numFmtId="0" fontId="0" fillId="0" borderId="0" xfId="0" applyBorder="1" applyAlignment="1">
      <alignment horizontal="left"/>
    </xf>
    <xf numFmtId="43" fontId="1" fillId="0" borderId="41" xfId="58" applyFont="1" applyBorder="1" applyAlignment="1" applyProtection="1">
      <alignment horizontal="right"/>
    </xf>
    <xf numFmtId="43" fontId="124" fillId="0" borderId="0" xfId="51" applyFont="1" applyFill="1" applyBorder="1" applyProtection="1"/>
    <xf numFmtId="3" fontId="28" fillId="25" borderId="69" xfId="0" applyNumberFormat="1" applyFont="1" applyFill="1" applyBorder="1" applyAlignment="1" applyProtection="1">
      <protection locked="0"/>
    </xf>
    <xf numFmtId="3" fontId="28" fillId="25" borderId="75" xfId="0" applyNumberFormat="1" applyFont="1" applyFill="1" applyBorder="1" applyAlignment="1" applyProtection="1">
      <protection locked="0"/>
    </xf>
    <xf numFmtId="3" fontId="28" fillId="0" borderId="10" xfId="0" applyNumberFormat="1" applyFont="1" applyFill="1" applyBorder="1" applyAlignment="1" applyProtection="1"/>
    <xf numFmtId="3" fontId="28" fillId="0" borderId="67" xfId="0" applyNumberFormat="1" applyFont="1" applyFill="1" applyBorder="1" applyAlignment="1" applyProtection="1"/>
    <xf numFmtId="3" fontId="21" fillId="25" borderId="10" xfId="28" applyNumberFormat="1" applyFont="1" applyFill="1" applyBorder="1" applyAlignment="1" applyProtection="1">
      <protection locked="0"/>
    </xf>
    <xf numFmtId="3" fontId="21" fillId="25" borderId="10" xfId="28" applyNumberFormat="1" applyFont="1" applyFill="1" applyBorder="1" applyProtection="1">
      <protection locked="0"/>
    </xf>
    <xf numFmtId="3" fontId="6" fillId="0" borderId="76" xfId="28" applyNumberFormat="1" applyFont="1" applyFill="1" applyBorder="1" applyAlignment="1" applyProtection="1"/>
    <xf numFmtId="3" fontId="6" fillId="0" borderId="77" xfId="28" applyNumberFormat="1" applyFont="1" applyFill="1" applyBorder="1" applyAlignment="1" applyProtection="1"/>
    <xf numFmtId="165" fontId="14" fillId="19" borderId="78" xfId="0" applyNumberFormat="1" applyFont="1" applyFill="1" applyBorder="1" applyAlignment="1" applyProtection="1">
      <alignment horizontal="center"/>
      <protection locked="0"/>
    </xf>
    <xf numFmtId="165" fontId="14" fillId="19" borderId="79" xfId="0" applyNumberFormat="1" applyFont="1" applyFill="1" applyBorder="1" applyAlignment="1" applyProtection="1">
      <alignment horizontal="center"/>
      <protection locked="0"/>
    </xf>
    <xf numFmtId="0" fontId="0" fillId="25" borderId="10" xfId="0" applyFill="1" applyBorder="1" applyProtection="1"/>
    <xf numFmtId="0" fontId="0" fillId="24" borderId="10" xfId="0" applyFill="1" applyBorder="1" applyProtection="1"/>
    <xf numFmtId="49" fontId="25" fillId="0" borderId="80" xfId="0" applyNumberFormat="1" applyFont="1" applyFill="1" applyBorder="1" applyAlignment="1" applyProtection="1">
      <alignment vertical="center" wrapText="1"/>
    </xf>
    <xf numFmtId="0" fontId="91" fillId="0" borderId="81" xfId="0" applyNumberFormat="1" applyFont="1" applyFill="1" applyBorder="1" applyAlignment="1" applyProtection="1">
      <alignment horizontal="center" vertical="center" wrapText="1"/>
    </xf>
    <xf numFmtId="0" fontId="91" fillId="0" borderId="82" xfId="0" applyNumberFormat="1" applyFont="1" applyFill="1" applyBorder="1" applyAlignment="1" applyProtection="1">
      <alignment horizontal="center" vertical="center" wrapText="1"/>
    </xf>
    <xf numFmtId="49" fontId="26" fillId="0" borderId="83" xfId="0" applyNumberFormat="1" applyFont="1" applyFill="1" applyBorder="1" applyAlignment="1" applyProtection="1">
      <alignment wrapText="1"/>
      <protection locked="0"/>
    </xf>
    <xf numFmtId="49" fontId="26" fillId="0" borderId="83" xfId="0" applyNumberFormat="1" applyFont="1" applyFill="1" applyBorder="1" applyAlignment="1" applyProtection="1">
      <protection locked="0"/>
    </xf>
    <xf numFmtId="0" fontId="26" fillId="0" borderId="83" xfId="0" applyFont="1" applyFill="1" applyBorder="1" applyAlignment="1" applyProtection="1">
      <alignment wrapText="1"/>
      <protection locked="0"/>
    </xf>
    <xf numFmtId="0" fontId="0" fillId="0" borderId="84" xfId="0" applyBorder="1" applyAlignment="1" applyProtection="1"/>
    <xf numFmtId="49" fontId="0" fillId="0" borderId="10" xfId="0" applyNumberFormat="1" applyBorder="1" applyAlignment="1" applyProtection="1">
      <alignment horizontal="center"/>
      <protection locked="0"/>
    </xf>
    <xf numFmtId="43" fontId="131" fillId="25" borderId="85" xfId="61" applyFill="1" applyBorder="1" applyAlignment="1" applyProtection="1">
      <alignment vertical="center"/>
    </xf>
    <xf numFmtId="0" fontId="0" fillId="22" borderId="86" xfId="0" applyFill="1" applyBorder="1"/>
    <xf numFmtId="0" fontId="0" fillId="0" borderId="20" xfId="0" applyBorder="1" applyProtection="1"/>
    <xf numFmtId="43" fontId="39" fillId="24" borderId="87" xfId="61" applyFont="1" applyFill="1" applyBorder="1" applyAlignment="1" applyProtection="1">
      <alignment horizontal="center" vertical="center"/>
    </xf>
    <xf numFmtId="43" fontId="39" fillId="0" borderId="88" xfId="61" applyFont="1" applyFill="1" applyBorder="1" applyAlignment="1" applyProtection="1">
      <alignment vertical="center"/>
    </xf>
    <xf numFmtId="0" fontId="0" fillId="0" borderId="89" xfId="0" applyNumberFormat="1" applyFill="1" applyBorder="1"/>
    <xf numFmtId="15" fontId="27" fillId="0" borderId="90" xfId="0" applyNumberFormat="1" applyFont="1" applyFill="1" applyBorder="1" applyAlignment="1" applyProtection="1">
      <alignment horizontal="center" vertical="center" wrapText="1"/>
    </xf>
    <xf numFmtId="0" fontId="0" fillId="0" borderId="10" xfId="0" quotePrefix="1" applyNumberFormat="1" applyBorder="1" applyAlignment="1">
      <alignment horizontal="center"/>
    </xf>
    <xf numFmtId="3" fontId="67" fillId="0" borderId="10" xfId="0" applyNumberFormat="1" applyFont="1" applyFill="1" applyBorder="1" applyAlignment="1" applyProtection="1">
      <alignment vertical="center"/>
    </xf>
    <xf numFmtId="3" fontId="67" fillId="0" borderId="91" xfId="0" applyNumberFormat="1" applyFont="1" applyFill="1" applyBorder="1" applyAlignment="1" applyProtection="1">
      <alignment vertical="center"/>
    </xf>
    <xf numFmtId="49" fontId="84" fillId="0" borderId="10" xfId="0" applyNumberFormat="1" applyFont="1" applyBorder="1" applyAlignment="1" applyProtection="1">
      <alignment horizontal="center"/>
      <protection locked="0"/>
    </xf>
    <xf numFmtId="43" fontId="69" fillId="0" borderId="10" xfId="51" applyFont="1" applyBorder="1" applyAlignment="1" applyProtection="1">
      <alignment horizontal="center"/>
    </xf>
    <xf numFmtId="0" fontId="69" fillId="0" borderId="10" xfId="0" applyFont="1" applyBorder="1" applyAlignment="1" applyProtection="1">
      <alignment horizontal="center"/>
    </xf>
    <xf numFmtId="0" fontId="77" fillId="0" borderId="92" xfId="0" applyFont="1" applyFill="1" applyBorder="1" applyAlignment="1" applyProtection="1">
      <alignment horizontal="center" vertical="center" wrapText="1"/>
    </xf>
    <xf numFmtId="0" fontId="77" fillId="0" borderId="93" xfId="0" applyFont="1" applyFill="1" applyBorder="1" applyAlignment="1" applyProtection="1">
      <alignment horizontal="center"/>
    </xf>
    <xf numFmtId="0" fontId="77" fillId="0" borderId="94" xfId="0" applyFont="1" applyFill="1" applyBorder="1" applyAlignment="1" applyProtection="1">
      <alignment horizontal="center"/>
    </xf>
    <xf numFmtId="0" fontId="77" fillId="0" borderId="95" xfId="0" applyNumberFormat="1" applyFont="1" applyFill="1" applyBorder="1" applyAlignment="1" applyProtection="1">
      <alignment horizontal="center"/>
    </xf>
    <xf numFmtId="0" fontId="77" fillId="0" borderId="96" xfId="0" applyNumberFormat="1" applyFont="1" applyFill="1" applyBorder="1" applyAlignment="1" applyProtection="1">
      <alignment horizontal="center"/>
    </xf>
    <xf numFmtId="0" fontId="77" fillId="0" borderId="96" xfId="0" applyNumberFormat="1" applyFont="1" applyFill="1" applyBorder="1" applyAlignment="1" applyProtection="1">
      <alignment horizontal="center" vertical="center"/>
    </xf>
    <xf numFmtId="0" fontId="77" fillId="0" borderId="97" xfId="0" applyNumberFormat="1" applyFont="1" applyFill="1" applyBorder="1" applyAlignment="1" applyProtection="1">
      <alignment horizontal="center" vertical="center"/>
    </xf>
    <xf numFmtId="0" fontId="81" fillId="0" borderId="98" xfId="0" applyNumberFormat="1" applyFont="1" applyFill="1" applyBorder="1" applyAlignment="1" applyProtection="1">
      <alignment horizontal="center" vertical="center"/>
    </xf>
    <xf numFmtId="0" fontId="81" fillId="0" borderId="99" xfId="0" applyNumberFormat="1" applyFont="1" applyFill="1" applyBorder="1" applyAlignment="1" applyProtection="1">
      <alignment horizontal="center" vertical="center"/>
    </xf>
    <xf numFmtId="0" fontId="81" fillId="0" borderId="100" xfId="0" applyNumberFormat="1" applyFont="1" applyFill="1" applyBorder="1" applyAlignment="1" applyProtection="1">
      <alignment horizontal="center" vertical="center"/>
    </xf>
    <xf numFmtId="0" fontId="67" fillId="27" borderId="10" xfId="0" applyFont="1" applyFill="1" applyBorder="1" applyAlignment="1" applyProtection="1">
      <alignment horizontal="center"/>
    </xf>
    <xf numFmtId="0" fontId="67" fillId="28" borderId="10" xfId="0" applyFont="1" applyFill="1" applyBorder="1" applyAlignment="1" applyProtection="1">
      <alignment horizontal="center"/>
    </xf>
    <xf numFmtId="3" fontId="67" fillId="29" borderId="10" xfId="0" applyNumberFormat="1" applyFont="1" applyFill="1" applyBorder="1" applyAlignment="1" applyProtection="1">
      <alignment vertical="center"/>
      <protection locked="0"/>
    </xf>
    <xf numFmtId="3" fontId="2" fillId="29" borderId="10" xfId="0" applyNumberFormat="1" applyFont="1" applyFill="1" applyBorder="1" applyAlignment="1" applyProtection="1">
      <alignment vertical="center"/>
      <protection locked="0"/>
    </xf>
    <xf numFmtId="3" fontId="67" fillId="29" borderId="29" xfId="0" applyNumberFormat="1" applyFont="1" applyFill="1" applyBorder="1" applyAlignment="1" applyProtection="1">
      <alignment vertical="center"/>
      <protection locked="0"/>
    </xf>
    <xf numFmtId="3" fontId="67" fillId="23" borderId="29" xfId="0" applyNumberFormat="1" applyFont="1" applyFill="1" applyBorder="1" applyAlignment="1" applyProtection="1">
      <alignment horizontal="right" vertical="center"/>
      <protection locked="0"/>
    </xf>
    <xf numFmtId="0" fontId="67" fillId="27" borderId="91" xfId="0" applyFont="1" applyFill="1" applyBorder="1" applyAlignment="1" applyProtection="1">
      <alignment horizontal="center"/>
    </xf>
    <xf numFmtId="3" fontId="67" fillId="23" borderId="91" xfId="0" applyNumberFormat="1" applyFont="1" applyFill="1" applyBorder="1" applyAlignment="1" applyProtection="1">
      <alignment horizontal="right" vertical="center"/>
      <protection locked="0"/>
    </xf>
    <xf numFmtId="3" fontId="67" fillId="23" borderId="101" xfId="0" applyNumberFormat="1" applyFont="1" applyFill="1" applyBorder="1" applyAlignment="1" applyProtection="1">
      <alignment horizontal="right" vertical="center"/>
      <protection locked="0"/>
    </xf>
    <xf numFmtId="0" fontId="67" fillId="27" borderId="10" xfId="0" applyFont="1" applyFill="1" applyBorder="1" applyProtection="1"/>
    <xf numFmtId="3" fontId="67" fillId="27" borderId="10" xfId="0" applyNumberFormat="1" applyFont="1" applyFill="1" applyBorder="1" applyAlignment="1" applyProtection="1">
      <alignment vertical="center"/>
    </xf>
    <xf numFmtId="0" fontId="0" fillId="0" borderId="242" xfId="0" applyBorder="1"/>
    <xf numFmtId="0" fontId="0" fillId="0" borderId="59" xfId="0" applyBorder="1" applyAlignment="1" applyProtection="1">
      <alignment horizontal="center" wrapText="1"/>
    </xf>
    <xf numFmtId="3" fontId="1" fillId="0" borderId="102" xfId="28" applyNumberFormat="1" applyFont="1" applyFill="1" applyBorder="1" applyAlignment="1" applyProtection="1">
      <alignment horizontal="right"/>
    </xf>
    <xf numFmtId="3" fontId="0" fillId="0" borderId="102" xfId="0" applyNumberFormat="1" applyBorder="1" applyAlignment="1" applyProtection="1">
      <alignment horizontal="right" wrapText="1"/>
    </xf>
    <xf numFmtId="3" fontId="0" fillId="24" borderId="57" xfId="0" applyNumberFormat="1" applyFill="1" applyBorder="1" applyAlignment="1" applyProtection="1">
      <alignment horizontal="right" wrapText="1"/>
      <protection locked="0"/>
    </xf>
    <xf numFmtId="3" fontId="67" fillId="0" borderId="29" xfId="0" applyNumberFormat="1" applyFont="1" applyFill="1" applyBorder="1" applyAlignment="1" applyProtection="1">
      <alignment vertical="center"/>
    </xf>
    <xf numFmtId="3" fontId="67" fillId="27" borderId="29" xfId="0" applyNumberFormat="1" applyFont="1" applyFill="1" applyBorder="1" applyAlignment="1" applyProtection="1">
      <alignment vertical="center"/>
    </xf>
    <xf numFmtId="3" fontId="67" fillId="0" borderId="243" xfId="0" applyNumberFormat="1" applyFont="1" applyFill="1" applyBorder="1" applyAlignment="1" applyProtection="1">
      <alignment vertical="center"/>
    </xf>
    <xf numFmtId="0" fontId="34" fillId="22" borderId="0" xfId="0" applyFont="1" applyFill="1" applyBorder="1" applyAlignment="1" applyProtection="1">
      <alignment horizontal="left" vertical="top" wrapText="1"/>
      <protection locked="0"/>
    </xf>
    <xf numFmtId="43" fontId="131" fillId="0" borderId="0" xfId="28" applyFont="1" applyBorder="1" applyProtection="1"/>
    <xf numFmtId="0" fontId="0" fillId="0" borderId="103" xfId="0" applyNumberFormat="1" applyFill="1" applyBorder="1" applyProtection="1"/>
    <xf numFmtId="0" fontId="0" fillId="0" borderId="103" xfId="0" applyBorder="1" applyProtection="1"/>
    <xf numFmtId="166" fontId="131" fillId="0" borderId="102" xfId="28" applyNumberFormat="1" applyFont="1" applyFill="1" applyBorder="1" applyProtection="1"/>
    <xf numFmtId="166" fontId="131" fillId="0" borderId="60" xfId="28" applyNumberFormat="1" applyFont="1" applyFill="1" applyBorder="1" applyProtection="1"/>
    <xf numFmtId="166" fontId="131" fillId="0" borderId="10" xfId="28" applyNumberFormat="1" applyFont="1" applyFill="1" applyBorder="1" applyProtection="1"/>
    <xf numFmtId="166" fontId="131" fillId="0" borderId="57" xfId="28" applyNumberFormat="1" applyFont="1" applyFill="1" applyBorder="1" applyProtection="1"/>
    <xf numFmtId="166" fontId="67" fillId="23" borderId="10" xfId="28" applyNumberFormat="1" applyFont="1" applyFill="1" applyBorder="1" applyAlignment="1" applyProtection="1">
      <alignment horizontal="right" vertical="center"/>
      <protection locked="0"/>
    </xf>
    <xf numFmtId="166" fontId="67" fillId="23" borderId="10" xfId="28" applyNumberFormat="1" applyFont="1" applyFill="1" applyBorder="1" applyAlignment="1" applyProtection="1">
      <alignment horizontal="right" vertical="center"/>
    </xf>
    <xf numFmtId="166" fontId="67" fillId="22" borderId="10" xfId="28" applyNumberFormat="1" applyFont="1" applyFill="1" applyBorder="1" applyAlignment="1" applyProtection="1">
      <alignment vertical="center"/>
    </xf>
    <xf numFmtId="166" fontId="67" fillId="22" borderId="10" xfId="28" applyNumberFormat="1" applyFont="1" applyFill="1" applyBorder="1" applyAlignment="1" applyProtection="1">
      <alignment vertical="center"/>
      <protection locked="0"/>
    </xf>
    <xf numFmtId="166" fontId="67" fillId="23" borderId="10" xfId="28" applyNumberFormat="1" applyFont="1" applyFill="1" applyBorder="1" applyAlignment="1" applyProtection="1">
      <alignment vertical="center"/>
    </xf>
    <xf numFmtId="166" fontId="67" fillId="23" borderId="10" xfId="28" applyNumberFormat="1" applyFont="1" applyFill="1" applyBorder="1" applyAlignment="1" applyProtection="1">
      <alignment vertical="center"/>
      <protection locked="0"/>
    </xf>
    <xf numFmtId="166" fontId="67" fillId="29" borderId="10" xfId="28" applyNumberFormat="1" applyFont="1" applyFill="1" applyBorder="1" applyAlignment="1" applyProtection="1">
      <alignment vertical="center"/>
    </xf>
    <xf numFmtId="166" fontId="67" fillId="29" borderId="10" xfId="28" applyNumberFormat="1" applyFont="1" applyFill="1" applyBorder="1" applyAlignment="1" applyProtection="1">
      <alignment vertical="center"/>
      <protection locked="0"/>
    </xf>
    <xf numFmtId="166" fontId="77" fillId="29" borderId="10" xfId="28" applyNumberFormat="1" applyFont="1" applyFill="1" applyBorder="1" applyAlignment="1" applyProtection="1">
      <alignment vertical="center"/>
      <protection locked="0"/>
    </xf>
    <xf numFmtId="166" fontId="77" fillId="23" borderId="91" xfId="28" applyNumberFormat="1" applyFont="1" applyFill="1" applyBorder="1" applyAlignment="1" applyProtection="1">
      <alignment horizontal="right" vertical="center"/>
    </xf>
    <xf numFmtId="166" fontId="77" fillId="23" borderId="91" xfId="28" applyNumberFormat="1" applyFont="1" applyFill="1" applyBorder="1" applyAlignment="1" applyProtection="1">
      <alignment horizontal="right" vertical="center"/>
      <protection locked="0"/>
    </xf>
    <xf numFmtId="166" fontId="2" fillId="22" borderId="10" xfId="28" applyNumberFormat="1" applyFont="1" applyFill="1" applyBorder="1" applyAlignment="1" applyProtection="1">
      <alignment vertical="center"/>
    </xf>
    <xf numFmtId="166" fontId="2" fillId="23" borderId="10" xfId="28" applyNumberFormat="1" applyFont="1" applyFill="1" applyBorder="1" applyAlignment="1" applyProtection="1">
      <alignment vertical="center"/>
    </xf>
    <xf numFmtId="166" fontId="28" fillId="0" borderId="10" xfId="28" applyNumberFormat="1" applyFont="1" applyBorder="1" applyAlignment="1" applyProtection="1">
      <alignment vertical="center" wrapText="1"/>
    </xf>
    <xf numFmtId="166" fontId="2" fillId="23" borderId="10" xfId="28" applyNumberFormat="1" applyFont="1" applyFill="1" applyBorder="1" applyAlignment="1" applyProtection="1">
      <alignment horizontal="right" vertical="center"/>
    </xf>
    <xf numFmtId="166" fontId="2" fillId="29" borderId="10" xfId="28" applyNumberFormat="1" applyFont="1" applyFill="1" applyBorder="1" applyAlignment="1" applyProtection="1">
      <alignment vertical="center"/>
    </xf>
    <xf numFmtId="0" fontId="77" fillId="38" borderId="105" xfId="0" applyFont="1" applyFill="1" applyBorder="1" applyAlignment="1" applyProtection="1">
      <alignment horizontal="center" vertical="center"/>
    </xf>
    <xf numFmtId="0" fontId="77" fillId="38" borderId="106" xfId="0" applyFont="1" applyFill="1" applyBorder="1" applyAlignment="1" applyProtection="1">
      <alignment horizontal="center" vertical="center"/>
    </xf>
    <xf numFmtId="0" fontId="77" fillId="38" borderId="107" xfId="0" applyFont="1" applyFill="1" applyBorder="1" applyAlignment="1" applyProtection="1">
      <alignment horizontal="center" vertical="center"/>
    </xf>
    <xf numFmtId="0" fontId="77" fillId="38" borderId="108" xfId="0" applyFont="1" applyFill="1" applyBorder="1" applyAlignment="1" applyProtection="1">
      <alignment horizontal="center" vertical="center"/>
    </xf>
    <xf numFmtId="0" fontId="2" fillId="38" borderId="109" xfId="0" applyFont="1" applyFill="1" applyBorder="1" applyAlignment="1" applyProtection="1">
      <alignment horizontal="center"/>
    </xf>
    <xf numFmtId="165" fontId="14" fillId="38" borderId="106" xfId="0" applyNumberFormat="1" applyFont="1" applyFill="1" applyBorder="1" applyAlignment="1" applyProtection="1">
      <alignment horizontal="center"/>
      <protection locked="0"/>
    </xf>
    <xf numFmtId="165" fontId="14" fillId="38" borderId="110" xfId="0" applyNumberFormat="1" applyFont="1" applyFill="1" applyBorder="1" applyAlignment="1" applyProtection="1">
      <alignment horizontal="center"/>
      <protection locked="0"/>
    </xf>
    <xf numFmtId="3" fontId="1" fillId="25" borderId="239" xfId="28" applyNumberFormat="1" applyFont="1" applyFill="1" applyBorder="1" applyAlignment="1" applyProtection="1">
      <alignment horizontal="right" vertical="center"/>
      <protection locked="0"/>
    </xf>
    <xf numFmtId="3" fontId="1" fillId="25" borderId="240" xfId="28" applyNumberFormat="1" applyFont="1" applyFill="1" applyBorder="1" applyAlignment="1" applyProtection="1">
      <alignment horizontal="right" vertical="center"/>
      <protection locked="0"/>
    </xf>
    <xf numFmtId="3" fontId="0" fillId="0" borderId="241" xfId="0" applyNumberFormat="1" applyBorder="1" applyAlignment="1" applyProtection="1">
      <alignment horizontal="right" vertical="center"/>
    </xf>
    <xf numFmtId="0" fontId="0" fillId="0" borderId="104" xfId="0" applyFill="1" applyBorder="1" applyAlignment="1" applyProtection="1">
      <alignment horizontal="center"/>
    </xf>
    <xf numFmtId="0" fontId="14" fillId="0" borderId="143" xfId="0" applyFont="1" applyFill="1" applyBorder="1" applyAlignment="1" applyProtection="1">
      <alignment horizontal="center"/>
    </xf>
    <xf numFmtId="0" fontId="14" fillId="0" borderId="104" xfId="0" applyFont="1" applyFill="1" applyBorder="1" applyAlignment="1" applyProtection="1">
      <alignment horizontal="center"/>
    </xf>
    <xf numFmtId="9" fontId="67" fillId="29" borderId="10" xfId="56" applyFont="1" applyFill="1" applyBorder="1" applyAlignment="1" applyProtection="1">
      <alignment vertical="center"/>
    </xf>
    <xf numFmtId="9" fontId="134" fillId="29" borderId="10" xfId="56" applyFont="1" applyFill="1" applyBorder="1" applyAlignment="1" applyProtection="1">
      <alignment vertical="center"/>
    </xf>
    <xf numFmtId="174" fontId="134" fillId="29" borderId="10" xfId="56" applyNumberFormat="1" applyFont="1" applyFill="1" applyBorder="1" applyAlignment="1" applyProtection="1">
      <alignment horizontal="right" vertical="center"/>
    </xf>
    <xf numFmtId="3" fontId="67" fillId="22" borderId="10" xfId="0" applyNumberFormat="1" applyFont="1" applyFill="1" applyBorder="1" applyAlignment="1" applyProtection="1">
      <alignment vertical="center"/>
    </xf>
    <xf numFmtId="3" fontId="67" fillId="23" borderId="10" xfId="0" applyNumberFormat="1" applyFont="1" applyFill="1" applyBorder="1" applyAlignment="1" applyProtection="1">
      <alignment vertical="center"/>
    </xf>
    <xf numFmtId="3" fontId="67" fillId="29" borderId="10" xfId="0" applyNumberFormat="1" applyFont="1" applyFill="1" applyBorder="1" applyAlignment="1" applyProtection="1">
      <alignment vertical="center"/>
    </xf>
    <xf numFmtId="3" fontId="67" fillId="23" borderId="10" xfId="0" applyNumberFormat="1" applyFont="1" applyFill="1" applyBorder="1" applyAlignment="1" applyProtection="1">
      <alignment horizontal="right" vertical="center"/>
    </xf>
    <xf numFmtId="1" fontId="21" fillId="24" borderId="47" xfId="0" applyNumberFormat="1" applyFont="1" applyFill="1" applyBorder="1" applyAlignment="1" applyProtection="1">
      <alignment horizontal="center"/>
    </xf>
    <xf numFmtId="1" fontId="0" fillId="24" borderId="47" xfId="0" applyNumberFormat="1" applyFill="1" applyBorder="1" applyAlignment="1" applyProtection="1">
      <alignment horizontal="center"/>
    </xf>
    <xf numFmtId="0" fontId="0" fillId="37" borderId="24" xfId="0" applyNumberFormat="1" applyFill="1" applyBorder="1" applyAlignment="1" applyProtection="1">
      <alignment horizontal="center"/>
    </xf>
    <xf numFmtId="9" fontId="28" fillId="0" borderId="10" xfId="56" applyFont="1" applyFill="1" applyBorder="1" applyAlignment="1" applyProtection="1">
      <alignment vertical="center" wrapText="1"/>
    </xf>
    <xf numFmtId="1" fontId="0" fillId="20" borderId="10" xfId="0" applyNumberFormat="1" applyFill="1" applyBorder="1" applyAlignment="1" applyProtection="1">
      <alignment horizontal="center" vertical="center"/>
    </xf>
    <xf numFmtId="1" fontId="0" fillId="0" borderId="10" xfId="0" applyNumberFormat="1" applyBorder="1" applyAlignment="1" applyProtection="1">
      <alignment horizontal="center" vertical="center"/>
    </xf>
    <xf numFmtId="1" fontId="0" fillId="20" borderId="102" xfId="0" applyNumberFormat="1" applyFill="1" applyBorder="1" applyAlignment="1" applyProtection="1">
      <alignment horizontal="center" vertical="center"/>
    </xf>
    <xf numFmtId="1" fontId="0" fillId="0" borderId="102" xfId="0" applyNumberFormat="1" applyBorder="1" applyAlignment="1" applyProtection="1">
      <alignment horizontal="center" vertical="center"/>
    </xf>
    <xf numFmtId="3" fontId="77" fillId="22" borderId="10" xfId="0" applyNumberFormat="1" applyFont="1" applyFill="1" applyBorder="1" applyAlignment="1" applyProtection="1">
      <alignment vertical="center"/>
    </xf>
    <xf numFmtId="3" fontId="77" fillId="23" borderId="10" xfId="0" applyNumberFormat="1" applyFont="1" applyFill="1" applyBorder="1" applyAlignment="1" applyProtection="1">
      <alignment vertical="center"/>
    </xf>
    <xf numFmtId="3" fontId="77" fillId="22" borderId="10" xfId="0" applyNumberFormat="1" applyFont="1" applyFill="1" applyBorder="1" applyAlignment="1" applyProtection="1">
      <alignment vertical="center"/>
      <protection locked="0"/>
    </xf>
    <xf numFmtId="3" fontId="77" fillId="29" borderId="10" xfId="0" applyNumberFormat="1" applyFont="1" applyFill="1" applyBorder="1" applyAlignment="1" applyProtection="1">
      <alignment vertical="center"/>
    </xf>
    <xf numFmtId="3" fontId="77" fillId="23" borderId="10" xfId="0" applyNumberFormat="1" applyFont="1" applyFill="1" applyBorder="1" applyAlignment="1" applyProtection="1">
      <alignment horizontal="right" vertical="center"/>
    </xf>
    <xf numFmtId="9" fontId="67" fillId="29" borderId="10" xfId="56" applyFont="1" applyFill="1" applyBorder="1" applyAlignment="1" applyProtection="1">
      <alignment vertical="center"/>
      <protection locked="0"/>
    </xf>
    <xf numFmtId="0" fontId="0" fillId="0" borderId="10" xfId="0" applyBorder="1" applyProtection="1"/>
    <xf numFmtId="0" fontId="136" fillId="0" borderId="0" xfId="0" applyFont="1" applyBorder="1" applyProtection="1"/>
    <xf numFmtId="3" fontId="77" fillId="23" borderId="10" xfId="0" applyNumberFormat="1" applyFont="1" applyFill="1" applyBorder="1" applyAlignment="1" applyProtection="1">
      <alignment vertical="center"/>
      <protection locked="0"/>
    </xf>
    <xf numFmtId="3" fontId="77" fillId="29" borderId="10" xfId="0" applyNumberFormat="1" applyFont="1" applyFill="1" applyBorder="1" applyAlignment="1" applyProtection="1">
      <alignment vertical="center"/>
      <protection locked="0"/>
    </xf>
    <xf numFmtId="3" fontId="77" fillId="23" borderId="10" xfId="0" applyNumberFormat="1" applyFont="1" applyFill="1" applyBorder="1" applyAlignment="1" applyProtection="1">
      <alignment horizontal="right" vertical="center"/>
      <protection locked="0"/>
    </xf>
    <xf numFmtId="0" fontId="133" fillId="0" borderId="0" xfId="0" applyFont="1" applyAlignment="1">
      <alignment horizontal="left" vertical="top"/>
    </xf>
    <xf numFmtId="0" fontId="0" fillId="0" borderId="0" xfId="0" applyFill="1" applyProtection="1"/>
    <xf numFmtId="43" fontId="131" fillId="0" borderId="10" xfId="28" applyNumberFormat="1" applyFont="1" applyFill="1" applyBorder="1" applyAlignment="1" applyProtection="1">
      <alignment horizontal="center"/>
    </xf>
    <xf numFmtId="43" fontId="131" fillId="0" borderId="102" xfId="28" applyNumberFormat="1" applyFont="1" applyFill="1" applyBorder="1" applyAlignment="1" applyProtection="1">
      <alignment horizontal="center"/>
    </xf>
    <xf numFmtId="0" fontId="138" fillId="0" borderId="0" xfId="0" applyFont="1" applyBorder="1" applyProtection="1"/>
    <xf numFmtId="0" fontId="138" fillId="0" borderId="0" xfId="0" applyFont="1" applyFill="1" applyBorder="1" applyProtection="1"/>
    <xf numFmtId="0" fontId="138" fillId="0" borderId="0" xfId="0" applyFont="1" applyBorder="1"/>
    <xf numFmtId="0" fontId="139" fillId="0" borderId="0" xfId="0" applyFont="1" applyFill="1" applyBorder="1" applyAlignment="1" applyProtection="1">
      <alignment horizontal="center" vertical="center" wrapText="1"/>
    </xf>
    <xf numFmtId="0" fontId="140" fillId="0" borderId="0" xfId="0" applyFont="1" applyFill="1" applyBorder="1" applyAlignment="1" applyProtection="1">
      <alignment horizontal="center" vertical="center"/>
    </xf>
    <xf numFmtId="0" fontId="138" fillId="0" borderId="0" xfId="0" applyFont="1" applyFill="1" applyBorder="1" applyAlignment="1" applyProtection="1">
      <alignment horizontal="center" vertical="center"/>
    </xf>
    <xf numFmtId="0" fontId="138" fillId="0" borderId="0" xfId="0" applyFont="1" applyBorder="1" applyAlignment="1" applyProtection="1">
      <alignment horizontal="center" vertical="center"/>
    </xf>
    <xf numFmtId="0" fontId="138" fillId="0" borderId="0" xfId="0" applyFont="1" applyBorder="1" applyAlignment="1">
      <alignment horizontal="center" vertical="center"/>
    </xf>
    <xf numFmtId="15" fontId="138" fillId="0" borderId="0" xfId="0" applyNumberFormat="1" applyFont="1" applyFill="1" applyBorder="1" applyAlignment="1" applyProtection="1">
      <alignment horizontal="center" vertical="center"/>
      <protection locked="0"/>
    </xf>
    <xf numFmtId="0" fontId="138" fillId="0" borderId="0" xfId="0" applyFont="1" applyFill="1" applyBorder="1" applyAlignment="1" applyProtection="1">
      <alignment horizontal="center" vertical="center"/>
      <protection locked="0"/>
    </xf>
    <xf numFmtId="166" fontId="28" fillId="25" borderId="69" xfId="28" applyNumberFormat="1" applyFont="1" applyFill="1" applyBorder="1" applyAlignment="1" applyProtection="1">
      <protection locked="0"/>
    </xf>
    <xf numFmtId="3" fontId="141" fillId="22" borderId="10" xfId="0" applyNumberFormat="1" applyFont="1" applyFill="1" applyBorder="1" applyAlignment="1" applyProtection="1">
      <alignment vertical="center"/>
    </xf>
    <xf numFmtId="3" fontId="141" fillId="23" borderId="10" xfId="0" applyNumberFormat="1" applyFont="1" applyFill="1" applyBorder="1" applyAlignment="1" applyProtection="1">
      <alignment vertical="center"/>
    </xf>
    <xf numFmtId="3" fontId="141" fillId="29" borderId="10" xfId="0" applyNumberFormat="1" applyFont="1" applyFill="1" applyBorder="1" applyAlignment="1" applyProtection="1">
      <alignment vertical="center"/>
    </xf>
    <xf numFmtId="3" fontId="141" fillId="23" borderId="10" xfId="0" applyNumberFormat="1" applyFont="1" applyFill="1" applyBorder="1" applyAlignment="1" applyProtection="1">
      <alignment horizontal="right" vertical="center"/>
    </xf>
    <xf numFmtId="9" fontId="0" fillId="0" borderId="0" xfId="56" applyFont="1"/>
    <xf numFmtId="43" fontId="137" fillId="38" borderId="10" xfId="28" applyFont="1" applyFill="1" applyBorder="1" applyProtection="1">
      <protection locked="0"/>
    </xf>
    <xf numFmtId="166" fontId="137" fillId="38" borderId="10" xfId="28" applyNumberFormat="1" applyFont="1" applyFill="1" applyBorder="1" applyProtection="1">
      <protection locked="0"/>
    </xf>
    <xf numFmtId="166" fontId="137" fillId="38" borderId="10" xfId="28" applyNumberFormat="1" applyFont="1" applyFill="1" applyBorder="1" applyProtection="1"/>
    <xf numFmtId="43" fontId="137" fillId="38" borderId="102" xfId="28" applyNumberFormat="1" applyFont="1" applyFill="1" applyBorder="1" applyProtection="1">
      <protection locked="0"/>
    </xf>
    <xf numFmtId="166" fontId="137" fillId="38" borderId="102" xfId="28" applyNumberFormat="1" applyFont="1" applyFill="1" applyBorder="1" applyProtection="1">
      <protection locked="0"/>
    </xf>
    <xf numFmtId="1" fontId="21" fillId="36" borderId="153" xfId="0" applyNumberFormat="1" applyFont="1" applyFill="1" applyBorder="1" applyAlignment="1" applyProtection="1">
      <alignment horizontal="center" vertical="center"/>
    </xf>
    <xf numFmtId="43" fontId="0" fillId="0" borderId="0" xfId="28" applyFont="1"/>
    <xf numFmtId="0" fontId="0" fillId="0" borderId="0" xfId="0" applyAlignment="1" applyProtection="1">
      <alignment wrapText="1"/>
    </xf>
    <xf numFmtId="0" fontId="21" fillId="20" borderId="27" xfId="0" applyFont="1" applyFill="1" applyBorder="1" applyAlignment="1" applyProtection="1">
      <alignment horizontal="left" vertical="center"/>
    </xf>
    <xf numFmtId="166" fontId="21" fillId="25" borderId="10" xfId="28" applyNumberFormat="1" applyFont="1" applyFill="1" applyBorder="1" applyProtection="1">
      <protection locked="0"/>
    </xf>
    <xf numFmtId="166" fontId="21" fillId="25" borderId="10" xfId="28" applyNumberFormat="1" applyFont="1" applyFill="1" applyBorder="1" applyAlignment="1" applyProtection="1">
      <protection locked="0"/>
    </xf>
    <xf numFmtId="3" fontId="109" fillId="0" borderId="0" xfId="0" applyNumberFormat="1" applyFont="1" applyFill="1" applyBorder="1" applyAlignment="1" applyProtection="1">
      <alignment horizontal="left"/>
      <protection locked="0"/>
    </xf>
    <xf numFmtId="0" fontId="0" fillId="0" borderId="0" xfId="0"/>
    <xf numFmtId="166" fontId="0" fillId="0" borderId="0" xfId="0" applyNumberFormat="1"/>
    <xf numFmtId="166" fontId="133" fillId="38" borderId="10" xfId="28" applyNumberFormat="1" applyFont="1" applyFill="1" applyBorder="1" applyProtection="1"/>
    <xf numFmtId="166" fontId="133" fillId="38" borderId="10" xfId="28" applyNumberFormat="1" applyFont="1" applyFill="1" applyBorder="1" applyProtection="1">
      <protection locked="0"/>
    </xf>
    <xf numFmtId="1" fontId="0" fillId="20" borderId="10" xfId="0" applyNumberFormat="1" applyFont="1" applyFill="1" applyBorder="1" applyAlignment="1" applyProtection="1">
      <alignment horizontal="center" vertical="center"/>
    </xf>
    <xf numFmtId="166" fontId="28" fillId="0" borderId="10" xfId="28" applyNumberFormat="1" applyFont="1" applyFill="1" applyBorder="1" applyAlignment="1" applyProtection="1">
      <alignment vertical="center" wrapText="1"/>
    </xf>
    <xf numFmtId="43" fontId="17" fillId="31" borderId="0" xfId="39" applyFont="1" applyFill="1" applyBorder="1" applyAlignment="1">
      <alignment horizontal="center" vertical="center"/>
    </xf>
    <xf numFmtId="43" fontId="33" fillId="0" borderId="0" xfId="0" applyNumberFormat="1" applyFont="1" applyAlignment="1">
      <alignment horizontal="center"/>
    </xf>
    <xf numFmtId="0" fontId="0" fillId="0" borderId="0" xfId="0" applyAlignment="1"/>
    <xf numFmtId="0" fontId="129" fillId="0" borderId="0" xfId="0" applyFont="1" applyAlignment="1">
      <alignment horizontal="center"/>
    </xf>
    <xf numFmtId="0" fontId="130" fillId="0" borderId="0" xfId="0" applyFont="1" applyAlignment="1">
      <alignment horizontal="center"/>
    </xf>
    <xf numFmtId="0" fontId="0" fillId="0" borderId="111" xfId="0" applyBorder="1" applyAlignment="1">
      <alignment horizontal="center"/>
    </xf>
    <xf numFmtId="0" fontId="63" fillId="0" borderId="27" xfId="0" applyFont="1" applyBorder="1" applyAlignment="1">
      <alignment horizontal="left" vertical="center" wrapText="1"/>
    </xf>
    <xf numFmtId="0" fontId="63" fillId="0" borderId="44" xfId="0" applyFont="1" applyBorder="1" applyAlignment="1">
      <alignment horizontal="left" vertical="center" wrapText="1"/>
    </xf>
    <xf numFmtId="0" fontId="63" fillId="0" borderId="45" xfId="0" applyFont="1" applyBorder="1" applyAlignment="1">
      <alignment horizontal="left" vertical="center" wrapText="1"/>
    </xf>
    <xf numFmtId="0" fontId="0" fillId="0" borderId="111" xfId="0" applyBorder="1" applyAlignment="1">
      <alignment horizontal="center" wrapText="1"/>
    </xf>
    <xf numFmtId="0" fontId="0" fillId="0" borderId="0" xfId="0" applyBorder="1" applyAlignment="1">
      <alignment horizontal="center" wrapText="1"/>
    </xf>
    <xf numFmtId="0" fontId="87" fillId="24" borderId="27" xfId="0" applyFont="1" applyFill="1" applyBorder="1" applyAlignment="1">
      <alignment horizontal="center"/>
    </xf>
    <xf numFmtId="0" fontId="87" fillId="24" borderId="44" xfId="0" applyFont="1" applyFill="1" applyBorder="1" applyAlignment="1">
      <alignment horizontal="center"/>
    </xf>
    <xf numFmtId="0" fontId="87" fillId="24" borderId="45" xfId="0" applyFont="1" applyFill="1" applyBorder="1" applyAlignment="1">
      <alignment horizontal="center"/>
    </xf>
    <xf numFmtId="0" fontId="89" fillId="0" borderId="27" xfId="0" applyFont="1" applyBorder="1" applyAlignment="1">
      <alignment horizontal="justify" vertical="center" wrapText="1"/>
    </xf>
    <xf numFmtId="0" fontId="89" fillId="0" borderId="44" xfId="0" applyFont="1" applyBorder="1" applyAlignment="1">
      <alignment horizontal="justify" vertical="center" wrapText="1"/>
    </xf>
    <xf numFmtId="0" fontId="89" fillId="0" borderId="45" xfId="0" applyFont="1" applyBorder="1" applyAlignment="1">
      <alignment horizontal="justify" vertical="center" wrapText="1"/>
    </xf>
    <xf numFmtId="0" fontId="0" fillId="0" borderId="0" xfId="0" applyBorder="1" applyAlignment="1">
      <alignment horizontal="center"/>
    </xf>
    <xf numFmtId="0" fontId="86" fillId="0" borderId="0" xfId="0" applyFont="1" applyAlignment="1">
      <alignment horizontal="center"/>
    </xf>
    <xf numFmtId="43" fontId="17" fillId="32" borderId="0" xfId="47" applyFont="1" applyFill="1" applyAlignment="1" applyProtection="1">
      <alignment horizontal="center" vertical="center"/>
    </xf>
    <xf numFmtId="0" fontId="87" fillId="25" borderId="27" xfId="0" applyFont="1" applyFill="1" applyBorder="1" applyAlignment="1">
      <alignment horizontal="center"/>
    </xf>
    <xf numFmtId="0" fontId="87" fillId="25" borderId="44" xfId="0" applyFont="1" applyFill="1" applyBorder="1" applyAlignment="1">
      <alignment horizontal="center"/>
    </xf>
    <xf numFmtId="0" fontId="87" fillId="25" borderId="45" xfId="0" applyFont="1" applyFill="1" applyBorder="1" applyAlignment="1">
      <alignment horizontal="center"/>
    </xf>
    <xf numFmtId="9" fontId="89" fillId="0" borderId="27" xfId="56" applyFont="1" applyBorder="1" applyAlignment="1">
      <alignment horizontal="justify" vertical="center" wrapText="1"/>
    </xf>
    <xf numFmtId="9" fontId="89" fillId="0" borderId="44" xfId="56" applyFont="1" applyBorder="1" applyAlignment="1">
      <alignment horizontal="justify" vertical="center" wrapText="1"/>
    </xf>
    <xf numFmtId="9" fontId="89" fillId="0" borderId="45" xfId="56" applyFont="1" applyBorder="1" applyAlignment="1">
      <alignment horizontal="justify" vertical="center" wrapText="1"/>
    </xf>
    <xf numFmtId="43" fontId="88" fillId="0" borderId="27" xfId="0" applyNumberFormat="1" applyFont="1" applyBorder="1" applyAlignment="1">
      <alignment horizontal="left" vertical="center" wrapText="1"/>
    </xf>
    <xf numFmtId="0" fontId="88" fillId="0" borderId="44" xfId="0" applyFont="1" applyBorder="1" applyAlignment="1">
      <alignment horizontal="left" vertical="center" wrapText="1"/>
    </xf>
    <xf numFmtId="0" fontId="88" fillId="0" borderId="45" xfId="0" applyFont="1" applyBorder="1" applyAlignment="1">
      <alignment horizontal="left" vertical="center" wrapText="1"/>
    </xf>
    <xf numFmtId="0" fontId="88" fillId="0" borderId="44" xfId="0" applyFont="1" applyBorder="1" applyAlignment="1">
      <alignment horizontal="left" vertical="center"/>
    </xf>
    <xf numFmtId="0" fontId="88" fillId="0" borderId="45" xfId="0" applyFont="1" applyBorder="1" applyAlignment="1">
      <alignment horizontal="left" vertical="center"/>
    </xf>
    <xf numFmtId="43" fontId="88" fillId="0" borderId="27" xfId="0" applyNumberFormat="1" applyFont="1" applyBorder="1" applyAlignment="1">
      <alignment horizontal="justify" vertical="center" wrapText="1"/>
    </xf>
    <xf numFmtId="0" fontId="88" fillId="0" borderId="44" xfId="0" applyFont="1" applyBorder="1" applyAlignment="1">
      <alignment horizontal="justify" vertical="center"/>
    </xf>
    <xf numFmtId="0" fontId="88" fillId="0" borderId="45" xfId="0" applyFont="1" applyBorder="1" applyAlignment="1">
      <alignment horizontal="justify" vertical="center"/>
    </xf>
    <xf numFmtId="0" fontId="0" fillId="0" borderId="27" xfId="0" applyBorder="1" applyAlignment="1">
      <alignment horizontal="center" vertical="center" wrapText="1"/>
    </xf>
    <xf numFmtId="0" fontId="0" fillId="0" borderId="44" xfId="0" applyBorder="1" applyAlignment="1">
      <alignment horizontal="center" vertical="center" wrapText="1"/>
    </xf>
    <xf numFmtId="0" fontId="0" fillId="0" borderId="45" xfId="0" applyBorder="1" applyAlignment="1">
      <alignment horizontal="center" vertical="center" wrapText="1"/>
    </xf>
    <xf numFmtId="0" fontId="94" fillId="22" borderId="27" xfId="0" applyFont="1" applyFill="1" applyBorder="1" applyAlignment="1">
      <alignment horizontal="center" vertical="center" wrapText="1"/>
    </xf>
    <xf numFmtId="0" fontId="94" fillId="22" borderId="44" xfId="0" applyFont="1" applyFill="1" applyBorder="1" applyAlignment="1">
      <alignment horizontal="center" vertical="center"/>
    </xf>
    <xf numFmtId="0" fontId="94" fillId="22" borderId="45" xfId="0" applyFont="1" applyFill="1" applyBorder="1" applyAlignment="1">
      <alignment horizontal="center" vertical="center"/>
    </xf>
    <xf numFmtId="0" fontId="93" fillId="22" borderId="27" xfId="0" applyFont="1" applyFill="1" applyBorder="1" applyAlignment="1">
      <alignment horizontal="center" vertical="center"/>
    </xf>
    <xf numFmtId="0" fontId="93" fillId="22" borderId="44" xfId="0" applyFont="1" applyFill="1" applyBorder="1" applyAlignment="1">
      <alignment horizontal="center" vertical="center"/>
    </xf>
    <xf numFmtId="0" fontId="93" fillId="22" borderId="45" xfId="0" applyFont="1" applyFill="1" applyBorder="1" applyAlignment="1">
      <alignment horizontal="center" vertical="center"/>
    </xf>
    <xf numFmtId="0" fontId="24" fillId="0" borderId="27" xfId="0" applyFont="1" applyBorder="1" applyAlignment="1">
      <alignment horizontal="center" vertical="center" wrapText="1"/>
    </xf>
    <xf numFmtId="0" fontId="24" fillId="0" borderId="44" xfId="0" applyFont="1" applyBorder="1" applyAlignment="1">
      <alignment horizontal="center" vertical="center" wrapText="1"/>
    </xf>
    <xf numFmtId="0" fontId="24" fillId="0" borderId="45" xfId="0" applyFont="1" applyBorder="1" applyAlignment="1">
      <alignment horizontal="center" vertical="center" wrapText="1"/>
    </xf>
    <xf numFmtId="0" fontId="93" fillId="22" borderId="27" xfId="0" applyFont="1" applyFill="1" applyBorder="1" applyAlignment="1">
      <alignment horizontal="center" wrapText="1"/>
    </xf>
    <xf numFmtId="0" fontId="93" fillId="22" borderId="44" xfId="0" applyFont="1" applyFill="1" applyBorder="1" applyAlignment="1">
      <alignment horizontal="center" wrapText="1"/>
    </xf>
    <xf numFmtId="0" fontId="93" fillId="22" borderId="45" xfId="0" applyFont="1" applyFill="1" applyBorder="1" applyAlignment="1">
      <alignment horizontal="center" wrapText="1"/>
    </xf>
    <xf numFmtId="0" fontId="93" fillId="22" borderId="27" xfId="0" applyFont="1" applyFill="1" applyBorder="1" applyAlignment="1">
      <alignment horizontal="center"/>
    </xf>
    <xf numFmtId="0" fontId="93" fillId="22" borderId="44" xfId="0" applyFont="1" applyFill="1" applyBorder="1" applyAlignment="1">
      <alignment horizontal="center"/>
    </xf>
    <xf numFmtId="0" fontId="93" fillId="22" borderId="45" xfId="0" applyFont="1" applyFill="1" applyBorder="1" applyAlignment="1">
      <alignment horizontal="center"/>
    </xf>
    <xf numFmtId="0" fontId="63" fillId="0" borderId="27" xfId="0" applyFont="1" applyBorder="1" applyAlignment="1" applyProtection="1">
      <alignment horizontal="left" vertical="center" wrapText="1"/>
      <protection locked="0"/>
    </xf>
    <xf numFmtId="0" fontId="63" fillId="0" borderId="44" xfId="0" applyFont="1" applyBorder="1" applyAlignment="1" applyProtection="1">
      <alignment horizontal="left" vertical="center" wrapText="1"/>
      <protection locked="0"/>
    </xf>
    <xf numFmtId="0" fontId="63" fillId="0" borderId="45" xfId="0" applyFont="1" applyBorder="1" applyAlignment="1" applyProtection="1">
      <alignment horizontal="left" vertical="center" wrapText="1"/>
      <protection locked="0"/>
    </xf>
    <xf numFmtId="0" fontId="89" fillId="0" borderId="27" xfId="0" applyFont="1" applyBorder="1" applyAlignment="1" applyProtection="1">
      <alignment vertical="center" wrapText="1"/>
      <protection locked="0"/>
    </xf>
    <xf numFmtId="0" fontId="89" fillId="0" borderId="44" xfId="0" applyFont="1" applyBorder="1" applyAlignment="1" applyProtection="1">
      <alignment vertical="center" wrapText="1"/>
      <protection locked="0"/>
    </xf>
    <xf numFmtId="0" fontId="89" fillId="0" borderId="45" xfId="0" applyFont="1" applyBorder="1" applyAlignment="1" applyProtection="1">
      <alignment vertical="center" wrapText="1"/>
      <protection locked="0"/>
    </xf>
    <xf numFmtId="0" fontId="63" fillId="0" borderId="27" xfId="0" applyFont="1" applyBorder="1" applyAlignment="1" applyProtection="1">
      <alignment horizontal="justify" vertical="center" wrapText="1"/>
      <protection locked="0"/>
    </xf>
    <xf numFmtId="0" fontId="89" fillId="0" borderId="44" xfId="0" applyFont="1" applyBorder="1" applyAlignment="1" applyProtection="1">
      <alignment horizontal="justify" vertical="center" wrapText="1"/>
      <protection locked="0"/>
    </xf>
    <xf numFmtId="0" fontId="89" fillId="0" borderId="45" xfId="0" applyFont="1" applyBorder="1" applyAlignment="1" applyProtection="1">
      <alignment horizontal="justify" vertical="center" wrapText="1"/>
      <protection locked="0"/>
    </xf>
    <xf numFmtId="0" fontId="89" fillId="0" borderId="27" xfId="0" applyFont="1" applyFill="1" applyBorder="1" applyAlignment="1" applyProtection="1">
      <alignment vertical="center" wrapText="1"/>
      <protection locked="0"/>
    </xf>
    <xf numFmtId="0" fontId="89" fillId="0" borderId="44" xfId="0" applyFont="1" applyFill="1" applyBorder="1" applyAlignment="1" applyProtection="1">
      <alignment vertical="center" wrapText="1"/>
      <protection locked="0"/>
    </xf>
    <xf numFmtId="0" fontId="89" fillId="0" borderId="45" xfId="0" applyFont="1" applyFill="1" applyBorder="1" applyAlignment="1" applyProtection="1">
      <alignment vertical="center" wrapText="1"/>
      <protection locked="0"/>
    </xf>
    <xf numFmtId="0" fontId="88" fillId="0" borderId="44" xfId="0" applyFont="1" applyBorder="1" applyAlignment="1">
      <alignment horizontal="justify" vertical="center" wrapText="1"/>
    </xf>
    <xf numFmtId="0" fontId="88" fillId="0" borderId="45" xfId="0" applyFont="1" applyBorder="1" applyAlignment="1">
      <alignment horizontal="justify" vertical="center" wrapText="1"/>
    </xf>
    <xf numFmtId="0" fontId="63" fillId="0" borderId="27" xfId="0" applyFont="1" applyBorder="1" applyAlignment="1">
      <alignment horizontal="justify" vertical="center" wrapText="1"/>
    </xf>
    <xf numFmtId="43" fontId="88" fillId="0" borderId="112" xfId="0" applyNumberFormat="1" applyFont="1" applyBorder="1" applyAlignment="1">
      <alignment horizontal="left" vertical="center" wrapText="1"/>
    </xf>
    <xf numFmtId="0" fontId="88" fillId="0" borderId="111" xfId="0" applyFont="1" applyBorder="1" applyAlignment="1">
      <alignment horizontal="left" vertical="center" wrapText="1"/>
    </xf>
    <xf numFmtId="0" fontId="88" fillId="0" borderId="113" xfId="0" applyFont="1" applyBorder="1" applyAlignment="1">
      <alignment horizontal="left" vertical="center" wrapText="1"/>
    </xf>
    <xf numFmtId="0" fontId="88" fillId="0" borderId="66" xfId="0" applyFont="1" applyBorder="1" applyAlignment="1">
      <alignment horizontal="left" vertical="center" wrapText="1"/>
    </xf>
    <xf numFmtId="0" fontId="88" fillId="0" borderId="106" xfId="0" applyFont="1" applyBorder="1" applyAlignment="1">
      <alignment horizontal="left" vertical="center" wrapText="1"/>
    </xf>
    <xf numFmtId="0" fontId="88" fillId="0" borderId="108" xfId="0" applyFont="1" applyBorder="1" applyAlignment="1">
      <alignment horizontal="left" vertical="center" wrapText="1"/>
    </xf>
    <xf numFmtId="0" fontId="63" fillId="0" borderId="44" xfId="0" applyFont="1" applyBorder="1" applyAlignment="1">
      <alignment horizontal="justify" vertical="center" wrapText="1"/>
    </xf>
    <xf numFmtId="0" fontId="63" fillId="0" borderId="45" xfId="0" applyFont="1" applyBorder="1" applyAlignment="1">
      <alignment horizontal="justify" vertical="center" wrapText="1"/>
    </xf>
    <xf numFmtId="0" fontId="63" fillId="0" borderId="112" xfId="0" applyFont="1" applyBorder="1" applyAlignment="1">
      <alignment horizontal="justify" wrapText="1"/>
    </xf>
    <xf numFmtId="0" fontId="63" fillId="0" borderId="111" xfId="0" applyFont="1" applyBorder="1" applyAlignment="1">
      <alignment horizontal="justify" wrapText="1"/>
    </xf>
    <xf numFmtId="0" fontId="63" fillId="0" borderId="113" xfId="0" applyFont="1" applyBorder="1" applyAlignment="1">
      <alignment horizontal="justify" wrapText="1"/>
    </xf>
    <xf numFmtId="0" fontId="89" fillId="0" borderId="66" xfId="0" applyFont="1" applyBorder="1" applyAlignment="1">
      <alignment horizontal="justify" vertical="center" wrapText="1"/>
    </xf>
    <xf numFmtId="0" fontId="89" fillId="0" borderId="106" xfId="0" applyFont="1" applyBorder="1" applyAlignment="1">
      <alignment horizontal="justify" vertical="center" wrapText="1"/>
    </xf>
    <xf numFmtId="0" fontId="89" fillId="0" borderId="108" xfId="0" applyFont="1" applyBorder="1" applyAlignment="1">
      <alignment horizontal="justify" vertical="center" wrapText="1"/>
    </xf>
    <xf numFmtId="0" fontId="122" fillId="0" borderId="27" xfId="0" applyFont="1" applyBorder="1" applyAlignment="1">
      <alignment horizontal="justify" vertical="center" wrapText="1"/>
    </xf>
    <xf numFmtId="0" fontId="122" fillId="0" borderId="44" xfId="0" applyFont="1" applyBorder="1" applyAlignment="1">
      <alignment horizontal="justify" vertical="center" wrapText="1"/>
    </xf>
    <xf numFmtId="0" fontId="122" fillId="0" borderId="45" xfId="0" applyFont="1" applyBorder="1" applyAlignment="1">
      <alignment horizontal="justify" vertical="center" wrapText="1"/>
    </xf>
    <xf numFmtId="0" fontId="122" fillId="0" borderId="27" xfId="0" applyFont="1" applyBorder="1" applyAlignment="1">
      <alignment horizontal="left" vertical="center" wrapText="1"/>
    </xf>
    <xf numFmtId="0" fontId="119" fillId="0" borderId="44" xfId="0" applyFont="1" applyBorder="1" applyAlignment="1">
      <alignment horizontal="left" vertical="center" wrapText="1"/>
    </xf>
    <xf numFmtId="0" fontId="119" fillId="0" borderId="45" xfId="0" applyFont="1" applyBorder="1" applyAlignment="1">
      <alignment horizontal="left" vertical="center" wrapText="1"/>
    </xf>
    <xf numFmtId="0" fontId="63" fillId="0" borderId="112" xfId="0" applyFont="1" applyBorder="1" applyAlignment="1">
      <alignment horizontal="left" vertical="center" wrapText="1"/>
    </xf>
    <xf numFmtId="0" fontId="63" fillId="0" borderId="111" xfId="0" applyFont="1" applyBorder="1" applyAlignment="1">
      <alignment horizontal="left" vertical="center" wrapText="1"/>
    </xf>
    <xf numFmtId="0" fontId="63" fillId="0" borderId="113" xfId="0" applyFont="1" applyBorder="1" applyAlignment="1">
      <alignment horizontal="left" vertical="center" wrapText="1"/>
    </xf>
    <xf numFmtId="0" fontId="63" fillId="0" borderId="66" xfId="0" applyFont="1" applyBorder="1" applyAlignment="1">
      <alignment horizontal="left" vertical="center" wrapText="1"/>
    </xf>
    <xf numFmtId="0" fontId="63" fillId="0" borderId="106" xfId="0" applyFont="1" applyBorder="1" applyAlignment="1">
      <alignment horizontal="left" vertical="center" wrapText="1"/>
    </xf>
    <xf numFmtId="0" fontId="63" fillId="0" borderId="108" xfId="0" applyFont="1" applyBorder="1" applyAlignment="1">
      <alignment horizontal="left" vertical="center" wrapText="1"/>
    </xf>
    <xf numFmtId="0" fontId="89" fillId="0" borderId="44" xfId="0" applyFont="1" applyBorder="1" applyAlignment="1" applyProtection="1">
      <alignment horizontal="left" vertical="center" wrapText="1"/>
      <protection locked="0"/>
    </xf>
    <xf numFmtId="0" fontId="89" fillId="0" borderId="45" xfId="0" applyFont="1" applyBorder="1" applyAlignment="1" applyProtection="1">
      <alignment horizontal="left" vertical="center" wrapText="1"/>
      <protection locked="0"/>
    </xf>
    <xf numFmtId="0" fontId="89" fillId="22" borderId="27" xfId="0" applyFont="1" applyFill="1" applyBorder="1" applyAlignment="1">
      <alignment vertical="center" wrapText="1"/>
    </xf>
    <xf numFmtId="0" fontId="89" fillId="22" borderId="44" xfId="0" applyFont="1" applyFill="1" applyBorder="1" applyAlignment="1">
      <alignment vertical="center" wrapText="1"/>
    </xf>
    <xf numFmtId="0" fontId="89" fillId="22" borderId="45" xfId="0" applyFont="1" applyFill="1" applyBorder="1" applyAlignment="1">
      <alignment vertical="center" wrapText="1"/>
    </xf>
    <xf numFmtId="0" fontId="122" fillId="0" borderId="66" xfId="0" applyFont="1" applyBorder="1" applyAlignment="1">
      <alignment horizontal="justify" vertical="center" wrapText="1"/>
    </xf>
    <xf numFmtId="0" fontId="122" fillId="0" borderId="106" xfId="0" applyFont="1" applyBorder="1" applyAlignment="1">
      <alignment horizontal="justify" vertical="center" wrapText="1"/>
    </xf>
    <xf numFmtId="0" fontId="122" fillId="0" borderId="108" xfId="0" applyFont="1" applyBorder="1" applyAlignment="1">
      <alignment horizontal="justify" vertical="center" wrapText="1"/>
    </xf>
    <xf numFmtId="0" fontId="63" fillId="0" borderId="27" xfId="0" applyNumberFormat="1" applyFont="1" applyBorder="1" applyAlignment="1" applyProtection="1">
      <alignment horizontal="left" vertical="center" wrapText="1"/>
      <protection locked="0"/>
    </xf>
    <xf numFmtId="0" fontId="63" fillId="0" borderId="44" xfId="0" applyNumberFormat="1" applyFont="1" applyBorder="1" applyAlignment="1" applyProtection="1">
      <alignment horizontal="left" vertical="center" wrapText="1"/>
      <protection locked="0"/>
    </xf>
    <xf numFmtId="0" fontId="63" fillId="0" borderId="45" xfId="0" applyNumberFormat="1" applyFont="1" applyBorder="1" applyAlignment="1" applyProtection="1">
      <alignment horizontal="left" vertical="center" wrapText="1"/>
      <protection locked="0"/>
    </xf>
    <xf numFmtId="0" fontId="98" fillId="0" borderId="27" xfId="0" applyFont="1" applyFill="1" applyBorder="1" applyAlignment="1" applyProtection="1">
      <alignment vertical="center" wrapText="1"/>
      <protection locked="0"/>
    </xf>
    <xf numFmtId="0" fontId="98" fillId="0" borderId="44" xfId="0" applyFont="1" applyFill="1" applyBorder="1" applyAlignment="1" applyProtection="1">
      <alignment vertical="center" wrapText="1"/>
      <protection locked="0"/>
    </xf>
    <xf numFmtId="0" fontId="98" fillId="0" borderId="45" xfId="0" applyFont="1" applyFill="1" applyBorder="1" applyAlignment="1" applyProtection="1">
      <alignment vertical="center" wrapText="1"/>
      <protection locked="0"/>
    </xf>
    <xf numFmtId="0" fontId="88" fillId="0" borderId="27" xfId="0" applyFont="1" applyBorder="1" applyAlignment="1" applyProtection="1">
      <alignment vertical="center" wrapText="1"/>
      <protection locked="0"/>
    </xf>
    <xf numFmtId="0" fontId="88" fillId="0" borderId="44" xfId="0" applyFont="1" applyBorder="1" applyAlignment="1" applyProtection="1">
      <alignment vertical="center" wrapText="1"/>
      <protection locked="0"/>
    </xf>
    <xf numFmtId="0" fontId="88" fillId="0" borderId="45" xfId="0" applyFont="1" applyBorder="1" applyAlignment="1" applyProtection="1">
      <alignment vertical="center" wrapText="1"/>
      <protection locked="0"/>
    </xf>
    <xf numFmtId="0" fontId="67" fillId="0" borderId="115" xfId="0" applyFont="1" applyFill="1" applyBorder="1" applyAlignment="1" applyProtection="1">
      <alignment horizontal="center" vertical="center" wrapText="1"/>
    </xf>
    <xf numFmtId="0" fontId="67" fillId="0" borderId="116" xfId="0" applyFont="1" applyFill="1" applyBorder="1" applyAlignment="1" applyProtection="1">
      <alignment horizontal="center" vertical="center" wrapText="1"/>
    </xf>
    <xf numFmtId="49" fontId="2" fillId="23" borderId="128" xfId="0" applyNumberFormat="1" applyFont="1" applyFill="1" applyBorder="1" applyAlignment="1" applyProtection="1">
      <alignment horizontal="left" vertical="center" wrapText="1"/>
      <protection locked="0"/>
    </xf>
    <xf numFmtId="49" fontId="67" fillId="23" borderId="111" xfId="0" applyNumberFormat="1" applyFont="1" applyFill="1" applyBorder="1" applyAlignment="1" applyProtection="1">
      <alignment horizontal="left" vertical="center" wrapText="1"/>
      <protection locked="0"/>
    </xf>
    <xf numFmtId="49" fontId="67" fillId="23" borderId="129" xfId="0" applyNumberFormat="1" applyFont="1" applyFill="1" applyBorder="1" applyAlignment="1" applyProtection="1">
      <alignment horizontal="left" vertical="center" wrapText="1"/>
      <protection locked="0"/>
    </xf>
    <xf numFmtId="49" fontId="67" fillId="23" borderId="105" xfId="0" applyNumberFormat="1" applyFont="1" applyFill="1" applyBorder="1" applyAlignment="1" applyProtection="1">
      <alignment horizontal="left" vertical="center" wrapText="1"/>
      <protection locked="0"/>
    </xf>
    <xf numFmtId="49" fontId="67" fillId="23" borderId="106" xfId="0" applyNumberFormat="1" applyFont="1" applyFill="1" applyBorder="1" applyAlignment="1" applyProtection="1">
      <alignment horizontal="left" vertical="center" wrapText="1"/>
      <protection locked="0"/>
    </xf>
    <xf numFmtId="49" fontId="67" fillId="23" borderId="110" xfId="0" applyNumberFormat="1" applyFont="1" applyFill="1" applyBorder="1" applyAlignment="1" applyProtection="1">
      <alignment horizontal="left" vertical="center" wrapText="1"/>
      <protection locked="0"/>
    </xf>
    <xf numFmtId="0" fontId="67" fillId="0" borderId="45" xfId="0" applyFont="1" applyFill="1" applyBorder="1" applyAlignment="1" applyProtection="1">
      <alignment horizontal="center" vertical="center" wrapText="1"/>
    </xf>
    <xf numFmtId="0" fontId="67" fillId="0" borderId="114" xfId="0" applyFont="1" applyFill="1" applyBorder="1" applyAlignment="1" applyProtection="1">
      <alignment horizontal="center" vertical="center" wrapText="1"/>
    </xf>
    <xf numFmtId="0" fontId="134" fillId="22" borderId="115" xfId="0" applyNumberFormat="1" applyFont="1" applyFill="1" applyBorder="1" applyAlignment="1" applyProtection="1">
      <alignment horizontal="center" vertical="center" wrapText="1"/>
      <protection locked="0"/>
    </xf>
    <xf numFmtId="0" fontId="134" fillId="22" borderId="45" xfId="0" applyNumberFormat="1" applyFont="1" applyFill="1" applyBorder="1" applyAlignment="1" applyProtection="1">
      <alignment horizontal="center" vertical="center" wrapText="1"/>
      <protection locked="0"/>
    </xf>
    <xf numFmtId="0" fontId="67" fillId="23" borderId="115" xfId="0" applyNumberFormat="1" applyFont="1" applyFill="1" applyBorder="1" applyAlignment="1" applyProtection="1">
      <alignment horizontal="center" vertical="center" wrapText="1"/>
      <protection locked="0"/>
    </xf>
    <xf numFmtId="0" fontId="67" fillId="23" borderId="116" xfId="0" applyNumberFormat="1" applyFont="1" applyFill="1" applyBorder="1" applyAlignment="1" applyProtection="1">
      <alignment horizontal="center" vertical="center" wrapText="1"/>
      <protection locked="0"/>
    </xf>
    <xf numFmtId="49" fontId="67" fillId="23" borderId="45" xfId="0" applyNumberFormat="1" applyFont="1" applyFill="1" applyBorder="1" applyAlignment="1" applyProtection="1">
      <alignment horizontal="center" vertical="center" wrapText="1"/>
      <protection locked="0"/>
    </xf>
    <xf numFmtId="49" fontId="67" fillId="23" borderId="114" xfId="0" applyNumberFormat="1" applyFont="1" applyFill="1" applyBorder="1" applyAlignment="1" applyProtection="1">
      <alignment horizontal="center" vertical="center" wrapText="1"/>
      <protection locked="0"/>
    </xf>
    <xf numFmtId="0" fontId="2" fillId="23" borderId="115" xfId="0" applyNumberFormat="1" applyFont="1" applyFill="1" applyBorder="1" applyAlignment="1" applyProtection="1">
      <alignment horizontal="center" vertical="center" wrapText="1"/>
      <protection locked="0"/>
    </xf>
    <xf numFmtId="0" fontId="67" fillId="0" borderId="105" xfId="0" applyFont="1" applyFill="1" applyBorder="1" applyAlignment="1" applyProtection="1">
      <alignment horizontal="left" vertical="center" wrapText="1"/>
    </xf>
    <xf numFmtId="0" fontId="67" fillId="0" borderId="106" xfId="0" applyFont="1" applyFill="1" applyBorder="1" applyAlignment="1" applyProtection="1">
      <alignment horizontal="left" vertical="center" wrapText="1"/>
    </xf>
    <xf numFmtId="0" fontId="67" fillId="0" borderId="110" xfId="0" applyFont="1" applyFill="1" applyBorder="1" applyAlignment="1" applyProtection="1">
      <alignment horizontal="left" vertical="center" wrapText="1"/>
    </xf>
    <xf numFmtId="0" fontId="67" fillId="0" borderId="125" xfId="0" applyFont="1" applyFill="1" applyBorder="1" applyAlignment="1" applyProtection="1">
      <alignment horizontal="left" vertical="center" wrapText="1"/>
    </xf>
    <xf numFmtId="0" fontId="67" fillId="0" borderId="126" xfId="0" applyFont="1" applyFill="1" applyBorder="1" applyAlignment="1" applyProtection="1">
      <alignment horizontal="left" vertical="center" wrapText="1"/>
    </xf>
    <xf numFmtId="0" fontId="67" fillId="0" borderId="127" xfId="0" applyFont="1" applyFill="1" applyBorder="1" applyAlignment="1" applyProtection="1">
      <alignment horizontal="left" vertical="center" wrapText="1"/>
    </xf>
    <xf numFmtId="49" fontId="67" fillId="23" borderId="128" xfId="0" applyNumberFormat="1" applyFont="1" applyFill="1" applyBorder="1" applyAlignment="1" applyProtection="1">
      <alignment horizontal="left" vertical="center" wrapText="1"/>
      <protection locked="0"/>
    </xf>
    <xf numFmtId="49" fontId="67" fillId="23" borderId="130" xfId="0" applyNumberFormat="1" applyFont="1" applyFill="1" applyBorder="1" applyAlignment="1" applyProtection="1">
      <alignment horizontal="left" vertical="center" wrapText="1"/>
      <protection locked="0"/>
    </xf>
    <xf numFmtId="49" fontId="67" fillId="23" borderId="26" xfId="0" applyNumberFormat="1" applyFont="1" applyFill="1" applyBorder="1" applyAlignment="1" applyProtection="1">
      <alignment horizontal="left" vertical="center" wrapText="1"/>
      <protection locked="0"/>
    </xf>
    <xf numFmtId="49" fontId="67" fillId="23" borderId="131" xfId="0" applyNumberFormat="1" applyFont="1" applyFill="1" applyBorder="1" applyAlignment="1" applyProtection="1">
      <alignment horizontal="left" vertical="center" wrapText="1"/>
      <protection locked="0"/>
    </xf>
    <xf numFmtId="0" fontId="67" fillId="27" borderId="115" xfId="0" applyFont="1" applyFill="1" applyBorder="1" applyAlignment="1" applyProtection="1">
      <alignment horizontal="center" vertical="center" wrapText="1"/>
    </xf>
    <xf numFmtId="0" fontId="2" fillId="22" borderId="115" xfId="0" applyNumberFormat="1" applyFont="1" applyFill="1" applyBorder="1" applyAlignment="1" applyProtection="1">
      <alignment horizontal="center" vertical="center" wrapText="1"/>
      <protection locked="0"/>
    </xf>
    <xf numFmtId="0" fontId="67" fillId="22" borderId="115" xfId="0" applyNumberFormat="1" applyFont="1" applyFill="1" applyBorder="1" applyAlignment="1" applyProtection="1">
      <alignment horizontal="center" vertical="center" wrapText="1"/>
      <protection locked="0"/>
    </xf>
    <xf numFmtId="49" fontId="2" fillId="34" borderId="128" xfId="0" applyNumberFormat="1" applyFont="1" applyFill="1" applyBorder="1" applyAlignment="1" applyProtection="1">
      <alignment horizontal="left" vertical="center" wrapText="1"/>
      <protection locked="0"/>
    </xf>
    <xf numFmtId="49" fontId="67" fillId="34" borderId="111" xfId="0" applyNumberFormat="1" applyFont="1" applyFill="1" applyBorder="1" applyAlignment="1" applyProtection="1">
      <alignment horizontal="left" vertical="center" wrapText="1"/>
      <protection locked="0"/>
    </xf>
    <xf numFmtId="49" fontId="67" fillId="34" borderId="129" xfId="0" applyNumberFormat="1" applyFont="1" applyFill="1" applyBorder="1" applyAlignment="1" applyProtection="1">
      <alignment horizontal="left" vertical="center" wrapText="1"/>
      <protection locked="0"/>
    </xf>
    <xf numFmtId="49" fontId="67" fillId="34" borderId="105" xfId="0" applyNumberFormat="1" applyFont="1" applyFill="1" applyBorder="1" applyAlignment="1" applyProtection="1">
      <alignment horizontal="left" vertical="center" wrapText="1"/>
      <protection locked="0"/>
    </xf>
    <xf numFmtId="49" fontId="67" fillId="34" borderId="106" xfId="0" applyNumberFormat="1" applyFont="1" applyFill="1" applyBorder="1" applyAlignment="1" applyProtection="1">
      <alignment horizontal="left" vertical="center" wrapText="1"/>
      <protection locked="0"/>
    </xf>
    <xf numFmtId="49" fontId="67" fillId="34" borderId="110" xfId="0" applyNumberFormat="1" applyFont="1" applyFill="1" applyBorder="1" applyAlignment="1" applyProtection="1">
      <alignment horizontal="left" vertical="center" wrapText="1"/>
      <protection locked="0"/>
    </xf>
    <xf numFmtId="9" fontId="33" fillId="0" borderId="117" xfId="56" applyFont="1" applyFill="1" applyBorder="1" applyAlignment="1" applyProtection="1">
      <alignment horizontal="center" vertical="center"/>
    </xf>
    <xf numFmtId="9" fontId="33" fillId="0" borderId="118" xfId="56" applyFont="1" applyFill="1" applyBorder="1" applyAlignment="1" applyProtection="1">
      <alignment horizontal="center" vertical="center"/>
    </xf>
    <xf numFmtId="9" fontId="33" fillId="0" borderId="119" xfId="56" applyFont="1" applyFill="1" applyBorder="1" applyAlignment="1" applyProtection="1">
      <alignment horizontal="center" vertical="center"/>
    </xf>
    <xf numFmtId="49" fontId="67" fillId="22" borderId="45" xfId="0" applyNumberFormat="1" applyFont="1" applyFill="1" applyBorder="1" applyAlignment="1" applyProtection="1">
      <alignment horizontal="center" vertical="center" wrapText="1"/>
      <protection locked="0"/>
    </xf>
    <xf numFmtId="49" fontId="2" fillId="23" borderId="120" xfId="0" applyNumberFormat="1" applyFont="1" applyFill="1" applyBorder="1" applyAlignment="1" applyProtection="1">
      <alignment horizontal="center" vertical="center" wrapText="1"/>
      <protection locked="0"/>
    </xf>
    <xf numFmtId="49" fontId="67" fillId="23" borderId="121" xfId="0" applyNumberFormat="1" applyFont="1" applyFill="1" applyBorder="1" applyAlignment="1" applyProtection="1">
      <alignment horizontal="center" vertical="center" wrapText="1"/>
      <protection locked="0"/>
    </xf>
    <xf numFmtId="0" fontId="0" fillId="33" borderId="122" xfId="0" applyFill="1" applyBorder="1" applyAlignment="1" applyProtection="1">
      <alignment horizontal="center"/>
    </xf>
    <xf numFmtId="0" fontId="0" fillId="33" borderId="123" xfId="0" applyFill="1" applyBorder="1" applyAlignment="1" applyProtection="1">
      <alignment horizontal="center"/>
    </xf>
    <xf numFmtId="0" fontId="0" fillId="33" borderId="124" xfId="0" applyFill="1" applyBorder="1" applyAlignment="1" applyProtection="1">
      <alignment horizontal="center"/>
    </xf>
    <xf numFmtId="0" fontId="0" fillId="22" borderId="27" xfId="0" applyFill="1" applyBorder="1" applyAlignment="1" applyProtection="1">
      <alignment horizontal="center"/>
    </xf>
    <xf numFmtId="0" fontId="0" fillId="22" borderId="45" xfId="0" applyFill="1" applyBorder="1" applyAlignment="1" applyProtection="1">
      <alignment horizontal="center"/>
    </xf>
    <xf numFmtId="43" fontId="61" fillId="32" borderId="0" xfId="39" applyFont="1" applyFill="1" applyAlignment="1" applyProtection="1">
      <alignment horizontal="center" vertical="center"/>
    </xf>
    <xf numFmtId="49" fontId="14" fillId="0" borderId="104" xfId="0" applyNumberFormat="1" applyFont="1" applyBorder="1" applyAlignment="1" applyProtection="1">
      <alignment horizontal="center"/>
    </xf>
    <xf numFmtId="49" fontId="14" fillId="0" borderId="47" xfId="0" applyNumberFormat="1" applyFont="1" applyBorder="1" applyAlignment="1" applyProtection="1">
      <alignment horizontal="center"/>
    </xf>
    <xf numFmtId="0" fontId="77" fillId="0" borderId="137" xfId="0" applyFont="1" applyFill="1" applyBorder="1" applyAlignment="1" applyProtection="1">
      <alignment horizontal="center" vertical="center"/>
    </xf>
    <xf numFmtId="0" fontId="77" fillId="0" borderId="138" xfId="0" applyFont="1" applyFill="1" applyBorder="1" applyAlignment="1" applyProtection="1">
      <alignment horizontal="center" vertical="center"/>
    </xf>
    <xf numFmtId="0" fontId="77" fillId="0" borderId="139" xfId="0" applyFont="1" applyFill="1" applyBorder="1" applyAlignment="1" applyProtection="1">
      <alignment horizontal="center" vertical="center"/>
    </xf>
    <xf numFmtId="0" fontId="114" fillId="0" borderId="0" xfId="0" applyFont="1" applyAlignment="1" applyProtection="1">
      <alignment horizontal="right"/>
    </xf>
    <xf numFmtId="49" fontId="67" fillId="22" borderId="120" xfId="0" applyNumberFormat="1" applyFont="1" applyFill="1" applyBorder="1" applyAlignment="1" applyProtection="1">
      <alignment horizontal="center" vertical="center" wrapText="1"/>
      <protection locked="0"/>
    </xf>
    <xf numFmtId="49" fontId="67" fillId="22" borderId="121" xfId="0" applyNumberFormat="1" applyFont="1" applyFill="1" applyBorder="1" applyAlignment="1" applyProtection="1">
      <alignment horizontal="center" vertical="center" wrapText="1"/>
      <protection locked="0"/>
    </xf>
    <xf numFmtId="0" fontId="0" fillId="0" borderId="132" xfId="0" applyBorder="1" applyAlignment="1" applyProtection="1">
      <alignment horizontal="center"/>
    </xf>
    <xf numFmtId="0" fontId="0" fillId="0" borderId="21" xfId="0" applyBorder="1" applyAlignment="1" applyProtection="1">
      <alignment horizontal="center"/>
    </xf>
    <xf numFmtId="0" fontId="84" fillId="0" borderId="133" xfId="0" applyFont="1" applyBorder="1" applyAlignment="1" applyProtection="1">
      <alignment horizontal="right"/>
    </xf>
    <xf numFmtId="0" fontId="123" fillId="0" borderId="133" xfId="0" applyFont="1" applyBorder="1" applyAlignment="1"/>
    <xf numFmtId="0" fontId="0" fillId="0" borderId="134" xfId="0" applyFill="1" applyBorder="1" applyAlignment="1" applyProtection="1">
      <alignment horizontal="center" vertical="center"/>
      <protection locked="0"/>
    </xf>
    <xf numFmtId="0" fontId="0" fillId="0" borderId="135" xfId="0" applyFill="1" applyBorder="1" applyAlignment="1" applyProtection="1">
      <alignment horizontal="center" vertical="center"/>
      <protection locked="0"/>
    </xf>
    <xf numFmtId="0" fontId="0" fillId="0" borderId="136" xfId="0" applyFill="1" applyBorder="1" applyAlignment="1" applyProtection="1">
      <alignment horizontal="center" vertical="center"/>
      <protection locked="0"/>
    </xf>
    <xf numFmtId="49" fontId="67" fillId="23" borderId="120" xfId="0" applyNumberFormat="1" applyFont="1" applyFill="1" applyBorder="1" applyAlignment="1" applyProtection="1">
      <alignment horizontal="center" vertical="center" wrapText="1"/>
      <protection locked="0"/>
    </xf>
    <xf numFmtId="0" fontId="67" fillId="0" borderId="137" xfId="0" applyFont="1" applyFill="1" applyBorder="1" applyAlignment="1" applyProtection="1">
      <alignment horizontal="left" vertical="center" wrapText="1"/>
    </xf>
    <xf numFmtId="0" fontId="67" fillId="0" borderId="138" xfId="0" applyFont="1" applyFill="1" applyBorder="1" applyAlignment="1" applyProtection="1">
      <alignment horizontal="left" vertical="center" wrapText="1"/>
    </xf>
    <xf numFmtId="0" fontId="67" fillId="0" borderId="139" xfId="0" applyFont="1" applyFill="1" applyBorder="1" applyAlignment="1" applyProtection="1">
      <alignment horizontal="left" vertical="center" wrapText="1"/>
    </xf>
    <xf numFmtId="0" fontId="67" fillId="0" borderId="140" xfId="0" applyFont="1" applyFill="1" applyBorder="1" applyAlignment="1" applyProtection="1">
      <alignment horizontal="left" vertical="center" wrapText="1"/>
    </xf>
    <xf numFmtId="0" fontId="67" fillId="0" borderId="44" xfId="0" applyFont="1" applyFill="1" applyBorder="1" applyAlignment="1" applyProtection="1">
      <alignment horizontal="left" vertical="center" wrapText="1"/>
    </xf>
    <xf numFmtId="0" fontId="67" fillId="0" borderId="141" xfId="0" applyFont="1" applyFill="1" applyBorder="1" applyAlignment="1" applyProtection="1">
      <alignment horizontal="left" vertical="center" wrapText="1"/>
    </xf>
    <xf numFmtId="0" fontId="67" fillId="27" borderId="140" xfId="0" applyFont="1" applyFill="1" applyBorder="1" applyAlignment="1" applyProtection="1">
      <alignment horizontal="left" vertical="center" wrapText="1"/>
    </xf>
    <xf numFmtId="0" fontId="67" fillId="27" borderId="44" xfId="0" applyFont="1" applyFill="1" applyBorder="1" applyAlignment="1" applyProtection="1">
      <alignment horizontal="left" vertical="center" wrapText="1"/>
    </xf>
    <xf numFmtId="0" fontId="67" fillId="27" borderId="141" xfId="0" applyFont="1" applyFill="1" applyBorder="1" applyAlignment="1" applyProtection="1">
      <alignment horizontal="left" vertical="center" wrapText="1"/>
    </xf>
    <xf numFmtId="49" fontId="134" fillId="34" borderId="128" xfId="0" applyNumberFormat="1" applyFont="1" applyFill="1" applyBorder="1" applyAlignment="1" applyProtection="1">
      <alignment horizontal="left" vertical="center" wrapText="1"/>
      <protection locked="0"/>
    </xf>
    <xf numFmtId="49" fontId="134" fillId="34" borderId="111" xfId="0" applyNumberFormat="1" applyFont="1" applyFill="1" applyBorder="1" applyAlignment="1" applyProtection="1">
      <alignment horizontal="left" vertical="center" wrapText="1"/>
      <protection locked="0"/>
    </xf>
    <xf numFmtId="49" fontId="134" fillId="34" borderId="129" xfId="0" applyNumberFormat="1" applyFont="1" applyFill="1" applyBorder="1" applyAlignment="1" applyProtection="1">
      <alignment horizontal="left" vertical="center" wrapText="1"/>
      <protection locked="0"/>
    </xf>
    <xf numFmtId="49" fontId="134" fillId="34" borderId="105" xfId="0" applyNumberFormat="1" applyFont="1" applyFill="1" applyBorder="1" applyAlignment="1" applyProtection="1">
      <alignment horizontal="left" vertical="center" wrapText="1"/>
      <protection locked="0"/>
    </xf>
    <xf numFmtId="49" fontId="134" fillId="34" borderId="106" xfId="0" applyNumberFormat="1" applyFont="1" applyFill="1" applyBorder="1" applyAlignment="1" applyProtection="1">
      <alignment horizontal="left" vertical="center" wrapText="1"/>
      <protection locked="0"/>
    </xf>
    <xf numFmtId="49" fontId="134" fillId="34" borderId="110" xfId="0" applyNumberFormat="1" applyFont="1" applyFill="1" applyBorder="1" applyAlignment="1" applyProtection="1">
      <alignment horizontal="left" vertical="center" wrapText="1"/>
      <protection locked="0"/>
    </xf>
    <xf numFmtId="0" fontId="67" fillId="27" borderId="45" xfId="0" applyFont="1" applyFill="1" applyBorder="1" applyAlignment="1" applyProtection="1">
      <alignment horizontal="center" vertical="center" wrapText="1"/>
    </xf>
    <xf numFmtId="49" fontId="0" fillId="0" borderId="27" xfId="0" applyNumberFormat="1" applyBorder="1" applyAlignment="1" applyProtection="1">
      <alignment horizontal="center"/>
      <protection locked="0"/>
    </xf>
    <xf numFmtId="49" fontId="0" fillId="0" borderId="45" xfId="0" applyNumberFormat="1" applyBorder="1" applyAlignment="1" applyProtection="1">
      <alignment horizontal="center"/>
      <protection locked="0"/>
    </xf>
    <xf numFmtId="49" fontId="0" fillId="38" borderId="27" xfId="0" applyNumberFormat="1" applyFill="1" applyBorder="1" applyAlignment="1" applyProtection="1">
      <alignment horizontal="center"/>
      <protection locked="0"/>
    </xf>
    <xf numFmtId="49" fontId="0" fillId="38" borderId="44" xfId="0" applyNumberFormat="1" applyFill="1" applyBorder="1" applyAlignment="1" applyProtection="1">
      <alignment horizontal="center"/>
      <protection locked="0"/>
    </xf>
    <xf numFmtId="49" fontId="0" fillId="38" borderId="45" xfId="0" applyNumberFormat="1" applyFill="1" applyBorder="1" applyAlignment="1" applyProtection="1">
      <alignment horizontal="center"/>
      <protection locked="0"/>
    </xf>
    <xf numFmtId="0" fontId="114" fillId="0" borderId="50" xfId="0" applyFont="1" applyBorder="1" applyAlignment="1" applyProtection="1">
      <alignment horizontal="right"/>
    </xf>
    <xf numFmtId="0" fontId="114" fillId="0" borderId="142" xfId="0" applyFont="1" applyBorder="1" applyAlignment="1" applyProtection="1">
      <alignment horizontal="right"/>
    </xf>
    <xf numFmtId="3" fontId="0" fillId="0" borderId="27" xfId="0" applyNumberFormat="1" applyFill="1" applyBorder="1" applyAlignment="1" applyProtection="1">
      <alignment horizontal="center"/>
      <protection locked="0"/>
    </xf>
    <xf numFmtId="3" fontId="0" fillId="0" borderId="45" xfId="0" applyNumberFormat="1" applyFill="1" applyBorder="1" applyAlignment="1" applyProtection="1">
      <alignment horizontal="center"/>
      <protection locked="0"/>
    </xf>
    <xf numFmtId="49" fontId="1" fillId="40" borderId="10" xfId="0" applyNumberFormat="1" applyFont="1" applyFill="1" applyBorder="1" applyAlignment="1" applyProtection="1">
      <alignment horizontal="center"/>
      <protection locked="0"/>
    </xf>
    <xf numFmtId="49" fontId="0" fillId="0" borderId="44" xfId="0" applyNumberFormat="1" applyBorder="1" applyAlignment="1" applyProtection="1">
      <alignment horizontal="center"/>
      <protection locked="0"/>
    </xf>
    <xf numFmtId="15" fontId="127" fillId="0" borderId="10" xfId="58" applyNumberFormat="1" applyFont="1" applyFill="1" applyBorder="1" applyAlignment="1" applyProtection="1">
      <alignment horizontal="center"/>
      <protection locked="0"/>
    </xf>
    <xf numFmtId="15" fontId="131" fillId="0" borderId="10" xfId="58" applyNumberFormat="1" applyFill="1" applyBorder="1" applyAlignment="1" applyProtection="1">
      <alignment horizontal="center"/>
      <protection locked="0"/>
    </xf>
    <xf numFmtId="43" fontId="15" fillId="39" borderId="10" xfId="58" applyFont="1" applyFill="1" applyBorder="1" applyAlignment="1" applyProtection="1">
      <alignment horizontal="center"/>
      <protection locked="0"/>
    </xf>
    <xf numFmtId="49" fontId="14" fillId="0" borderId="143" xfId="0" applyNumberFormat="1" applyFont="1" applyBorder="1" applyAlignment="1" applyProtection="1">
      <alignment horizontal="center"/>
    </xf>
    <xf numFmtId="49" fontId="14" fillId="0" borderId="10" xfId="0" applyNumberFormat="1" applyFont="1" applyBorder="1" applyAlignment="1" applyProtection="1">
      <alignment horizontal="center"/>
    </xf>
    <xf numFmtId="0" fontId="114" fillId="0" borderId="0" xfId="0" applyFont="1" applyBorder="1" applyAlignment="1" applyProtection="1">
      <alignment horizontal="right"/>
    </xf>
    <xf numFmtId="49" fontId="0" fillId="0" borderId="10" xfId="0" applyNumberFormat="1" applyBorder="1" applyAlignment="1" applyProtection="1">
      <alignment horizontal="center"/>
      <protection locked="0"/>
    </xf>
    <xf numFmtId="0" fontId="0" fillId="19" borderId="144" xfId="0" applyFill="1" applyBorder="1" applyAlignment="1" applyProtection="1">
      <alignment horizontal="center" vertical="center" textRotation="90"/>
    </xf>
    <xf numFmtId="43" fontId="14" fillId="0" borderId="145" xfId="0" applyNumberFormat="1" applyFont="1" applyBorder="1" applyAlignment="1" applyProtection="1">
      <alignment horizontal="center"/>
    </xf>
    <xf numFmtId="0" fontId="14" fillId="0" borderId="146" xfId="0" applyFont="1" applyBorder="1" applyAlignment="1" applyProtection="1">
      <alignment horizontal="center"/>
    </xf>
    <xf numFmtId="0" fontId="14" fillId="0" borderId="147" xfId="0" applyFont="1" applyBorder="1" applyAlignment="1" applyProtection="1">
      <alignment horizontal="center"/>
    </xf>
    <xf numFmtId="49" fontId="2" fillId="22" borderId="121" xfId="0" applyNumberFormat="1" applyFont="1" applyFill="1" applyBorder="1" applyAlignment="1" applyProtection="1">
      <alignment horizontal="left" vertical="center" wrapText="1"/>
      <protection locked="0"/>
    </xf>
    <xf numFmtId="49" fontId="67" fillId="22" borderId="109" xfId="0" applyNumberFormat="1" applyFont="1" applyFill="1" applyBorder="1" applyAlignment="1" applyProtection="1">
      <alignment horizontal="left" vertical="center" wrapText="1"/>
      <protection locked="0"/>
    </xf>
    <xf numFmtId="49" fontId="67" fillId="22" borderId="66" xfId="0" applyNumberFormat="1" applyFont="1" applyFill="1" applyBorder="1" applyAlignment="1" applyProtection="1">
      <alignment horizontal="left" vertical="center" wrapText="1"/>
      <protection locked="0"/>
    </xf>
    <xf numFmtId="49" fontId="67" fillId="22" borderId="148" xfId="0" applyNumberFormat="1" applyFont="1" applyFill="1" applyBorder="1" applyAlignment="1" applyProtection="1">
      <alignment horizontal="left" vertical="center" wrapText="1"/>
      <protection locked="0"/>
    </xf>
    <xf numFmtId="49" fontId="67" fillId="22" borderId="10" xfId="0" applyNumberFormat="1" applyFont="1" applyFill="1" applyBorder="1" applyAlignment="1" applyProtection="1">
      <alignment horizontal="left" vertical="center" wrapText="1"/>
      <protection locked="0"/>
    </xf>
    <xf numFmtId="49" fontId="67" fillId="22" borderId="27" xfId="0" applyNumberFormat="1" applyFont="1" applyFill="1" applyBorder="1" applyAlignment="1" applyProtection="1">
      <alignment horizontal="left" vertical="center" wrapText="1"/>
      <protection locked="0"/>
    </xf>
    <xf numFmtId="0" fontId="26" fillId="0" borderId="149" xfId="0" applyFont="1" applyBorder="1" applyAlignment="1" applyProtection="1">
      <alignment horizontal="center" wrapText="1"/>
    </xf>
    <xf numFmtId="0" fontId="26" fillId="0" borderId="150" xfId="0" applyFont="1" applyBorder="1" applyAlignment="1" applyProtection="1">
      <alignment horizontal="center" wrapText="1"/>
    </xf>
    <xf numFmtId="0" fontId="26" fillId="0" borderId="151" xfId="0" applyFont="1" applyBorder="1" applyAlignment="1" applyProtection="1">
      <alignment horizontal="center" wrapText="1"/>
    </xf>
    <xf numFmtId="49" fontId="2" fillId="23" borderId="148" xfId="0" applyNumberFormat="1" applyFont="1" applyFill="1" applyBorder="1" applyAlignment="1" applyProtection="1">
      <alignment horizontal="left" vertical="center" wrapText="1"/>
      <protection locked="0"/>
    </xf>
    <xf numFmtId="49" fontId="67" fillId="23" borderId="10" xfId="0" applyNumberFormat="1" applyFont="1" applyFill="1" applyBorder="1" applyAlignment="1" applyProtection="1">
      <alignment horizontal="left" vertical="center" wrapText="1"/>
      <protection locked="0"/>
    </xf>
    <xf numFmtId="49" fontId="67" fillId="23" borderId="27" xfId="0" applyNumberFormat="1" applyFont="1" applyFill="1" applyBorder="1" applyAlignment="1" applyProtection="1">
      <alignment horizontal="left" vertical="center" wrapText="1"/>
      <protection locked="0"/>
    </xf>
    <xf numFmtId="49" fontId="67" fillId="23" borderId="148" xfId="0" applyNumberFormat="1" applyFont="1" applyFill="1" applyBorder="1" applyAlignment="1" applyProtection="1">
      <alignment horizontal="left" vertical="center" wrapText="1"/>
      <protection locked="0"/>
    </xf>
    <xf numFmtId="49" fontId="2" fillId="22" borderId="148" xfId="0" applyNumberFormat="1" applyFont="1" applyFill="1" applyBorder="1" applyAlignment="1" applyProtection="1">
      <alignment horizontal="left" vertical="center" wrapText="1"/>
      <protection locked="0"/>
    </xf>
    <xf numFmtId="43" fontId="24" fillId="24" borderId="41" xfId="58" applyFont="1" applyFill="1" applyBorder="1" applyAlignment="1" applyProtection="1">
      <alignment horizontal="center"/>
    </xf>
    <xf numFmtId="43" fontId="1" fillId="0" borderId="41" xfId="58" applyFont="1" applyFill="1" applyBorder="1" applyAlignment="1" applyProtection="1">
      <alignment horizontal="right"/>
    </xf>
    <xf numFmtId="43" fontId="117" fillId="31" borderId="41" xfId="58" applyFont="1" applyFill="1" applyBorder="1" applyAlignment="1" applyProtection="1">
      <alignment horizontal="center"/>
    </xf>
    <xf numFmtId="15" fontId="24" fillId="24" borderId="41" xfId="58" applyNumberFormat="1" applyFont="1" applyFill="1" applyBorder="1" applyAlignment="1" applyProtection="1">
      <alignment horizontal="center"/>
    </xf>
    <xf numFmtId="0" fontId="0" fillId="0" borderId="41" xfId="0" applyBorder="1" applyAlignment="1"/>
    <xf numFmtId="43" fontId="106" fillId="32" borderId="0" xfId="39" applyFont="1" applyFill="1" applyAlignment="1" applyProtection="1">
      <alignment horizontal="center" vertical="center"/>
    </xf>
    <xf numFmtId="43" fontId="33" fillId="24" borderId="0" xfId="50" applyFont="1" applyFill="1" applyAlignment="1" applyProtection="1">
      <alignment horizontal="center" vertical="center" wrapText="1"/>
    </xf>
    <xf numFmtId="173" fontId="24" fillId="24" borderId="41" xfId="58" applyNumberFormat="1" applyFont="1" applyFill="1" applyBorder="1" applyAlignment="1" applyProtection="1">
      <alignment horizontal="center" vertical="center"/>
    </xf>
    <xf numFmtId="43" fontId="1" fillId="0" borderId="41" xfId="58" applyFont="1" applyBorder="1" applyAlignment="1" applyProtection="1">
      <alignment horizontal="right"/>
    </xf>
    <xf numFmtId="43" fontId="20" fillId="0" borderId="0" xfId="50" applyFont="1" applyFill="1" applyAlignment="1" applyProtection="1">
      <alignment horizontal="right" vertical="center"/>
    </xf>
    <xf numFmtId="43" fontId="24" fillId="24" borderId="0" xfId="50" applyFont="1" applyFill="1" applyAlignment="1" applyProtection="1">
      <alignment horizontal="center" vertical="center" wrapText="1"/>
    </xf>
    <xf numFmtId="0" fontId="111" fillId="0" borderId="0" xfId="0" applyFont="1" applyAlignment="1" applyProtection="1">
      <alignment horizontal="center"/>
    </xf>
    <xf numFmtId="43" fontId="110" fillId="0" borderId="122" xfId="0" applyNumberFormat="1" applyFont="1" applyBorder="1" applyAlignment="1" applyProtection="1">
      <alignment horizontal="center" vertical="center" wrapText="1"/>
    </xf>
    <xf numFmtId="43" fontId="110" fillId="0" borderId="123" xfId="0" applyNumberFormat="1" applyFont="1" applyBorder="1" applyAlignment="1" applyProtection="1">
      <alignment horizontal="center" vertical="center" wrapText="1"/>
    </xf>
    <xf numFmtId="43" fontId="110" fillId="0" borderId="124" xfId="0" applyNumberFormat="1" applyFont="1" applyBorder="1" applyAlignment="1" applyProtection="1">
      <alignment horizontal="center" vertical="center" wrapText="1"/>
    </xf>
    <xf numFmtId="0" fontId="0" fillId="0" borderId="156" xfId="0" applyBorder="1" applyAlignment="1" applyProtection="1">
      <alignment horizontal="center"/>
    </xf>
    <xf numFmtId="0" fontId="0" fillId="0" borderId="64" xfId="0" applyBorder="1" applyAlignment="1" applyProtection="1">
      <alignment horizontal="center"/>
    </xf>
    <xf numFmtId="0" fontId="118" fillId="0" borderId="152" xfId="0" applyFont="1" applyFill="1" applyBorder="1" applyAlignment="1" applyProtection="1">
      <alignment horizontal="left" wrapText="1"/>
    </xf>
    <xf numFmtId="0" fontId="118" fillId="0" borderId="153" xfId="0" applyFont="1" applyFill="1" applyBorder="1" applyAlignment="1" applyProtection="1">
      <alignment horizontal="left" wrapText="1"/>
    </xf>
    <xf numFmtId="0" fontId="30" fillId="22" borderId="27" xfId="0" applyFont="1" applyFill="1" applyBorder="1" applyAlignment="1" applyProtection="1">
      <alignment horizontal="left" wrapText="1"/>
      <protection locked="0"/>
    </xf>
    <xf numFmtId="0" fontId="0" fillId="0" borderId="44" xfId="0" applyBorder="1" applyAlignment="1" applyProtection="1">
      <alignment horizontal="left" wrapText="1"/>
      <protection locked="0"/>
    </xf>
    <xf numFmtId="0" fontId="0" fillId="0" borderId="45" xfId="0" applyBorder="1" applyAlignment="1" applyProtection="1">
      <alignment horizontal="left" wrapText="1"/>
      <protection locked="0"/>
    </xf>
    <xf numFmtId="43" fontId="14" fillId="0" borderId="0" xfId="0" applyNumberFormat="1" applyFont="1" applyAlignment="1" applyProtection="1">
      <alignment horizontal="center" wrapText="1"/>
    </xf>
    <xf numFmtId="43" fontId="28" fillId="0" borderId="0" xfId="0" applyNumberFormat="1" applyFont="1" applyAlignment="1" applyProtection="1">
      <alignment horizontal="right"/>
    </xf>
    <xf numFmtId="15" fontId="28" fillId="0" borderId="0" xfId="0" applyNumberFormat="1" applyFont="1" applyAlignment="1" applyProtection="1">
      <alignment horizontal="right"/>
    </xf>
    <xf numFmtId="43" fontId="14" fillId="0" borderId="0" xfId="0" applyNumberFormat="1" applyFont="1" applyAlignment="1" applyProtection="1">
      <alignment horizontal="center"/>
    </xf>
    <xf numFmtId="43" fontId="28" fillId="0" borderId="0" xfId="0" applyNumberFormat="1" applyFont="1" applyAlignment="1" applyProtection="1">
      <alignment horizontal="left"/>
    </xf>
    <xf numFmtId="43" fontId="15" fillId="31" borderId="0" xfId="58" applyFont="1" applyFill="1" applyBorder="1" applyAlignment="1" applyProtection="1">
      <alignment horizontal="center"/>
    </xf>
    <xf numFmtId="0" fontId="34" fillId="22" borderId="27" xfId="0" applyFont="1" applyFill="1" applyBorder="1" applyAlignment="1" applyProtection="1">
      <alignment horizontal="left" wrapText="1"/>
      <protection locked="0"/>
    </xf>
    <xf numFmtId="0" fontId="34" fillId="22" borderId="44" xfId="0" applyFont="1" applyFill="1" applyBorder="1" applyAlignment="1" applyProtection="1">
      <alignment horizontal="left" wrapText="1"/>
      <protection locked="0"/>
    </xf>
    <xf numFmtId="0" fontId="34" fillId="22" borderId="45" xfId="0" applyFont="1" applyFill="1" applyBorder="1" applyAlignment="1" applyProtection="1">
      <alignment horizontal="left" wrapText="1"/>
      <protection locked="0"/>
    </xf>
    <xf numFmtId="0" fontId="118" fillId="0" borderId="154" xfId="0" applyFont="1" applyFill="1" applyBorder="1" applyAlignment="1" applyProtection="1">
      <alignment horizontal="left" wrapText="1"/>
    </xf>
    <xf numFmtId="0" fontId="118" fillId="0" borderId="155" xfId="0" applyFont="1" applyFill="1" applyBorder="1" applyAlignment="1" applyProtection="1">
      <alignment horizontal="left" wrapText="1"/>
    </xf>
    <xf numFmtId="0" fontId="0" fillId="0" borderId="44" xfId="0" applyBorder="1" applyAlignment="1">
      <alignment horizontal="left" wrapText="1"/>
    </xf>
    <xf numFmtId="0" fontId="0" fillId="0" borderId="45" xfId="0" applyBorder="1" applyAlignment="1">
      <alignment horizontal="left" wrapText="1"/>
    </xf>
    <xf numFmtId="0" fontId="85" fillId="0" borderId="0" xfId="0" applyFont="1" applyAlignment="1">
      <alignment horizontal="left" wrapText="1"/>
    </xf>
    <xf numFmtId="43" fontId="28" fillId="0" borderId="0" xfId="0" applyNumberFormat="1" applyFont="1" applyAlignment="1">
      <alignment horizontal="left"/>
    </xf>
    <xf numFmtId="43" fontId="14" fillId="0" borderId="0" xfId="0" applyNumberFormat="1" applyFont="1" applyAlignment="1">
      <alignment horizontal="center"/>
    </xf>
    <xf numFmtId="43" fontId="61" fillId="32" borderId="0" xfId="48" applyFont="1" applyFill="1" applyAlignment="1">
      <alignment horizontal="center" vertical="center"/>
    </xf>
    <xf numFmtId="0" fontId="111" fillId="0" borderId="0" xfId="0" applyFont="1" applyAlignment="1">
      <alignment horizontal="center"/>
    </xf>
    <xf numFmtId="43" fontId="28" fillId="0" borderId="0" xfId="0" applyNumberFormat="1" applyFont="1" applyAlignment="1">
      <alignment horizontal="right"/>
    </xf>
    <xf numFmtId="0" fontId="0" fillId="0" borderId="134" xfId="0" applyFill="1" applyBorder="1" applyAlignment="1" applyProtection="1">
      <alignment horizontal="center" vertical="center"/>
    </xf>
    <xf numFmtId="0" fontId="0" fillId="0" borderId="135" xfId="0" applyFill="1" applyBorder="1" applyAlignment="1" applyProtection="1">
      <alignment horizontal="center" vertical="center"/>
    </xf>
    <xf numFmtId="0" fontId="0" fillId="0" borderId="136" xfId="0" applyFill="1" applyBorder="1" applyAlignment="1" applyProtection="1">
      <alignment horizontal="center" vertical="center"/>
    </xf>
    <xf numFmtId="15" fontId="28" fillId="0" borderId="0" xfId="0" applyNumberFormat="1" applyFont="1" applyAlignment="1">
      <alignment horizontal="right"/>
    </xf>
    <xf numFmtId="0" fontId="14" fillId="0" borderId="0" xfId="0" applyFont="1" applyBorder="1" applyAlignment="1">
      <alignment horizontal="center"/>
    </xf>
    <xf numFmtId="9" fontId="28" fillId="0" borderId="27" xfId="56" applyNumberFormat="1" applyFont="1" applyBorder="1" applyAlignment="1" applyProtection="1">
      <alignment horizontal="center" vertical="center" wrapText="1"/>
    </xf>
    <xf numFmtId="9" fontId="28" fillId="0" borderId="44" xfId="56" applyNumberFormat="1" applyFont="1" applyBorder="1" applyAlignment="1" applyProtection="1">
      <alignment horizontal="center" vertical="center" wrapText="1"/>
    </xf>
    <xf numFmtId="9" fontId="28" fillId="0" borderId="45" xfId="56" applyNumberFormat="1" applyFont="1" applyBorder="1" applyAlignment="1" applyProtection="1">
      <alignment horizontal="center" vertical="center" wrapText="1"/>
    </xf>
    <xf numFmtId="43" fontId="61" fillId="32" borderId="0" xfId="48" applyFont="1" applyFill="1" applyAlignment="1" applyProtection="1">
      <alignment horizontal="center" vertical="center"/>
    </xf>
    <xf numFmtId="0" fontId="34" fillId="0" borderId="111" xfId="0" applyFont="1" applyBorder="1" applyAlignment="1" applyProtection="1">
      <alignment horizontal="left" vertical="center"/>
    </xf>
    <xf numFmtId="43" fontId="111" fillId="0" borderId="0" xfId="0" applyNumberFormat="1" applyFont="1" applyAlignment="1" applyProtection="1">
      <alignment horizontal="center"/>
    </xf>
    <xf numFmtId="43" fontId="33" fillId="0" borderId="0" xfId="0" applyNumberFormat="1" applyFont="1" applyAlignment="1" applyProtection="1">
      <alignment horizontal="center"/>
    </xf>
    <xf numFmtId="43" fontId="15" fillId="31" borderId="0" xfId="59" applyFont="1" applyFill="1" applyBorder="1" applyAlignment="1" applyProtection="1">
      <alignment horizontal="center"/>
    </xf>
    <xf numFmtId="0" fontId="34" fillId="20" borderId="0" xfId="0" applyFont="1" applyFill="1" applyAlignment="1" applyProtection="1">
      <alignment horizontal="center" vertical="center" wrapText="1"/>
    </xf>
    <xf numFmtId="0" fontId="28" fillId="0" borderId="27" xfId="0" applyFont="1" applyBorder="1" applyAlignment="1" applyProtection="1">
      <alignment vertical="center" wrapText="1"/>
    </xf>
    <xf numFmtId="0" fontId="28" fillId="0" borderId="44" xfId="0" applyFont="1" applyBorder="1" applyAlignment="1" applyProtection="1">
      <alignment vertical="center" wrapText="1"/>
    </xf>
    <xf numFmtId="0" fontId="28" fillId="0" borderId="45" xfId="0" applyFont="1" applyBorder="1" applyAlignment="1" applyProtection="1">
      <alignment vertical="center" wrapText="1"/>
    </xf>
    <xf numFmtId="0" fontId="28" fillId="0" borderId="10" xfId="0" applyFont="1" applyBorder="1" applyAlignment="1" applyProtection="1">
      <alignment vertical="center" wrapText="1"/>
    </xf>
    <xf numFmtId="9" fontId="28" fillId="35" borderId="27" xfId="56" applyNumberFormat="1" applyFont="1" applyFill="1" applyBorder="1" applyAlignment="1" applyProtection="1">
      <alignment horizontal="center" vertical="center" wrapText="1"/>
    </xf>
    <xf numFmtId="9" fontId="28" fillId="35" borderId="44" xfId="56" applyNumberFormat="1" applyFont="1" applyFill="1" applyBorder="1" applyAlignment="1" applyProtection="1">
      <alignment horizontal="center" vertical="center" wrapText="1"/>
    </xf>
    <xf numFmtId="9" fontId="28" fillId="35" borderId="45" xfId="56" applyNumberFormat="1" applyFont="1" applyFill="1" applyBorder="1" applyAlignment="1" applyProtection="1">
      <alignment horizontal="center" vertical="center" wrapText="1"/>
    </xf>
    <xf numFmtId="0" fontId="34" fillId="20" borderId="0" xfId="0" applyFont="1" applyFill="1" applyAlignment="1" applyProtection="1">
      <alignment horizontal="left"/>
      <protection locked="0"/>
    </xf>
    <xf numFmtId="0" fontId="34" fillId="20" borderId="42" xfId="0" applyFont="1" applyFill="1" applyBorder="1" applyAlignment="1" applyProtection="1">
      <alignment horizontal="left"/>
      <protection locked="0"/>
    </xf>
    <xf numFmtId="0" fontId="34" fillId="20" borderId="157" xfId="0" applyFont="1" applyFill="1" applyBorder="1" applyAlignment="1" applyProtection="1">
      <alignment horizontal="left"/>
      <protection locked="0"/>
    </xf>
    <xf numFmtId="0" fontId="34" fillId="20" borderId="0" xfId="0" applyFont="1" applyFill="1" applyBorder="1" applyAlignment="1" applyProtection="1">
      <alignment horizontal="left"/>
      <protection locked="0"/>
    </xf>
    <xf numFmtId="0" fontId="28" fillId="0" borderId="10" xfId="0" applyFont="1" applyFill="1" applyBorder="1" applyAlignment="1" applyProtection="1">
      <alignment vertical="center" wrapText="1"/>
    </xf>
    <xf numFmtId="9" fontId="28" fillId="22" borderId="27" xfId="56" applyFont="1" applyFill="1" applyBorder="1" applyAlignment="1" applyProtection="1">
      <alignment horizontal="left" vertical="top" wrapText="1"/>
      <protection locked="0"/>
    </xf>
    <xf numFmtId="9" fontId="28" fillId="22" borderId="44" xfId="56" applyFont="1" applyFill="1" applyBorder="1" applyAlignment="1" applyProtection="1">
      <alignment horizontal="left" vertical="top" wrapText="1"/>
      <protection locked="0"/>
    </xf>
    <xf numFmtId="9" fontId="28" fillId="22" borderId="45" xfId="56" applyFont="1" applyFill="1" applyBorder="1" applyAlignment="1" applyProtection="1">
      <alignment horizontal="left" vertical="top" wrapText="1"/>
      <protection locked="0"/>
    </xf>
    <xf numFmtId="9" fontId="28" fillId="22" borderId="10" xfId="56" applyFont="1" applyFill="1" applyBorder="1" applyAlignment="1" applyProtection="1">
      <alignment horizontal="left" vertical="top" wrapText="1"/>
      <protection locked="0"/>
    </xf>
    <xf numFmtId="9" fontId="28" fillId="22" borderId="27" xfId="56" applyFont="1" applyFill="1" applyBorder="1" applyAlignment="1" applyProtection="1">
      <alignment horizontal="left" vertical="top" wrapText="1"/>
    </xf>
    <xf numFmtId="9" fontId="28" fillId="22" borderId="44" xfId="56" applyFont="1" applyFill="1" applyBorder="1" applyAlignment="1" applyProtection="1">
      <alignment horizontal="left" vertical="top" wrapText="1"/>
    </xf>
    <xf numFmtId="9" fontId="28" fillId="22" borderId="45" xfId="56" applyFont="1" applyFill="1" applyBorder="1" applyAlignment="1" applyProtection="1">
      <alignment horizontal="left" vertical="top" wrapText="1"/>
    </xf>
    <xf numFmtId="9" fontId="28" fillId="0" borderId="10" xfId="56" applyNumberFormat="1" applyFont="1" applyBorder="1" applyAlignment="1" applyProtection="1">
      <alignment horizontal="center" vertical="center" wrapText="1"/>
    </xf>
    <xf numFmtId="174" fontId="35" fillId="22" borderId="27" xfId="0" applyNumberFormat="1" applyFont="1" applyFill="1" applyBorder="1" applyAlignment="1" applyProtection="1">
      <alignment horizontal="center" vertical="center" wrapText="1"/>
      <protection locked="0"/>
    </xf>
    <xf numFmtId="0" fontId="35" fillId="22" borderId="44" xfId="0" applyFont="1" applyFill="1" applyBorder="1" applyAlignment="1" applyProtection="1">
      <alignment horizontal="center" vertical="center" wrapText="1"/>
      <protection locked="0"/>
    </xf>
    <xf numFmtId="0" fontId="35" fillId="22" borderId="45" xfId="0" applyFont="1" applyFill="1" applyBorder="1" applyAlignment="1" applyProtection="1">
      <alignment horizontal="center" vertical="center" wrapText="1"/>
      <protection locked="0"/>
    </xf>
    <xf numFmtId="174" fontId="132" fillId="0" borderId="44" xfId="0" applyNumberFormat="1" applyFont="1" applyBorder="1" applyAlignment="1">
      <alignment horizontal="center" vertical="center" wrapText="1"/>
    </xf>
    <xf numFmtId="174" fontId="132" fillId="0" borderId="45" xfId="0" applyNumberFormat="1" applyFont="1" applyBorder="1" applyAlignment="1">
      <alignment horizontal="center" vertical="center" wrapText="1"/>
    </xf>
    <xf numFmtId="0" fontId="132" fillId="0" borderId="44" xfId="0" applyFont="1" applyBorder="1" applyAlignment="1">
      <alignment horizontal="center" vertical="center" wrapText="1"/>
    </xf>
    <xf numFmtId="0" fontId="132" fillId="0" borderId="45" xfId="0" applyFont="1" applyBorder="1" applyAlignment="1">
      <alignment horizontal="center" vertical="center" wrapText="1"/>
    </xf>
    <xf numFmtId="9" fontId="37" fillId="33" borderId="27" xfId="56" applyFont="1" applyFill="1" applyBorder="1" applyAlignment="1" applyProtection="1">
      <alignment horizontal="center" vertical="center" wrapText="1"/>
    </xf>
    <xf numFmtId="9" fontId="37" fillId="33" borderId="45" xfId="56" applyFont="1" applyFill="1" applyBorder="1" applyAlignment="1" applyProtection="1">
      <alignment horizontal="center" vertical="center" wrapText="1"/>
    </xf>
    <xf numFmtId="9" fontId="37" fillId="30" borderId="27" xfId="56" applyFont="1" applyFill="1" applyBorder="1" applyAlignment="1" applyProtection="1">
      <alignment horizontal="center" vertical="center" wrapText="1"/>
    </xf>
    <xf numFmtId="9" fontId="37" fillId="30" borderId="45" xfId="56" applyFont="1" applyFill="1" applyBorder="1" applyAlignment="1" applyProtection="1">
      <alignment horizontal="center" vertical="center" wrapText="1"/>
    </xf>
    <xf numFmtId="0" fontId="33" fillId="0" borderId="106" xfId="0" applyFont="1" applyBorder="1" applyAlignment="1" applyProtection="1">
      <alignment horizontal="center"/>
    </xf>
    <xf numFmtId="0" fontId="34" fillId="0" borderId="10" xfId="0" applyFont="1" applyBorder="1" applyAlignment="1" applyProtection="1">
      <alignment horizontal="center" vertical="center" wrapText="1"/>
    </xf>
    <xf numFmtId="0" fontId="34" fillId="0" borderId="27" xfId="0" applyFont="1" applyBorder="1" applyAlignment="1" applyProtection="1">
      <alignment horizontal="center" vertical="center"/>
    </xf>
    <xf numFmtId="0" fontId="34" fillId="0" borderId="44" xfId="0" applyFont="1" applyBorder="1" applyAlignment="1" applyProtection="1">
      <alignment horizontal="center" vertical="center"/>
    </xf>
    <xf numFmtId="0" fontId="34" fillId="0" borderId="45" xfId="0" applyFont="1" applyBorder="1" applyAlignment="1" applyProtection="1">
      <alignment horizontal="center" vertical="center"/>
    </xf>
    <xf numFmtId="0" fontId="2" fillId="22" borderId="158" xfId="0" applyFont="1" applyFill="1" applyBorder="1" applyAlignment="1" applyProtection="1">
      <alignment horizontal="center" vertical="top" wrapText="1"/>
      <protection locked="0"/>
    </xf>
    <xf numFmtId="0" fontId="2" fillId="22" borderId="159" xfId="0" applyFont="1" applyFill="1" applyBorder="1" applyAlignment="1" applyProtection="1">
      <alignment horizontal="center" vertical="top" wrapText="1"/>
      <protection locked="0"/>
    </xf>
    <xf numFmtId="0" fontId="2" fillId="22" borderId="160" xfId="0" applyFont="1" applyFill="1" applyBorder="1" applyAlignment="1" applyProtection="1">
      <alignment horizontal="center" vertical="top" wrapText="1"/>
      <protection locked="0"/>
    </xf>
    <xf numFmtId="0" fontId="79" fillId="19" borderId="12" xfId="0" applyFont="1" applyFill="1" applyBorder="1" applyAlignment="1" applyProtection="1">
      <alignment horizontal="center" vertical="center"/>
    </xf>
    <xf numFmtId="0" fontId="60" fillId="25" borderId="164" xfId="0" applyFont="1" applyFill="1" applyBorder="1" applyAlignment="1" applyProtection="1">
      <alignment horizontal="center" vertical="center"/>
    </xf>
    <xf numFmtId="0" fontId="60" fillId="25" borderId="165" xfId="0" applyFont="1" applyFill="1" applyBorder="1" applyAlignment="1" applyProtection="1">
      <alignment horizontal="center" vertical="center"/>
    </xf>
    <xf numFmtId="0" fontId="60" fillId="25" borderId="166" xfId="0" applyFont="1" applyFill="1" applyBorder="1" applyAlignment="1" applyProtection="1">
      <alignment horizontal="center" vertical="center"/>
    </xf>
    <xf numFmtId="0" fontId="2" fillId="24" borderId="167" xfId="0" applyFont="1" applyFill="1" applyBorder="1" applyAlignment="1" applyProtection="1">
      <alignment horizontal="center" vertical="top" wrapText="1"/>
      <protection locked="0"/>
    </xf>
    <xf numFmtId="0" fontId="2" fillId="24" borderId="168" xfId="0" applyFont="1" applyFill="1" applyBorder="1" applyAlignment="1" applyProtection="1">
      <alignment horizontal="center" vertical="top" wrapText="1"/>
      <protection locked="0"/>
    </xf>
    <xf numFmtId="0" fontId="2" fillId="24" borderId="169" xfId="0" applyFont="1" applyFill="1" applyBorder="1" applyAlignment="1" applyProtection="1">
      <alignment horizontal="center" vertical="top" wrapText="1"/>
      <protection locked="0"/>
    </xf>
    <xf numFmtId="0" fontId="2" fillId="24" borderId="170" xfId="0" applyFont="1" applyFill="1" applyBorder="1" applyAlignment="1" applyProtection="1">
      <alignment horizontal="center" vertical="top" wrapText="1"/>
      <protection locked="0"/>
    </xf>
    <xf numFmtId="0" fontId="2" fillId="24" borderId="171" xfId="0" applyFont="1" applyFill="1" applyBorder="1" applyAlignment="1" applyProtection="1">
      <alignment horizontal="center" vertical="top" wrapText="1"/>
      <protection locked="0"/>
    </xf>
    <xf numFmtId="0" fontId="2" fillId="24" borderId="172" xfId="0" applyFont="1" applyFill="1" applyBorder="1" applyAlignment="1" applyProtection="1">
      <alignment horizontal="center" vertical="top" wrapText="1"/>
      <protection locked="0"/>
    </xf>
    <xf numFmtId="0" fontId="2" fillId="24" borderId="173" xfId="0" applyFont="1" applyFill="1" applyBorder="1" applyAlignment="1" applyProtection="1">
      <alignment horizontal="center" vertical="top" wrapText="1"/>
      <protection locked="0"/>
    </xf>
    <xf numFmtId="0" fontId="2" fillId="24" borderId="174" xfId="0" applyFont="1" applyFill="1" applyBorder="1" applyAlignment="1" applyProtection="1">
      <alignment horizontal="center" vertical="top" wrapText="1"/>
      <protection locked="0"/>
    </xf>
    <xf numFmtId="0" fontId="2" fillId="24" borderId="175" xfId="0" applyFont="1" applyFill="1" applyBorder="1" applyAlignment="1" applyProtection="1">
      <alignment horizontal="center" vertical="top" wrapText="1"/>
      <protection locked="0"/>
    </xf>
    <xf numFmtId="0" fontId="78" fillId="0" borderId="176" xfId="0" applyFont="1" applyFill="1" applyBorder="1" applyAlignment="1" applyProtection="1">
      <alignment horizontal="center"/>
    </xf>
    <xf numFmtId="0" fontId="78" fillId="0" borderId="177" xfId="0" applyFont="1" applyFill="1" applyBorder="1" applyAlignment="1" applyProtection="1">
      <alignment horizontal="center"/>
    </xf>
    <xf numFmtId="49" fontId="2" fillId="25" borderId="178" xfId="0" applyNumberFormat="1" applyFont="1" applyFill="1" applyBorder="1" applyAlignment="1" applyProtection="1">
      <alignment horizontal="center" vertical="center"/>
      <protection locked="0"/>
    </xf>
    <xf numFmtId="49" fontId="2" fillId="25" borderId="179" xfId="0" applyNumberFormat="1" applyFont="1" applyFill="1" applyBorder="1" applyAlignment="1" applyProtection="1">
      <alignment horizontal="center" vertical="center"/>
      <protection locked="0"/>
    </xf>
    <xf numFmtId="49" fontId="2" fillId="25" borderId="180" xfId="0" applyNumberFormat="1" applyFont="1" applyFill="1" applyBorder="1" applyAlignment="1" applyProtection="1">
      <alignment horizontal="center" vertical="center"/>
      <protection locked="0"/>
    </xf>
    <xf numFmtId="49" fontId="2" fillId="25" borderId="181" xfId="0" applyNumberFormat="1" applyFont="1" applyFill="1" applyBorder="1" applyAlignment="1" applyProtection="1">
      <alignment horizontal="center" vertical="center"/>
      <protection locked="0"/>
    </xf>
    <xf numFmtId="49" fontId="2" fillId="25" borderId="14" xfId="0" applyNumberFormat="1" applyFont="1" applyFill="1" applyBorder="1" applyAlignment="1" applyProtection="1">
      <alignment horizontal="center" vertical="center"/>
      <protection locked="0"/>
    </xf>
    <xf numFmtId="49" fontId="2" fillId="25" borderId="182" xfId="0" applyNumberFormat="1" applyFont="1" applyFill="1" applyBorder="1" applyAlignment="1" applyProtection="1">
      <alignment horizontal="center" vertical="center"/>
      <protection locked="0"/>
    </xf>
    <xf numFmtId="0" fontId="78" fillId="0" borderId="0" xfId="0" applyFont="1" applyFill="1" applyBorder="1" applyAlignment="1" applyProtection="1">
      <alignment horizontal="center"/>
    </xf>
    <xf numFmtId="0" fontId="80" fillId="0" borderId="183" xfId="0" applyNumberFormat="1" applyFont="1" applyFill="1" applyBorder="1" applyAlignment="1" applyProtection="1">
      <alignment horizontal="left" vertical="top" wrapText="1"/>
    </xf>
    <xf numFmtId="0" fontId="80" fillId="0" borderId="184" xfId="0" applyNumberFormat="1" applyFont="1" applyFill="1" applyBorder="1" applyAlignment="1" applyProtection="1">
      <alignment horizontal="left" vertical="top" wrapText="1"/>
    </xf>
    <xf numFmtId="0" fontId="80" fillId="0" borderId="185" xfId="0" applyNumberFormat="1" applyFont="1" applyFill="1" applyBorder="1" applyAlignment="1" applyProtection="1">
      <alignment horizontal="left" vertical="top" wrapText="1"/>
    </xf>
    <xf numFmtId="0" fontId="80" fillId="0" borderId="186" xfId="0" applyNumberFormat="1" applyFont="1" applyFill="1" applyBorder="1" applyAlignment="1" applyProtection="1">
      <alignment horizontal="left" vertical="top" wrapText="1"/>
    </xf>
    <xf numFmtId="0" fontId="80" fillId="0" borderId="195" xfId="0" applyNumberFormat="1" applyFont="1" applyFill="1" applyBorder="1" applyAlignment="1" applyProtection="1">
      <alignment horizontal="left" vertical="top" wrapText="1"/>
    </xf>
    <xf numFmtId="49" fontId="2" fillId="25" borderId="187" xfId="0" applyNumberFormat="1" applyFont="1" applyFill="1" applyBorder="1" applyAlignment="1" applyProtection="1">
      <alignment horizontal="center" vertical="center"/>
      <protection locked="0"/>
    </xf>
    <xf numFmtId="49" fontId="2" fillId="25" borderId="188" xfId="0" applyNumberFormat="1" applyFont="1" applyFill="1" applyBorder="1" applyAlignment="1" applyProtection="1">
      <alignment horizontal="center" vertical="center"/>
      <protection locked="0"/>
    </xf>
    <xf numFmtId="49" fontId="2" fillId="25" borderId="189" xfId="0" applyNumberFormat="1" applyFont="1" applyFill="1" applyBorder="1" applyAlignment="1" applyProtection="1">
      <alignment horizontal="center" vertical="center"/>
      <protection locked="0"/>
    </xf>
    <xf numFmtId="0" fontId="125" fillId="24" borderId="196" xfId="0" applyFont="1" applyFill="1" applyBorder="1" applyAlignment="1" applyProtection="1">
      <alignment horizontal="center" vertical="center"/>
    </xf>
    <xf numFmtId="0" fontId="125" fillId="24" borderId="197" xfId="0" applyFont="1" applyFill="1" applyBorder="1" applyAlignment="1" applyProtection="1">
      <alignment horizontal="center" vertical="center"/>
    </xf>
    <xf numFmtId="0" fontId="0" fillId="0" borderId="197" xfId="0" applyBorder="1" applyAlignment="1">
      <alignment horizontal="center" vertical="center"/>
    </xf>
    <xf numFmtId="0" fontId="125" fillId="24" borderId="198" xfId="0" applyFont="1" applyFill="1" applyBorder="1" applyAlignment="1" applyProtection="1">
      <alignment horizontal="center" vertical="center"/>
    </xf>
    <xf numFmtId="0" fontId="125" fillId="24" borderId="199" xfId="0" applyFont="1" applyFill="1" applyBorder="1" applyAlignment="1" applyProtection="1">
      <alignment horizontal="center" vertical="center"/>
    </xf>
    <xf numFmtId="0" fontId="125" fillId="24" borderId="200" xfId="0" applyFont="1" applyFill="1" applyBorder="1" applyAlignment="1" applyProtection="1">
      <alignment horizontal="center" vertical="center"/>
    </xf>
    <xf numFmtId="0" fontId="111" fillId="0" borderId="0" xfId="0" applyFont="1" applyBorder="1" applyAlignment="1" applyProtection="1">
      <alignment horizontal="center"/>
    </xf>
    <xf numFmtId="9" fontId="2" fillId="0" borderId="190" xfId="56" applyNumberFormat="1" applyFont="1" applyFill="1" applyBorder="1" applyAlignment="1" applyProtection="1">
      <alignment horizontal="left" vertical="center" wrapText="1"/>
    </xf>
    <xf numFmtId="0" fontId="2" fillId="0" borderId="179" xfId="56" applyNumberFormat="1" applyFont="1" applyFill="1" applyBorder="1" applyAlignment="1" applyProtection="1">
      <alignment horizontal="left" vertical="center" wrapText="1"/>
    </xf>
    <xf numFmtId="0" fontId="2" fillId="0" borderId="191" xfId="56" applyNumberFormat="1" applyFont="1" applyFill="1" applyBorder="1" applyAlignment="1" applyProtection="1">
      <alignment horizontal="left" vertical="center" wrapText="1"/>
    </xf>
    <xf numFmtId="0" fontId="80" fillId="0" borderId="201" xfId="0" applyNumberFormat="1" applyFont="1" applyFill="1" applyBorder="1" applyAlignment="1" applyProtection="1">
      <alignment horizontal="left" vertical="top" wrapText="1"/>
    </xf>
    <xf numFmtId="0" fontId="80" fillId="0" borderId="202" xfId="0" applyNumberFormat="1" applyFont="1" applyFill="1" applyBorder="1" applyAlignment="1" applyProtection="1">
      <alignment horizontal="left" vertical="top" wrapText="1"/>
    </xf>
    <xf numFmtId="0" fontId="2" fillId="0" borderId="190" xfId="56" applyNumberFormat="1" applyFont="1" applyFill="1" applyBorder="1" applyAlignment="1" applyProtection="1">
      <alignment horizontal="left" vertical="center" wrapText="1"/>
    </xf>
    <xf numFmtId="0" fontId="80" fillId="0" borderId="203" xfId="0" applyNumberFormat="1" applyFont="1" applyFill="1" applyBorder="1" applyAlignment="1" applyProtection="1">
      <alignment horizontal="left" vertical="top" wrapText="1"/>
    </xf>
    <xf numFmtId="0" fontId="80" fillId="0" borderId="204" xfId="0" applyNumberFormat="1" applyFont="1" applyFill="1" applyBorder="1" applyAlignment="1" applyProtection="1">
      <alignment horizontal="left" vertical="top" wrapText="1"/>
    </xf>
    <xf numFmtId="0" fontId="2" fillId="22" borderId="192" xfId="0" applyFont="1" applyFill="1" applyBorder="1" applyAlignment="1" applyProtection="1">
      <alignment horizontal="center" vertical="top" wrapText="1"/>
      <protection locked="0"/>
    </xf>
    <xf numFmtId="0" fontId="2" fillId="22" borderId="193" xfId="0" applyFont="1" applyFill="1" applyBorder="1" applyAlignment="1" applyProtection="1">
      <alignment horizontal="center" vertical="top" wrapText="1"/>
      <protection locked="0"/>
    </xf>
    <xf numFmtId="0" fontId="2" fillId="22" borderId="194" xfId="0" applyFont="1" applyFill="1" applyBorder="1" applyAlignment="1" applyProtection="1">
      <alignment horizontal="center" vertical="top" wrapText="1"/>
      <protection locked="0"/>
    </xf>
    <xf numFmtId="0" fontId="60" fillId="22" borderId="205" xfId="0" applyFont="1" applyFill="1" applyBorder="1" applyAlignment="1" applyProtection="1">
      <alignment horizontal="center" vertical="center"/>
    </xf>
    <xf numFmtId="0" fontId="60" fillId="22" borderId="206" xfId="0" applyFont="1" applyFill="1" applyBorder="1" applyAlignment="1" applyProtection="1">
      <alignment horizontal="center" vertical="center"/>
    </xf>
    <xf numFmtId="0" fontId="60" fillId="22" borderId="207" xfId="0" applyFont="1" applyFill="1" applyBorder="1" applyAlignment="1" applyProtection="1">
      <alignment horizontal="center" vertical="center"/>
    </xf>
    <xf numFmtId="0" fontId="80" fillId="0" borderId="208" xfId="0" applyNumberFormat="1" applyFont="1" applyFill="1" applyBorder="1" applyAlignment="1" applyProtection="1">
      <alignment horizontal="left" vertical="center" wrapText="1"/>
    </xf>
    <xf numFmtId="0" fontId="80" fillId="0" borderId="209" xfId="0" applyNumberFormat="1" applyFont="1" applyFill="1" applyBorder="1" applyAlignment="1" applyProtection="1">
      <alignment horizontal="left" vertical="center" wrapText="1"/>
    </xf>
    <xf numFmtId="0" fontId="80" fillId="0" borderId="210" xfId="0" applyNumberFormat="1" applyFont="1" applyFill="1" applyBorder="1" applyAlignment="1" applyProtection="1">
      <alignment horizontal="left" vertical="center" wrapText="1"/>
    </xf>
    <xf numFmtId="0" fontId="2" fillId="22" borderId="161" xfId="0" applyFont="1" applyFill="1" applyBorder="1" applyAlignment="1" applyProtection="1">
      <alignment horizontal="center" vertical="top" wrapText="1"/>
      <protection locked="0"/>
    </xf>
    <xf numFmtId="0" fontId="2" fillId="22" borderId="162" xfId="0" applyFont="1" applyFill="1" applyBorder="1" applyAlignment="1" applyProtection="1">
      <alignment horizontal="center" vertical="top" wrapText="1"/>
      <protection locked="0"/>
    </xf>
    <xf numFmtId="0" fontId="2" fillId="22" borderId="163" xfId="0" applyFont="1" applyFill="1" applyBorder="1" applyAlignment="1" applyProtection="1">
      <alignment horizontal="center" vertical="top" wrapText="1"/>
      <protection locked="0"/>
    </xf>
    <xf numFmtId="0" fontId="21" fillId="0" borderId="217" xfId="0" applyFont="1" applyFill="1" applyBorder="1" applyAlignment="1" applyProtection="1">
      <alignment horizontal="left"/>
      <protection locked="0"/>
    </xf>
    <xf numFmtId="0" fontId="21" fillId="0" borderId="218" xfId="0" applyFont="1" applyFill="1" applyBorder="1" applyAlignment="1" applyProtection="1">
      <alignment horizontal="left"/>
      <protection locked="0"/>
    </xf>
    <xf numFmtId="0" fontId="21" fillId="0" borderId="37" xfId="0" applyFont="1" applyBorder="1" applyAlignment="1" applyProtection="1">
      <alignment horizontal="left"/>
      <protection locked="0"/>
    </xf>
    <xf numFmtId="0" fontId="21" fillId="0" borderId="217" xfId="0" applyFont="1" applyBorder="1" applyAlignment="1" applyProtection="1">
      <alignment horizontal="left"/>
      <protection locked="0"/>
    </xf>
    <xf numFmtId="0" fontId="99" fillId="21" borderId="225" xfId="0" applyFont="1" applyFill="1" applyBorder="1" applyAlignment="1">
      <alignment horizontal="center" vertical="center" textRotation="90"/>
    </xf>
    <xf numFmtId="0" fontId="0" fillId="21" borderId="89" xfId="0" applyFill="1" applyBorder="1" applyAlignment="1">
      <alignment horizontal="center" vertical="center" textRotation="90"/>
    </xf>
    <xf numFmtId="0" fontId="0" fillId="21" borderId="109" xfId="0" applyFill="1" applyBorder="1" applyAlignment="1">
      <alignment horizontal="center" vertical="center" textRotation="90"/>
    </xf>
    <xf numFmtId="0" fontId="77" fillId="21" borderId="224" xfId="53" applyNumberFormat="1" applyFont="1" applyFill="1" applyBorder="1" applyAlignment="1">
      <alignment horizontal="center" vertical="center" wrapText="1"/>
    </xf>
    <xf numFmtId="0" fontId="77" fillId="21" borderId="13" xfId="53" applyNumberFormat="1" applyFont="1" applyFill="1" applyBorder="1" applyAlignment="1">
      <alignment horizontal="center" vertical="center" wrapText="1"/>
    </xf>
    <xf numFmtId="0" fontId="21" fillId="0" borderId="216" xfId="0" applyFont="1" applyFill="1" applyBorder="1" applyAlignment="1" applyProtection="1">
      <alignment horizontal="left"/>
      <protection locked="0"/>
    </xf>
    <xf numFmtId="0" fontId="33" fillId="0" borderId="0" xfId="0" applyFont="1" applyAlignment="1">
      <alignment horizontal="center"/>
    </xf>
    <xf numFmtId="0" fontId="77" fillId="21" borderId="226" xfId="53" applyNumberFormat="1" applyFont="1" applyFill="1" applyBorder="1" applyAlignment="1">
      <alignment horizontal="center" vertical="center" wrapText="1"/>
    </xf>
    <xf numFmtId="0" fontId="77" fillId="21" borderId="227" xfId="53" applyNumberFormat="1" applyFont="1" applyFill="1" applyBorder="1" applyAlignment="1">
      <alignment horizontal="center" vertical="center" wrapText="1"/>
    </xf>
    <xf numFmtId="0" fontId="77" fillId="21" borderId="228" xfId="53" applyNumberFormat="1" applyFont="1" applyFill="1" applyBorder="1" applyAlignment="1">
      <alignment horizontal="center" vertical="center" wrapText="1"/>
    </xf>
    <xf numFmtId="0" fontId="21" fillId="0" borderId="216" xfId="0" applyFont="1" applyFill="1" applyBorder="1" applyAlignment="1" applyProtection="1">
      <alignment horizontal="left" wrapText="1"/>
      <protection locked="0"/>
    </xf>
    <xf numFmtId="0" fontId="21" fillId="0" borderId="229" xfId="0" applyFont="1" applyFill="1" applyBorder="1" applyAlignment="1" applyProtection="1">
      <alignment horizontal="left"/>
      <protection locked="0"/>
    </xf>
    <xf numFmtId="0" fontId="21" fillId="0" borderId="230" xfId="0" applyFont="1" applyFill="1" applyBorder="1" applyAlignment="1" applyProtection="1">
      <alignment horizontal="left"/>
      <protection locked="0"/>
    </xf>
    <xf numFmtId="0" fontId="21" fillId="0" borderId="216" xfId="0" applyFont="1" applyBorder="1" applyAlignment="1" applyProtection="1">
      <alignment horizontal="left"/>
      <protection locked="0"/>
    </xf>
    <xf numFmtId="0" fontId="21" fillId="0" borderId="231" xfId="0" applyFont="1" applyFill="1" applyBorder="1" applyAlignment="1" applyProtection="1">
      <alignment horizontal="left" vertical="top" wrapText="1"/>
      <protection locked="0"/>
    </xf>
    <xf numFmtId="0" fontId="21" fillId="0" borderId="232" xfId="0" applyFont="1" applyFill="1" applyBorder="1" applyAlignment="1" applyProtection="1">
      <alignment horizontal="left" vertical="top" wrapText="1"/>
      <protection locked="0"/>
    </xf>
    <xf numFmtId="0" fontId="21" fillId="0" borderId="233" xfId="0" applyFont="1" applyFill="1" applyBorder="1" applyAlignment="1" applyProtection="1">
      <alignment horizontal="left" vertical="top" wrapText="1"/>
      <protection locked="0"/>
    </xf>
    <xf numFmtId="0" fontId="21" fillId="0" borderId="222" xfId="0" applyFont="1" applyFill="1" applyBorder="1" applyAlignment="1" applyProtection="1">
      <alignment horizontal="left" vertical="top" wrapText="1"/>
      <protection locked="0"/>
    </xf>
    <xf numFmtId="0" fontId="21" fillId="0" borderId="188" xfId="0" applyFont="1" applyFill="1" applyBorder="1" applyAlignment="1" applyProtection="1">
      <alignment horizontal="left" vertical="top" wrapText="1"/>
      <protection locked="0"/>
    </xf>
    <xf numFmtId="0" fontId="21" fillId="0" borderId="234" xfId="0" applyFont="1" applyFill="1" applyBorder="1" applyAlignment="1" applyProtection="1">
      <alignment horizontal="left" vertical="top" wrapText="1"/>
      <protection locked="0"/>
    </xf>
    <xf numFmtId="0" fontId="21" fillId="0" borderId="235" xfId="0" applyFont="1" applyFill="1" applyBorder="1" applyAlignment="1" applyProtection="1">
      <alignment horizontal="left"/>
      <protection locked="0"/>
    </xf>
    <xf numFmtId="0" fontId="21" fillId="0" borderId="179" xfId="0" applyFont="1" applyFill="1" applyBorder="1" applyAlignment="1" applyProtection="1">
      <alignment horizontal="left"/>
      <protection locked="0"/>
    </xf>
    <xf numFmtId="0" fontId="21" fillId="0" borderId="212" xfId="0" applyFont="1" applyFill="1" applyBorder="1" applyAlignment="1" applyProtection="1">
      <alignment horizontal="left"/>
      <protection locked="0"/>
    </xf>
    <xf numFmtId="0" fontId="21" fillId="0" borderId="236" xfId="0" applyFont="1" applyFill="1" applyBorder="1" applyAlignment="1" applyProtection="1">
      <alignment horizontal="left"/>
      <protection locked="0"/>
    </xf>
    <xf numFmtId="0" fontId="21" fillId="0" borderId="213" xfId="0" applyFont="1" applyFill="1" applyBorder="1" applyAlignment="1" applyProtection="1">
      <alignment horizontal="left"/>
      <protection locked="0"/>
    </xf>
    <xf numFmtId="0" fontId="21" fillId="0" borderId="214" xfId="0" applyFont="1" applyFill="1" applyBorder="1" applyAlignment="1" applyProtection="1">
      <alignment horizontal="left"/>
      <protection locked="0"/>
    </xf>
    <xf numFmtId="0" fontId="21" fillId="0" borderId="229" xfId="0" applyFont="1" applyBorder="1" applyAlignment="1" applyProtection="1">
      <alignment horizontal="left"/>
      <protection locked="0"/>
    </xf>
    <xf numFmtId="0" fontId="21" fillId="0" borderId="230" xfId="0" applyFont="1" applyBorder="1" applyAlignment="1" applyProtection="1">
      <alignment horizontal="left"/>
      <protection locked="0"/>
    </xf>
    <xf numFmtId="0" fontId="21" fillId="0" borderId="179" xfId="0" applyFont="1" applyFill="1" applyBorder="1" applyAlignment="1" applyProtection="1">
      <alignment horizontal="left" vertical="center" wrapText="1"/>
      <protection locked="0"/>
    </xf>
    <xf numFmtId="0" fontId="21" fillId="0" borderId="212" xfId="0" applyFont="1" applyFill="1" applyBorder="1" applyAlignment="1" applyProtection="1">
      <alignment horizontal="left" vertical="center" wrapText="1"/>
      <protection locked="0"/>
    </xf>
    <xf numFmtId="0" fontId="21" fillId="0" borderId="213" xfId="0" applyFont="1" applyFill="1" applyBorder="1" applyAlignment="1" applyProtection="1">
      <alignment horizontal="left" vertical="center" wrapText="1"/>
      <protection locked="0"/>
    </xf>
    <xf numFmtId="0" fontId="21" fillId="0" borderId="214" xfId="0" applyFont="1" applyFill="1" applyBorder="1" applyAlignment="1" applyProtection="1">
      <alignment horizontal="left" vertical="center" wrapText="1"/>
      <protection locked="0"/>
    </xf>
    <xf numFmtId="0" fontId="21" fillId="0" borderId="215" xfId="0" applyFont="1" applyBorder="1" applyAlignment="1" applyProtection="1">
      <alignment horizontal="left"/>
      <protection locked="0"/>
    </xf>
    <xf numFmtId="0" fontId="0" fillId="22" borderId="112" xfId="0" applyFill="1" applyBorder="1" applyAlignment="1" applyProtection="1">
      <alignment horizontal="center"/>
      <protection locked="0"/>
    </xf>
    <xf numFmtId="0" fontId="0" fillId="22" borderId="111" xfId="0" applyFill="1" applyBorder="1" applyAlignment="1" applyProtection="1">
      <alignment horizontal="center"/>
      <protection locked="0"/>
    </xf>
    <xf numFmtId="0" fontId="0" fillId="22" borderId="113" xfId="0" applyFill="1" applyBorder="1" applyAlignment="1" applyProtection="1">
      <alignment horizontal="center"/>
      <protection locked="0"/>
    </xf>
    <xf numFmtId="0" fontId="0" fillId="22" borderId="66" xfId="0" applyFill="1" applyBorder="1" applyAlignment="1" applyProtection="1">
      <alignment horizontal="center"/>
      <protection locked="0"/>
    </xf>
    <xf numFmtId="0" fontId="0" fillId="22" borderId="106" xfId="0" applyFill="1" applyBorder="1" applyAlignment="1" applyProtection="1">
      <alignment horizontal="center"/>
      <protection locked="0"/>
    </xf>
    <xf numFmtId="0" fontId="0" fillId="22" borderId="108" xfId="0" applyFill="1" applyBorder="1" applyAlignment="1" applyProtection="1">
      <alignment horizontal="center"/>
      <protection locked="0"/>
    </xf>
    <xf numFmtId="0" fontId="77" fillId="21" borderId="211" xfId="53" applyNumberFormat="1" applyFont="1" applyFill="1" applyBorder="1" applyAlignment="1">
      <alignment horizontal="center" vertical="center" wrapText="1"/>
    </xf>
    <xf numFmtId="0" fontId="21" fillId="0" borderId="219" xfId="0" applyFont="1" applyFill="1" applyBorder="1" applyAlignment="1" applyProtection="1">
      <alignment horizontal="left" vertical="top" wrapText="1"/>
      <protection locked="0"/>
    </xf>
    <xf numFmtId="0" fontId="21" fillId="0" borderId="220" xfId="0" applyFont="1" applyFill="1" applyBorder="1" applyAlignment="1" applyProtection="1">
      <alignment horizontal="left" vertical="top" wrapText="1"/>
      <protection locked="0"/>
    </xf>
    <xf numFmtId="0" fontId="21" fillId="0" borderId="221" xfId="0" applyFont="1" applyFill="1" applyBorder="1" applyAlignment="1" applyProtection="1">
      <alignment horizontal="left" vertical="top" wrapText="1"/>
      <protection locked="0"/>
    </xf>
    <xf numFmtId="0" fontId="21" fillId="0" borderId="223" xfId="0" applyFont="1" applyFill="1" applyBorder="1" applyAlignment="1" applyProtection="1">
      <alignment horizontal="left" vertical="top" wrapText="1"/>
      <protection locked="0"/>
    </xf>
    <xf numFmtId="17" fontId="21" fillId="0" borderId="37" xfId="0" applyNumberFormat="1" applyFont="1" applyFill="1" applyBorder="1" applyAlignment="1" applyProtection="1">
      <alignment horizontal="left"/>
      <protection locked="0"/>
    </xf>
    <xf numFmtId="0" fontId="21" fillId="0" borderId="215" xfId="0" applyFont="1" applyFill="1" applyBorder="1" applyAlignment="1" applyProtection="1">
      <alignment horizontal="left"/>
      <protection locked="0"/>
    </xf>
    <xf numFmtId="0" fontId="21" fillId="0" borderId="37" xfId="0" applyFont="1" applyFill="1" applyBorder="1" applyAlignment="1" applyProtection="1">
      <alignment horizontal="left"/>
      <protection locked="0"/>
    </xf>
    <xf numFmtId="0" fontId="21" fillId="0" borderId="238" xfId="0" applyFont="1" applyFill="1" applyBorder="1" applyAlignment="1" applyProtection="1">
      <alignment horizontal="left"/>
      <protection locked="0"/>
    </xf>
    <xf numFmtId="0" fontId="21" fillId="0" borderId="218" xfId="0" applyFont="1" applyBorder="1" applyAlignment="1" applyProtection="1">
      <alignment horizontal="left"/>
      <protection locked="0"/>
    </xf>
    <xf numFmtId="43" fontId="15" fillId="31" borderId="0" xfId="60" applyFont="1" applyFill="1" applyBorder="1" applyAlignment="1" applyProtection="1">
      <alignment horizontal="center"/>
      <protection locked="0"/>
    </xf>
    <xf numFmtId="0" fontId="21" fillId="0" borderId="237" xfId="0" applyFont="1" applyFill="1" applyBorder="1" applyAlignment="1" applyProtection="1">
      <alignment horizontal="left"/>
      <protection locked="0"/>
    </xf>
    <xf numFmtId="0" fontId="21" fillId="0" borderId="238" xfId="0" applyFont="1" applyBorder="1" applyAlignment="1" applyProtection="1">
      <alignment horizontal="left"/>
      <protection locked="0"/>
    </xf>
    <xf numFmtId="0" fontId="21" fillId="0" borderId="237" xfId="0" applyFont="1" applyBorder="1" applyAlignment="1" applyProtection="1">
      <alignment horizontal="left"/>
      <protection locked="0"/>
    </xf>
    <xf numFmtId="43" fontId="17" fillId="32" borderId="0" xfId="39" applyFont="1" applyFill="1" applyAlignment="1">
      <alignment horizontal="center" vertical="center"/>
    </xf>
  </cellXfs>
  <cellStyles count="66">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Comma" xfId="28" builtinId="3"/>
    <cellStyle name="Comma 2" xfId="63"/>
    <cellStyle name="Euro" xfId="29"/>
    <cellStyle name="Explanatory Text" xfId="30"/>
    <cellStyle name="Good" xfId="31"/>
    <cellStyle name="Heading 1" xfId="32"/>
    <cellStyle name="Heading 2" xfId="33"/>
    <cellStyle name="Heading 3" xfId="34"/>
    <cellStyle name="Heading 4" xfId="35"/>
    <cellStyle name="Input" xfId="36"/>
    <cellStyle name="Linked Cell" xfId="37"/>
    <cellStyle name="Millares 2" xfId="38"/>
    <cellStyle name="Normal" xfId="0" builtinId="0"/>
    <cellStyle name="Normal 10" xfId="64"/>
    <cellStyle name="Normal 2" xfId="39"/>
    <cellStyle name="Normal 2 2" xfId="40"/>
    <cellStyle name="Normal 2 3" xfId="41"/>
    <cellStyle name="Normal 2 4" xfId="42"/>
    <cellStyle name="Normal 2 5" xfId="43"/>
    <cellStyle name="Normal 2 6" xfId="44"/>
    <cellStyle name="Normal 2 7" xfId="45"/>
    <cellStyle name="Normal 2 8" xfId="46"/>
    <cellStyle name="Normal 2_Dashboard ver 2.2 ES" xfId="47"/>
    <cellStyle name="Normal 2_Prototipo" xfId="48"/>
    <cellStyle name="Normal 3" xfId="49"/>
    <cellStyle name="Normal 4" xfId="50"/>
    <cellStyle name="Normal 5" xfId="51"/>
    <cellStyle name="Normal 6" xfId="52"/>
    <cellStyle name="Normal_TZ_R3HIV_Phase_2_21_August_08" xfId="53"/>
    <cellStyle name="Note" xfId="54"/>
    <cellStyle name="Output" xfId="55"/>
    <cellStyle name="Percent" xfId="56" builtinId="5"/>
    <cellStyle name="Percent 2" xfId="65"/>
    <cellStyle name="Title" xfId="57"/>
    <cellStyle name="Título 3 3" xfId="58"/>
    <cellStyle name="Título 3 3_Prototipo" xfId="59"/>
    <cellStyle name="Título 3 3_PrototipoRep1" xfId="60"/>
    <cellStyle name="Título 3 7" xfId="61"/>
    <cellStyle name="Warning Text" xfId="62"/>
  </cellStyles>
  <dxfs count="39">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10"/>
        </patternFill>
      </fill>
    </dxf>
    <dxf>
      <fill>
        <patternFill>
          <bgColor indexed="13"/>
        </patternFill>
      </fill>
    </dxf>
    <dxf>
      <fill>
        <patternFill>
          <bgColor indexed="11"/>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patternType="solid">
          <bgColor indexed="9"/>
        </patternFill>
      </fill>
    </dxf>
    <dxf>
      <font>
        <condense val="0"/>
        <extend val="0"/>
        <color auto="1"/>
      </font>
      <fill>
        <patternFill>
          <bgColor indexed="50"/>
        </patternFill>
      </fill>
    </dxf>
    <dxf>
      <font>
        <condense val="0"/>
        <extend val="0"/>
        <color indexed="8"/>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bgColor indexed="42"/>
        </patternFill>
      </fill>
    </dxf>
    <dxf>
      <fill>
        <patternFill>
          <bgColor indexed="11"/>
        </patternFill>
      </fill>
    </dxf>
    <dxf>
      <font>
        <condense val="0"/>
        <extend val="0"/>
        <color indexed="9"/>
      </font>
      <fill>
        <patternFill>
          <bgColor indexed="8"/>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4"/>
        </patternFill>
      </fill>
    </dxf>
    <dxf>
      <font>
        <condense val="0"/>
        <extend val="0"/>
        <color indexed="9"/>
      </font>
      <fill>
        <patternFill>
          <bgColor indexed="63"/>
        </patternFill>
      </fill>
    </dxf>
    <dxf>
      <fill>
        <patternFill>
          <bgColor indexed="42"/>
        </patternFill>
      </fill>
    </dxf>
    <dxf>
      <fill>
        <patternFill>
          <bgColor indexed="42"/>
        </patternFill>
      </fill>
    </dxf>
  </dxfs>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FF7171"/>
      <rgbColor rgb="0000FF00"/>
      <rgbColor rgb="000000FF"/>
      <rgbColor rgb="00FFFF00"/>
      <rgbColor rgb="00FF505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86500655307999"/>
          <c:y val="5.2401746724890799E-2"/>
          <c:w val="0.80996068152031397"/>
          <c:h val="0.64192139737991305"/>
        </c:manualLayout>
      </c:layout>
      <c:barChart>
        <c:barDir val="col"/>
        <c:grouping val="clustered"/>
        <c:varyColors val="0"/>
        <c:ser>
          <c:idx val="0"/>
          <c:order val="0"/>
          <c:tx>
            <c:strRef>
              <c:f>'Data Entry'!$B$33</c:f>
              <c:strCache>
                <c:ptCount val="1"/>
                <c:pt idx="0">
                  <c:v>Cumulative budget</c:v>
                </c:pt>
              </c:strCache>
            </c:strRef>
          </c:tx>
          <c:spPr>
            <a:solidFill>
              <a:srgbClr val="993366"/>
            </a:solidFill>
            <a:ln w="3175">
              <a:solidFill>
                <a:srgbClr val="000000"/>
              </a:solidFill>
              <a:prstDash val="solid"/>
            </a:ln>
            <a:effectLst>
              <a:outerShdw dist="35921" dir="2700000" algn="br">
                <a:srgbClr val="000000"/>
              </a:outerShdw>
            </a:effectLst>
          </c:spPr>
          <c:invertIfNegative val="0"/>
          <c:val>
            <c:numRef>
              <c:f>'Data Entry'!$C$33:$N$33</c:f>
              <c:numCache>
                <c:formatCode>#,##0</c:formatCode>
                <c:ptCount val="12"/>
                <c:pt idx="0">
                  <c:v>1753207.6497905985</c:v>
                </c:pt>
                <c:pt idx="1">
                  <c:v>3401736.7922998201</c:v>
                </c:pt>
                <c:pt idx="2">
                  <c:v>4604838.6829004418</c:v>
                </c:pt>
                <c:pt idx="3">
                  <c:v>7007341.4973097006</c:v>
                </c:pt>
                <c:pt idx="4">
                  <c:v>8072675.5988628268</c:v>
                </c:pt>
                <c:pt idx="5">
                  <c:v>9522270.8435802143</c:v>
                </c:pt>
                <c:pt idx="6">
                  <c:v>10539756.207710398</c:v>
                </c:pt>
                <c:pt idx="7">
                  <c:v>11921728.917347262</c:v>
                </c:pt>
                <c:pt idx="8">
                  <c:v>13374016.913231138</c:v>
                </c:pt>
                <c:pt idx="9">
                  <c:v>14792038.621349147</c:v>
                </c:pt>
                <c:pt idx="10">
                  <c:v>16470192.967390371</c:v>
                </c:pt>
                <c:pt idx="11">
                  <c:v>17962183.992709756</c:v>
                </c:pt>
              </c:numCache>
            </c:numRef>
          </c:val>
          <c:extLst>
            <c:ext xmlns:c16="http://schemas.microsoft.com/office/drawing/2014/chart" uri="{C3380CC4-5D6E-409C-BE32-E72D297353CC}">
              <c16:uniqueId val="{00000000-0DC2-43CE-95C1-C49145B7D56D}"/>
            </c:ext>
          </c:extLst>
        </c:ser>
        <c:ser>
          <c:idx val="1"/>
          <c:order val="1"/>
          <c:tx>
            <c:strRef>
              <c:f>'Data Entry'!$B$34</c:f>
              <c:strCache>
                <c:ptCount val="1"/>
                <c:pt idx="0">
                  <c:v>Cumulative disbursements</c:v>
                </c:pt>
              </c:strCache>
            </c:strRef>
          </c:tx>
          <c:spPr>
            <a:solidFill>
              <a:srgbClr val="0070C0"/>
            </a:solidFill>
            <a:ln w="3175">
              <a:solidFill>
                <a:srgbClr val="000000"/>
              </a:solidFill>
              <a:prstDash val="solid"/>
            </a:ln>
            <a:effectLst>
              <a:outerShdw dist="35921" dir="2700000" algn="br">
                <a:srgbClr val="000000"/>
              </a:outerShdw>
            </a:effectLst>
          </c:spPr>
          <c:invertIfNegative val="0"/>
          <c:val>
            <c:numRef>
              <c:f>'Data Entry'!$C$34:$N$34</c:f>
              <c:numCache>
                <c:formatCode>#,##0</c:formatCode>
                <c:ptCount val="12"/>
                <c:pt idx="0">
                  <c:v>1912231.72</c:v>
                </c:pt>
                <c:pt idx="1">
                  <c:v>3975781.24</c:v>
                </c:pt>
                <c:pt idx="2">
                  <c:v>5216333.3900000006</c:v>
                </c:pt>
                <c:pt idx="3">
                  <c:v>7841073.8600000003</c:v>
                </c:pt>
                <c:pt idx="4">
                  <c:v>8002032.8399999999</c:v>
                </c:pt>
                <c:pt idx="5">
                  <c:v>9364814.2599999998</c:v>
                </c:pt>
                <c:pt idx="6">
                  <c:v>10180884.560000001</c:v>
                </c:pt>
                <c:pt idx="7">
                  <c:v>12046582.700000001</c:v>
                </c:pt>
                <c:pt idx="8">
                  <c:v>13482830.65</c:v>
                </c:pt>
                <c:pt idx="9">
                  <c:v>15179855.050000001</c:v>
                </c:pt>
                <c:pt idx="10">
                  <c:v>16193581.270000001</c:v>
                </c:pt>
                <c:pt idx="11">
                  <c:v>17309477.800000001</c:v>
                </c:pt>
              </c:numCache>
            </c:numRef>
          </c:val>
          <c:extLst>
            <c:ext xmlns:c16="http://schemas.microsoft.com/office/drawing/2014/chart" uri="{C3380CC4-5D6E-409C-BE32-E72D297353CC}">
              <c16:uniqueId val="{00000001-0DC2-43CE-95C1-C49145B7D56D}"/>
            </c:ext>
          </c:extLst>
        </c:ser>
        <c:dLbls>
          <c:showLegendKey val="0"/>
          <c:showVal val="0"/>
          <c:showCatName val="0"/>
          <c:showSerName val="0"/>
          <c:showPercent val="0"/>
          <c:showBubbleSize val="0"/>
        </c:dLbls>
        <c:gapWidth val="70"/>
        <c:axId val="-671923904"/>
        <c:axId val="-671926624"/>
      </c:barChart>
      <c:catAx>
        <c:axId val="-671923904"/>
        <c:scaling>
          <c:orientation val="minMax"/>
        </c:scaling>
        <c:delete val="0"/>
        <c:axPos val="b"/>
        <c:title>
          <c:tx>
            <c:rich>
              <a:bodyPr/>
              <a:lstStyle/>
              <a:p>
                <a:pPr>
                  <a:defRPr sz="575" b="1" i="0" u="none" strike="noStrike" baseline="0">
                    <a:solidFill>
                      <a:srgbClr val="000000"/>
                    </a:solidFill>
                    <a:latin typeface="Arial"/>
                    <a:ea typeface="Arial"/>
                    <a:cs typeface="Arial"/>
                  </a:defRPr>
                </a:pPr>
                <a:r>
                  <a:rPr lang="en-US"/>
                  <a:t>Reporting Period</a:t>
                </a:r>
              </a:p>
            </c:rich>
          </c:tx>
          <c:layout>
            <c:manualLayout>
              <c:xMode val="edge"/>
              <c:yMode val="edge"/>
              <c:x val="0.48066290143051499"/>
              <c:y val="0.7869564121078750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600" b="0" i="0" u="none" strike="noStrike" baseline="0">
                <a:solidFill>
                  <a:srgbClr val="000000"/>
                </a:solidFill>
                <a:latin typeface="Arial"/>
                <a:ea typeface="Arial"/>
                <a:cs typeface="Arial"/>
              </a:defRPr>
            </a:pPr>
            <a:endParaRPr lang="en-US"/>
          </a:p>
        </c:txPr>
        <c:crossAx val="-671926624"/>
        <c:crosses val="autoZero"/>
        <c:auto val="1"/>
        <c:lblAlgn val="ctr"/>
        <c:lblOffset val="100"/>
        <c:tickLblSkip val="1"/>
        <c:tickMarkSkip val="1"/>
        <c:noMultiLvlLbl val="0"/>
      </c:catAx>
      <c:valAx>
        <c:axId val="-671926624"/>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en-US"/>
          </a:p>
        </c:txPr>
        <c:crossAx val="-671923904"/>
        <c:crosses val="autoZero"/>
        <c:crossBetween val="between"/>
      </c:valAx>
      <c:spPr>
        <a:solidFill>
          <a:srgbClr val="FFFFFF"/>
        </a:solidFill>
        <a:ln w="3175">
          <a:solidFill>
            <a:srgbClr val="000000"/>
          </a:solidFill>
          <a:prstDash val="solid"/>
        </a:ln>
      </c:spPr>
    </c:plotArea>
    <c:legend>
      <c:legendPos val="r"/>
      <c:legendEntry>
        <c:idx val="0"/>
        <c:txPr>
          <a:bodyPr/>
          <a:lstStyle/>
          <a:p>
            <a:pPr>
              <a:defRPr sz="570" b="0" i="0" u="none" strike="noStrike" baseline="0">
                <a:solidFill>
                  <a:srgbClr val="000000"/>
                </a:solidFill>
                <a:latin typeface="Arial"/>
                <a:ea typeface="Arial"/>
                <a:cs typeface="Arial"/>
              </a:defRPr>
            </a:pPr>
            <a:endParaRPr lang="en-US"/>
          </a:p>
        </c:txPr>
      </c:legendEntry>
      <c:legendEntry>
        <c:idx val="1"/>
        <c:txPr>
          <a:bodyPr/>
          <a:lstStyle/>
          <a:p>
            <a:pPr>
              <a:defRPr sz="570" b="0" i="0" u="none" strike="noStrike" baseline="0">
                <a:solidFill>
                  <a:srgbClr val="000000"/>
                </a:solidFill>
                <a:latin typeface="Arial"/>
                <a:ea typeface="Arial"/>
                <a:cs typeface="Arial"/>
              </a:defRPr>
            </a:pPr>
            <a:endParaRPr lang="en-US"/>
          </a:p>
        </c:txPr>
      </c:legendEntry>
      <c:layout>
        <c:manualLayout>
          <c:xMode val="edge"/>
          <c:yMode val="edge"/>
          <c:x val="0.158059945372654"/>
          <c:y val="0.84798378619363501"/>
          <c:w val="0.73558666884965795"/>
          <c:h val="0.105266952768865"/>
        </c:manualLayout>
      </c:layout>
      <c:overlay val="0"/>
      <c:spPr>
        <a:solidFill>
          <a:srgbClr val="FFFFFF"/>
        </a:solidFill>
        <a:ln w="3175">
          <a:solidFill>
            <a:srgbClr val="000000"/>
          </a:solidFill>
          <a:prstDash val="solid"/>
        </a:ln>
      </c:spPr>
      <c:txPr>
        <a:bodyPr/>
        <a:lstStyle/>
        <a:p>
          <a:pPr>
            <a:defRPr sz="4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c:pageMargins b="1" l="0.75" r="0.7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Entry'!$G$125</c:f>
              <c:strCache>
                <c:ptCount val="1"/>
                <c:pt idx="0">
                  <c:v>Target</c:v>
                </c:pt>
              </c:strCache>
            </c:strRef>
          </c:tx>
          <c:spPr>
            <a:solidFill>
              <a:srgbClr val="0066CC"/>
            </a:solidFill>
            <a:ln w="25400">
              <a:noFill/>
            </a:ln>
          </c:spPr>
          <c:invertIfNegative val="0"/>
          <c:val>
            <c:numRef>
              <c:f>'Data Entry'!$H$125:$S$125</c:f>
              <c:numCache>
                <c:formatCode>_(* #,##0_);_(* \(#,##0\);_(* "-"??_);_(@_)</c:formatCode>
                <c:ptCount val="12"/>
                <c:pt idx="0">
                  <c:v>4000</c:v>
                </c:pt>
                <c:pt idx="1">
                  <c:v>4000</c:v>
                </c:pt>
                <c:pt idx="2" formatCode="#,##0">
                  <c:v>4550</c:v>
                </c:pt>
                <c:pt idx="3" formatCode="#,##0">
                  <c:v>4550</c:v>
                </c:pt>
                <c:pt idx="4" formatCode="#,##0">
                  <c:v>4550</c:v>
                </c:pt>
                <c:pt idx="5" formatCode="#,##0">
                  <c:v>4550</c:v>
                </c:pt>
                <c:pt idx="6" formatCode="#,##0">
                  <c:v>5100</c:v>
                </c:pt>
                <c:pt idx="7" formatCode="#,##0">
                  <c:v>5100</c:v>
                </c:pt>
                <c:pt idx="8" formatCode="#,##0">
                  <c:v>5100</c:v>
                </c:pt>
                <c:pt idx="9" formatCode="#,##0">
                  <c:v>5100</c:v>
                </c:pt>
                <c:pt idx="10" formatCode="#,##0">
                  <c:v>5500</c:v>
                </c:pt>
                <c:pt idx="11" formatCode="#,##0">
                  <c:v>5500</c:v>
                </c:pt>
              </c:numCache>
            </c:numRef>
          </c:val>
          <c:extLst>
            <c:ext xmlns:c16="http://schemas.microsoft.com/office/drawing/2014/chart" uri="{C3380CC4-5D6E-409C-BE32-E72D297353CC}">
              <c16:uniqueId val="{00000000-9988-4901-B1D9-331495B7A130}"/>
            </c:ext>
          </c:extLst>
        </c:ser>
        <c:ser>
          <c:idx val="1"/>
          <c:order val="1"/>
          <c:tx>
            <c:strRef>
              <c:f>'Data Entry'!$G$126</c:f>
              <c:strCache>
                <c:ptCount val="1"/>
                <c:pt idx="0">
                  <c:v>Achieved </c:v>
                </c:pt>
              </c:strCache>
            </c:strRef>
          </c:tx>
          <c:spPr>
            <a:solidFill>
              <a:srgbClr val="00CCFF"/>
            </a:solidFill>
            <a:ln w="12700">
              <a:solidFill>
                <a:srgbClr val="000000"/>
              </a:solidFill>
              <a:prstDash val="solid"/>
            </a:ln>
          </c:spPr>
          <c:invertIfNegative val="0"/>
          <c:val>
            <c:numRef>
              <c:f>'Data Entry'!$H$126:$S$126</c:f>
              <c:numCache>
                <c:formatCode>_(* #,##0_);_(* \(#,##0\);_(* "-"??_);_(@_)</c:formatCode>
                <c:ptCount val="12"/>
                <c:pt idx="0">
                  <c:v>3518</c:v>
                </c:pt>
                <c:pt idx="1">
                  <c:v>3638</c:v>
                </c:pt>
                <c:pt idx="2" formatCode="#,##0">
                  <c:v>3786</c:v>
                </c:pt>
                <c:pt idx="3" formatCode="#,##0">
                  <c:v>3899</c:v>
                </c:pt>
                <c:pt idx="4" formatCode="#,##0">
                  <c:v>4100</c:v>
                </c:pt>
                <c:pt idx="5" formatCode="#,##0">
                  <c:v>4144</c:v>
                </c:pt>
                <c:pt idx="6" formatCode="#,##0">
                  <c:v>4260</c:v>
                </c:pt>
                <c:pt idx="7" formatCode="#,##0">
                  <c:v>4365</c:v>
                </c:pt>
                <c:pt idx="8" formatCode="#,##0">
                  <c:v>4468</c:v>
                </c:pt>
                <c:pt idx="9" formatCode="#,##0">
                  <c:v>4597</c:v>
                </c:pt>
                <c:pt idx="10" formatCode="#,##0">
                  <c:v>4136</c:v>
                </c:pt>
                <c:pt idx="11" formatCode="#,##0">
                  <c:v>4798</c:v>
                </c:pt>
              </c:numCache>
            </c:numRef>
          </c:val>
          <c:extLst>
            <c:ext xmlns:c16="http://schemas.microsoft.com/office/drawing/2014/chart" uri="{C3380CC4-5D6E-409C-BE32-E72D297353CC}">
              <c16:uniqueId val="{00000001-9988-4901-B1D9-331495B7A130}"/>
            </c:ext>
          </c:extLst>
        </c:ser>
        <c:dLbls>
          <c:showLegendKey val="0"/>
          <c:showVal val="0"/>
          <c:showCatName val="0"/>
          <c:showSerName val="0"/>
          <c:showPercent val="0"/>
          <c:showBubbleSize val="0"/>
        </c:dLbls>
        <c:gapWidth val="150"/>
        <c:axId val="-954034448"/>
        <c:axId val="-954033904"/>
      </c:barChart>
      <c:catAx>
        <c:axId val="-95403444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954033904"/>
        <c:crosses val="autoZero"/>
        <c:auto val="1"/>
        <c:lblAlgn val="ctr"/>
        <c:lblOffset val="100"/>
        <c:tickLblSkip val="1"/>
        <c:tickMarkSkip val="1"/>
        <c:noMultiLvlLbl val="0"/>
      </c:catAx>
      <c:valAx>
        <c:axId val="-954033904"/>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954034448"/>
        <c:crosses val="autoZero"/>
        <c:crossBetween val="between"/>
      </c:valAx>
      <c:spPr>
        <a:noFill/>
        <a:ln w="25400">
          <a:noFill/>
        </a:ln>
      </c:spPr>
    </c:plotArea>
    <c:legend>
      <c:legendPos val="r"/>
      <c:layout>
        <c:manualLayout>
          <c:xMode val="edge"/>
          <c:yMode val="edge"/>
          <c:x val="0.20446743835849701"/>
          <c:y val="0.88409189195345494"/>
          <c:w val="0.48700426227205701"/>
          <c:h val="7.9713203372852495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Entry'!$G$121</c:f>
              <c:strCache>
                <c:ptCount val="1"/>
                <c:pt idx="0">
                  <c:v>Target</c:v>
                </c:pt>
              </c:strCache>
            </c:strRef>
          </c:tx>
          <c:spPr>
            <a:solidFill>
              <a:srgbClr val="0066CC"/>
            </a:solidFill>
            <a:ln w="25400">
              <a:noFill/>
            </a:ln>
          </c:spPr>
          <c:invertIfNegative val="0"/>
          <c:cat>
            <c:strRef>
              <c:f>'Data Entry'!$H$119:$S$119</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Entry'!$H$121:$S$121</c:f>
              <c:numCache>
                <c:formatCode>_(* #,##0_);_(* \(#,##0\);_(* "-"??_);_(@_)</c:formatCode>
                <c:ptCount val="12"/>
                <c:pt idx="0">
                  <c:v>25347</c:v>
                </c:pt>
                <c:pt idx="1">
                  <c:v>25347</c:v>
                </c:pt>
                <c:pt idx="2" formatCode="#,##0">
                  <c:v>6958</c:v>
                </c:pt>
                <c:pt idx="3" formatCode="#,##0">
                  <c:v>13916</c:v>
                </c:pt>
                <c:pt idx="4" formatCode="#,##0">
                  <c:v>20874</c:v>
                </c:pt>
                <c:pt idx="5" formatCode="#,##0">
                  <c:v>27832</c:v>
                </c:pt>
                <c:pt idx="6" formatCode="#,##0">
                  <c:v>7875</c:v>
                </c:pt>
                <c:pt idx="7" formatCode="#,##0">
                  <c:v>15750</c:v>
                </c:pt>
                <c:pt idx="8" formatCode="#,##0">
                  <c:v>23625</c:v>
                </c:pt>
                <c:pt idx="9" formatCode="#,##0">
                  <c:v>31500</c:v>
                </c:pt>
                <c:pt idx="10" formatCode="#,##0">
                  <c:v>8531.25</c:v>
                </c:pt>
                <c:pt idx="11" formatCode="#,##0">
                  <c:v>17062.5</c:v>
                </c:pt>
              </c:numCache>
            </c:numRef>
          </c:val>
          <c:extLst>
            <c:ext xmlns:c16="http://schemas.microsoft.com/office/drawing/2014/chart" uri="{C3380CC4-5D6E-409C-BE32-E72D297353CC}">
              <c16:uniqueId val="{00000000-3D57-445C-8E51-0A45B747288A}"/>
            </c:ext>
          </c:extLst>
        </c:ser>
        <c:ser>
          <c:idx val="1"/>
          <c:order val="1"/>
          <c:tx>
            <c:strRef>
              <c:f>'Data Entry'!$G$122</c:f>
              <c:strCache>
                <c:ptCount val="1"/>
                <c:pt idx="0">
                  <c:v>Achieved </c:v>
                </c:pt>
              </c:strCache>
            </c:strRef>
          </c:tx>
          <c:spPr>
            <a:solidFill>
              <a:srgbClr val="00CCFF"/>
            </a:solidFill>
            <a:ln w="12700">
              <a:solidFill>
                <a:srgbClr val="000000"/>
              </a:solidFill>
              <a:prstDash val="solid"/>
            </a:ln>
          </c:spPr>
          <c:invertIfNegative val="0"/>
          <c:cat>
            <c:strRef>
              <c:f>'Data Entry'!$H$119:$S$119</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Entry'!$H$122:$S$122</c:f>
              <c:numCache>
                <c:formatCode>_(* #,##0_);_(* \(#,##0\);_(* "-"??_);_(@_)</c:formatCode>
                <c:ptCount val="12"/>
                <c:pt idx="0">
                  <c:v>22099</c:v>
                </c:pt>
                <c:pt idx="1">
                  <c:v>28279</c:v>
                </c:pt>
                <c:pt idx="2" formatCode="#,##0">
                  <c:v>7219</c:v>
                </c:pt>
                <c:pt idx="3" formatCode="#,##0">
                  <c:v>16129</c:v>
                </c:pt>
                <c:pt idx="4" formatCode="#,##0">
                  <c:v>18626</c:v>
                </c:pt>
                <c:pt idx="5" formatCode="#,##0">
                  <c:v>26294</c:v>
                </c:pt>
                <c:pt idx="6" formatCode="#,##0">
                  <c:v>5762</c:v>
                </c:pt>
                <c:pt idx="7" formatCode="#,##0">
                  <c:v>11859</c:v>
                </c:pt>
                <c:pt idx="8" formatCode="#,##0">
                  <c:v>23914</c:v>
                </c:pt>
                <c:pt idx="9" formatCode="#,##0">
                  <c:v>24421</c:v>
                </c:pt>
                <c:pt idx="10" formatCode="#,##0">
                  <c:v>8173</c:v>
                </c:pt>
                <c:pt idx="11" formatCode="#,##0">
                  <c:v>16211</c:v>
                </c:pt>
              </c:numCache>
            </c:numRef>
          </c:val>
          <c:extLst>
            <c:ext xmlns:c16="http://schemas.microsoft.com/office/drawing/2014/chart" uri="{C3380CC4-5D6E-409C-BE32-E72D297353CC}">
              <c16:uniqueId val="{00000001-3D57-445C-8E51-0A45B747288A}"/>
            </c:ext>
          </c:extLst>
        </c:ser>
        <c:dLbls>
          <c:showLegendKey val="0"/>
          <c:showVal val="0"/>
          <c:showCatName val="0"/>
          <c:showSerName val="0"/>
          <c:showPercent val="0"/>
          <c:showBubbleSize val="0"/>
        </c:dLbls>
        <c:gapWidth val="150"/>
        <c:axId val="-954032816"/>
        <c:axId val="-812300064"/>
      </c:barChart>
      <c:catAx>
        <c:axId val="-954032816"/>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812300064"/>
        <c:crosses val="autoZero"/>
        <c:auto val="1"/>
        <c:lblAlgn val="ctr"/>
        <c:lblOffset val="100"/>
        <c:tickLblSkip val="1"/>
        <c:tickMarkSkip val="1"/>
        <c:noMultiLvlLbl val="0"/>
      </c:catAx>
      <c:valAx>
        <c:axId val="-812300064"/>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954032816"/>
        <c:crosses val="autoZero"/>
        <c:crossBetween val="between"/>
      </c:valAx>
      <c:spPr>
        <a:noFill/>
        <a:ln w="25400">
          <a:noFill/>
        </a:ln>
      </c:spPr>
    </c:plotArea>
    <c:legend>
      <c:legendPos val="r"/>
      <c:layout>
        <c:manualLayout>
          <c:xMode val="edge"/>
          <c:yMode val="edge"/>
          <c:x val="0.2122516397491"/>
          <c:y val="0.872371202077866"/>
          <c:w val="0.48981147634407701"/>
          <c:h val="7.80169367711913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Disbursements to PR</a:t>
            </a:r>
          </a:p>
        </c:rich>
      </c:tx>
      <c:overlay val="0"/>
      <c:spPr>
        <a:noFill/>
        <a:ln w="25400">
          <a:noFill/>
        </a:ln>
      </c:spPr>
    </c:title>
    <c:autoTitleDeleted val="0"/>
    <c:plotArea>
      <c:layout/>
      <c:areaChart>
        <c:grouping val="standard"/>
        <c:varyColors val="0"/>
        <c:ser>
          <c:idx val="0"/>
          <c:order val="0"/>
          <c:tx>
            <c:strRef>
              <c:f>'Data Entry'!$B$33</c:f>
              <c:strCache>
                <c:ptCount val="1"/>
                <c:pt idx="0">
                  <c:v>Cumulative budget</c:v>
                </c:pt>
              </c:strCache>
            </c:strRef>
          </c:tx>
          <c:spPr>
            <a:solidFill>
              <a:srgbClr val="339966"/>
            </a:solidFill>
            <a:ln w="12700">
              <a:solidFill>
                <a:srgbClr val="000000"/>
              </a:solidFill>
              <a:prstDash val="solid"/>
            </a:ln>
          </c:spPr>
          <c:cat>
            <c:strRef>
              <c:f>'Data Entry'!$C$30:$M$30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'Data Entry'!$C$33:$M$33</c:f>
              <c:numCache>
                <c:formatCode>#,##0</c:formatCode>
                <c:ptCount val="11"/>
                <c:pt idx="0">
                  <c:v>1753207.6497905985</c:v>
                </c:pt>
                <c:pt idx="1">
                  <c:v>3401736.7922998201</c:v>
                </c:pt>
                <c:pt idx="2">
                  <c:v>4604838.6829004418</c:v>
                </c:pt>
                <c:pt idx="3">
                  <c:v>7007341.4973097006</c:v>
                </c:pt>
                <c:pt idx="4">
                  <c:v>8072675.5988628268</c:v>
                </c:pt>
                <c:pt idx="5">
                  <c:v>9522270.8435802143</c:v>
                </c:pt>
                <c:pt idx="6">
                  <c:v>10539756.207710398</c:v>
                </c:pt>
                <c:pt idx="7">
                  <c:v>11921728.917347262</c:v>
                </c:pt>
                <c:pt idx="8">
                  <c:v>13374016.913231138</c:v>
                </c:pt>
                <c:pt idx="9">
                  <c:v>14792038.621349147</c:v>
                </c:pt>
                <c:pt idx="10">
                  <c:v>16470192.967390371</c:v>
                </c:pt>
              </c:numCache>
            </c:numRef>
          </c:val>
          <c:extLst>
            <c:ext xmlns:c16="http://schemas.microsoft.com/office/drawing/2014/chart" uri="{C3380CC4-5D6E-409C-BE32-E72D297353CC}">
              <c16:uniqueId val="{00000000-0EF8-43C9-A3B4-3B4729C25690}"/>
            </c:ext>
          </c:extLst>
        </c:ser>
        <c:ser>
          <c:idx val="1"/>
          <c:order val="1"/>
          <c:tx>
            <c:strRef>
              <c:f>'Data Entry'!$B$34</c:f>
              <c:strCache>
                <c:ptCount val="1"/>
                <c:pt idx="0">
                  <c:v>Cumulative disbursements</c:v>
                </c:pt>
              </c:strCache>
            </c:strRef>
          </c:tx>
          <c:spPr>
            <a:gradFill rotWithShape="0">
              <a:gsLst>
                <a:gs pos="0">
                  <a:srgbClr val="CCFFCC"/>
                </a:gs>
                <a:gs pos="100000">
                  <a:srgbClr val="E3FFE3"/>
                </a:gs>
              </a:gsLst>
              <a:lin ang="5400000" scaled="1"/>
            </a:gradFill>
            <a:ln w="12700">
              <a:solidFill>
                <a:srgbClr val="FFCC00"/>
              </a:solidFill>
              <a:prstDash val="solid"/>
            </a:ln>
          </c:spPr>
          <c:cat>
            <c:strRef>
              <c:f>'Data Entry'!$C$30:$M$30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'Data Entry'!$C$34:$M$34</c:f>
              <c:numCache>
                <c:formatCode>#,##0</c:formatCode>
                <c:ptCount val="11"/>
                <c:pt idx="0">
                  <c:v>1912231.72</c:v>
                </c:pt>
                <c:pt idx="1">
                  <c:v>3975781.24</c:v>
                </c:pt>
                <c:pt idx="2">
                  <c:v>5216333.3900000006</c:v>
                </c:pt>
                <c:pt idx="3">
                  <c:v>7841073.8600000003</c:v>
                </c:pt>
                <c:pt idx="4">
                  <c:v>8002032.8399999999</c:v>
                </c:pt>
                <c:pt idx="5">
                  <c:v>9364814.2599999998</c:v>
                </c:pt>
                <c:pt idx="6">
                  <c:v>10180884.560000001</c:v>
                </c:pt>
                <c:pt idx="7">
                  <c:v>12046582.700000001</c:v>
                </c:pt>
                <c:pt idx="8">
                  <c:v>13482830.65</c:v>
                </c:pt>
                <c:pt idx="9">
                  <c:v>15179855.050000001</c:v>
                </c:pt>
                <c:pt idx="10">
                  <c:v>16193581.270000001</c:v>
                </c:pt>
              </c:numCache>
            </c:numRef>
          </c:val>
          <c:extLst>
            <c:ext xmlns:c16="http://schemas.microsoft.com/office/drawing/2014/chart" uri="{C3380CC4-5D6E-409C-BE32-E72D297353CC}">
              <c16:uniqueId val="{00000001-0EF8-43C9-A3B4-3B4729C25690}"/>
            </c:ext>
          </c:extLst>
        </c:ser>
        <c:dLbls>
          <c:showLegendKey val="0"/>
          <c:showVal val="0"/>
          <c:showCatName val="0"/>
          <c:showSerName val="0"/>
          <c:showPercent val="0"/>
          <c:showBubbleSize val="0"/>
        </c:dLbls>
        <c:dropLines>
          <c:spPr>
            <a:ln w="3175">
              <a:solidFill>
                <a:srgbClr val="000000"/>
              </a:solidFill>
              <a:prstDash val="solid"/>
            </a:ln>
          </c:spPr>
        </c:dropLines>
        <c:axId val="-812302240"/>
        <c:axId val="-812310944"/>
      </c:areaChart>
      <c:catAx>
        <c:axId val="-81230224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1" i="0" u="none" strike="noStrike" baseline="0">
                <a:solidFill>
                  <a:srgbClr val="000000"/>
                </a:solidFill>
                <a:latin typeface="Arial"/>
                <a:ea typeface="Arial"/>
                <a:cs typeface="Arial"/>
              </a:defRPr>
            </a:pPr>
            <a:endParaRPr lang="en-US"/>
          </a:p>
        </c:txPr>
        <c:crossAx val="-812310944"/>
        <c:crosses val="autoZero"/>
        <c:auto val="1"/>
        <c:lblAlgn val="ctr"/>
        <c:lblOffset val="100"/>
        <c:tickLblSkip val="8"/>
        <c:tickMarkSkip val="1"/>
        <c:noMultiLvlLbl val="0"/>
      </c:catAx>
      <c:valAx>
        <c:axId val="-812310944"/>
        <c:scaling>
          <c:orientation val="minMax"/>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Arial"/>
                    <a:ea typeface="Arial"/>
                    <a:cs typeface="Arial"/>
                  </a:defRPr>
                </a:pPr>
                <a:r>
                  <a:rPr lang="en-US"/>
                  <a:t>USD</a:t>
                </a:r>
              </a:p>
            </c:rich>
          </c:tx>
          <c:overlay val="0"/>
          <c:spPr>
            <a:noFill/>
            <a:ln w="25400">
              <a:noFill/>
            </a:ln>
          </c:spPr>
        </c:title>
        <c:numFmt formatCode="_ * #,##0_ ;_ * \-#,##0_ ;_ * &quot;-&quot;_ ;_ @_ " sourceLinked="0"/>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812302240"/>
        <c:crosses val="autoZero"/>
        <c:crossBetween val="midCat"/>
      </c:valAx>
      <c:spPr>
        <a:solidFill>
          <a:srgbClr val="FFFFFF"/>
        </a:solidFill>
        <a:ln w="3175">
          <a:solidFill>
            <a:srgbClr val="00000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zero"/>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19434544681968699"/>
          <c:y val="7.5694015811474599E-2"/>
          <c:w val="0.74366824572258605"/>
          <c:h val="0.58032078788797203"/>
        </c:manualLayout>
      </c:layout>
      <c:barChart>
        <c:barDir val="col"/>
        <c:grouping val="stacked"/>
        <c:varyColors val="0"/>
        <c:ser>
          <c:idx val="0"/>
          <c:order val="0"/>
          <c:spPr>
            <a:solidFill>
              <a:srgbClr val="376092"/>
            </a:solidFill>
            <a:ln w="3175">
              <a:solidFill>
                <a:srgbClr val="000000"/>
              </a:solidFill>
              <a:prstDash val="solid"/>
            </a:ln>
            <a:effectLst>
              <a:outerShdw dist="35921" dir="2700000" algn="br">
                <a:srgbClr val="000000"/>
              </a:outerShdw>
            </a:effectLst>
          </c:spPr>
          <c:invertIfNegative val="0"/>
          <c:cat>
            <c:strRef>
              <c:f>'Data Entry'!$B$55:$B$58</c:f>
              <c:strCache>
                <c:ptCount val="4"/>
                <c:pt idx="0">
                  <c:v>Disbursed by Global Fund</c:v>
                </c:pt>
                <c:pt idx="1">
                  <c:v>PR expenditure and disbursement</c:v>
                </c:pt>
                <c:pt idx="2">
                  <c:v>Disbursed to SRs</c:v>
                </c:pt>
                <c:pt idx="3">
                  <c:v>SR expenditures</c:v>
                </c:pt>
              </c:strCache>
            </c:strRef>
          </c:cat>
          <c:val>
            <c:numRef>
              <c:f>'Data Entry'!$C$55:$C$58</c:f>
              <c:numCache>
                <c:formatCode>_(* #,##0_);_(* \(#,##0\);_(* "-"??_);_(@_)</c:formatCode>
                <c:ptCount val="4"/>
                <c:pt idx="0" formatCode="#,##0">
                  <c:v>16193581.270000001</c:v>
                </c:pt>
                <c:pt idx="1">
                  <c:v>5641030.4734302005</c:v>
                </c:pt>
                <c:pt idx="2">
                  <c:v>8474599.6922006011</c:v>
                </c:pt>
                <c:pt idx="3">
                  <c:v>8604788.4607294202</c:v>
                </c:pt>
              </c:numCache>
            </c:numRef>
          </c:val>
          <c:extLst>
            <c:ext xmlns:c16="http://schemas.microsoft.com/office/drawing/2014/chart" uri="{C3380CC4-5D6E-409C-BE32-E72D297353CC}">
              <c16:uniqueId val="{00000000-E95E-4943-B9B3-B8E337961660}"/>
            </c:ext>
          </c:extLst>
        </c:ser>
        <c:ser>
          <c:idx val="1"/>
          <c:order val="1"/>
          <c:spPr>
            <a:solidFill>
              <a:srgbClr val="93CDDD"/>
            </a:solidFill>
            <a:ln w="3175">
              <a:solidFill>
                <a:srgbClr val="000000"/>
              </a:solidFill>
              <a:prstDash val="solid"/>
            </a:ln>
            <a:effectLst>
              <a:outerShdw dist="35921" dir="2700000" algn="br">
                <a:srgbClr val="000000"/>
              </a:outerShdw>
            </a:effectLst>
          </c:spPr>
          <c:invertIfNegative val="0"/>
          <c:cat>
            <c:strRef>
              <c:f>'Data Entry'!$B$55:$B$58</c:f>
              <c:strCache>
                <c:ptCount val="4"/>
                <c:pt idx="0">
                  <c:v>Disbursed by Global Fund</c:v>
                </c:pt>
                <c:pt idx="1">
                  <c:v>PR expenditure and disbursement</c:v>
                </c:pt>
                <c:pt idx="2">
                  <c:v>Disbursed to SRs</c:v>
                </c:pt>
                <c:pt idx="3">
                  <c:v>SR expenditures</c:v>
                </c:pt>
              </c:strCache>
            </c:strRef>
          </c:cat>
          <c:val>
            <c:numRef>
              <c:f>'Data Entry'!$D$55:$D$58</c:f>
              <c:numCache>
                <c:formatCode>_(* #,##0_);_(* \(#,##0\);_(* "-"??_);_(@_)</c:formatCode>
                <c:ptCount val="4"/>
                <c:pt idx="0" formatCode="#,##0">
                  <c:v>1115896.53</c:v>
                </c:pt>
                <c:pt idx="1">
                  <c:v>853515.53663680039</c:v>
                </c:pt>
                <c:pt idx="2">
                  <c:v>798390.61102648848</c:v>
                </c:pt>
                <c:pt idx="3">
                  <c:v>937839.37249767</c:v>
                </c:pt>
              </c:numCache>
            </c:numRef>
          </c:val>
          <c:extLst>
            <c:ext xmlns:c16="http://schemas.microsoft.com/office/drawing/2014/chart" uri="{C3380CC4-5D6E-409C-BE32-E72D297353CC}">
              <c16:uniqueId val="{00000001-E95E-4943-B9B3-B8E337961660}"/>
            </c:ext>
          </c:extLst>
        </c:ser>
        <c:dLbls>
          <c:showLegendKey val="0"/>
          <c:showVal val="0"/>
          <c:showCatName val="0"/>
          <c:showSerName val="0"/>
          <c:showPercent val="0"/>
          <c:showBubbleSize val="0"/>
        </c:dLbls>
        <c:gapWidth val="150"/>
        <c:overlap val="100"/>
        <c:axId val="-671919552"/>
        <c:axId val="-671917376"/>
      </c:barChart>
      <c:catAx>
        <c:axId val="-671919552"/>
        <c:scaling>
          <c:orientation val="minMax"/>
        </c:scaling>
        <c:delete val="0"/>
        <c:axPos val="b"/>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671917376"/>
        <c:crossesAt val="0"/>
        <c:auto val="1"/>
        <c:lblAlgn val="ctr"/>
        <c:lblOffset val="100"/>
        <c:noMultiLvlLbl val="0"/>
      </c:catAx>
      <c:valAx>
        <c:axId val="-671917376"/>
        <c:scaling>
          <c:orientation val="minMax"/>
        </c:scaling>
        <c:delete val="0"/>
        <c:axPos val="l"/>
        <c:majorGridlines>
          <c:spPr>
            <a:ln w="3175">
              <a:solidFill>
                <a:srgbClr val="808080"/>
              </a:solidFill>
              <a:prstDash val="solid"/>
            </a:ln>
          </c:spPr>
        </c:majorGridlines>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71919552"/>
        <c:crosses val="autoZero"/>
        <c:crossBetween val="between"/>
      </c:valAx>
      <c:dTable>
        <c:showHorzBorder val="1"/>
        <c:showVertBorder val="1"/>
        <c:showOutline val="1"/>
        <c:showKeys val="1"/>
        <c:spPr>
          <a:ln w="3175">
            <a:solidFill>
              <a:srgbClr val="000000"/>
            </a:solidFill>
            <a:prstDash val="solid"/>
          </a:ln>
        </c:spPr>
        <c:txPr>
          <a:bodyPr/>
          <a:lstStyle/>
          <a:p>
            <a:pPr rtl="0">
              <a:defRPr sz="500" b="0" i="0" u="none" strike="noStrike" baseline="0">
                <a:solidFill>
                  <a:srgbClr val="000000"/>
                </a:solidFill>
                <a:latin typeface="Calibri"/>
                <a:ea typeface="Calibri"/>
                <a:cs typeface="Calibri"/>
              </a:defRPr>
            </a:pPr>
            <a:endParaRPr lang="en-US"/>
          </a:p>
        </c:txPr>
      </c:dTable>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20147420147"/>
          <c:y val="9.3877551020408095E-2"/>
          <c:w val="0.84029484029484003"/>
          <c:h val="0.53469387755102005"/>
        </c:manualLayout>
      </c:layout>
      <c:barChart>
        <c:barDir val="col"/>
        <c:grouping val="clustered"/>
        <c:varyColors val="0"/>
        <c:ser>
          <c:idx val="0"/>
          <c:order val="0"/>
          <c:spPr>
            <a:solidFill>
              <a:srgbClr val="993366"/>
            </a:solidFill>
            <a:ln w="3175">
              <a:solidFill>
                <a:srgbClr val="000000"/>
              </a:solidFill>
              <a:prstDash val="solid"/>
            </a:ln>
            <a:effectLst>
              <a:outerShdw dist="35921" dir="2700000" algn="br">
                <a:srgbClr val="000000"/>
              </a:outerShdw>
            </a:effectLst>
          </c:spPr>
          <c:invertIfNegative val="0"/>
          <c:cat>
            <c:strRef>
              <c:f>'Data Entry'!$B$39:$B$43</c:f>
              <c:strCache>
                <c:ptCount val="5"/>
                <c:pt idx="0">
                  <c:v>Comprehensive prevention programs for MSM</c:v>
                </c:pt>
                <c:pt idx="1">
                  <c:v>Comprehensive prevention programs for sex workers and their clients</c:v>
                </c:pt>
                <c:pt idx="2">
                  <c:v>Comprehensive prevention programs for people who inject drugs (PWID) and their partners</c:v>
                </c:pt>
                <c:pt idx="3">
                  <c:v>Comprehensive programs for people in prisons and other closed settings</c:v>
                </c:pt>
                <c:pt idx="4">
                  <c:v>Treatment, care and support</c:v>
                </c:pt>
              </c:strCache>
            </c:strRef>
          </c:cat>
          <c:val>
            <c:numRef>
              <c:f>'Data Entry'!$C$39:$C$43</c:f>
              <c:numCache>
                <c:formatCode>#,##0</c:formatCode>
                <c:ptCount val="5"/>
                <c:pt idx="0">
                  <c:v>1741903.0275764235</c:v>
                </c:pt>
                <c:pt idx="1">
                  <c:v>1055637.0045745978</c:v>
                </c:pt>
                <c:pt idx="2">
                  <c:v>6178916.4567774143</c:v>
                </c:pt>
                <c:pt idx="3">
                  <c:v>211917.96969559696</c:v>
                </c:pt>
                <c:pt idx="4">
                  <c:v>6152441.0630188268</c:v>
                </c:pt>
              </c:numCache>
            </c:numRef>
          </c:val>
          <c:extLst>
            <c:ext xmlns:c16="http://schemas.microsoft.com/office/drawing/2014/chart" uri="{C3380CC4-5D6E-409C-BE32-E72D297353CC}">
              <c16:uniqueId val="{00000000-856F-4883-8E13-9E0950FCE098}"/>
            </c:ext>
          </c:extLst>
        </c:ser>
        <c:ser>
          <c:idx val="1"/>
          <c:order val="1"/>
          <c:spPr>
            <a:solidFill>
              <a:srgbClr val="CCC1DA"/>
            </a:solidFill>
            <a:ln w="3175">
              <a:solidFill>
                <a:srgbClr val="800000"/>
              </a:solidFill>
              <a:prstDash val="solid"/>
            </a:ln>
            <a:effectLst>
              <a:outerShdw dist="35921" dir="2700000" algn="br">
                <a:srgbClr val="000000"/>
              </a:outerShdw>
            </a:effectLst>
          </c:spPr>
          <c:invertIfNegative val="0"/>
          <c:cat>
            <c:strRef>
              <c:f>'Data Entry'!$B$39:$B$43</c:f>
              <c:strCache>
                <c:ptCount val="5"/>
                <c:pt idx="0">
                  <c:v>Comprehensive prevention programs for MSM</c:v>
                </c:pt>
                <c:pt idx="1">
                  <c:v>Comprehensive prevention programs for sex workers and their clients</c:v>
                </c:pt>
                <c:pt idx="2">
                  <c:v>Comprehensive prevention programs for people who inject drugs (PWID) and their partners</c:v>
                </c:pt>
                <c:pt idx="3">
                  <c:v>Comprehensive programs for people in prisons and other closed settings</c:v>
                </c:pt>
                <c:pt idx="4">
                  <c:v>Treatment, care and support</c:v>
                </c:pt>
              </c:strCache>
            </c:strRef>
          </c:cat>
          <c:val>
            <c:numRef>
              <c:f>'Data Entry'!$D$39:$D$43</c:f>
              <c:numCache>
                <c:formatCode>#,##0</c:formatCode>
                <c:ptCount val="5"/>
                <c:pt idx="0">
                  <c:v>1534389.9817185295</c:v>
                </c:pt>
                <c:pt idx="1">
                  <c:v>883215.67469442647</c:v>
                </c:pt>
                <c:pt idx="2">
                  <c:v>5567454.9833330298</c:v>
                </c:pt>
                <c:pt idx="3">
                  <c:v>166259.67432590187</c:v>
                </c:pt>
                <c:pt idx="4">
                  <c:v>5593940.3347174497</c:v>
                </c:pt>
              </c:numCache>
            </c:numRef>
          </c:val>
          <c:extLst>
            <c:ext xmlns:c16="http://schemas.microsoft.com/office/drawing/2014/chart" uri="{C3380CC4-5D6E-409C-BE32-E72D297353CC}">
              <c16:uniqueId val="{00000001-856F-4883-8E13-9E0950FCE098}"/>
            </c:ext>
          </c:extLst>
        </c:ser>
        <c:dLbls>
          <c:showLegendKey val="0"/>
          <c:showVal val="0"/>
          <c:showCatName val="0"/>
          <c:showSerName val="0"/>
          <c:showPercent val="0"/>
          <c:showBubbleSize val="0"/>
        </c:dLbls>
        <c:gapWidth val="150"/>
        <c:axId val="-671922272"/>
        <c:axId val="-671914656"/>
      </c:barChart>
      <c:catAx>
        <c:axId val="-6719222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671914656"/>
        <c:crosses val="autoZero"/>
        <c:auto val="1"/>
        <c:lblAlgn val="ctr"/>
        <c:lblOffset val="100"/>
        <c:tickMarkSkip val="1"/>
        <c:noMultiLvlLbl val="0"/>
      </c:catAx>
      <c:valAx>
        <c:axId val="-671914656"/>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en-US"/>
          </a:p>
        </c:txPr>
        <c:crossAx val="-671922272"/>
        <c:crosses val="autoZero"/>
        <c:crossBetween val="between"/>
      </c:valAx>
      <c:dTable>
        <c:showHorzBorder val="1"/>
        <c:showVertBorder val="1"/>
        <c:showOutline val="1"/>
        <c:showKeys val="1"/>
        <c:spPr>
          <a:ln w="3175">
            <a:solidFill>
              <a:srgbClr val="000000"/>
            </a:solidFill>
            <a:prstDash val="solid"/>
          </a:ln>
        </c:spPr>
        <c:txPr>
          <a:bodyPr/>
          <a:lstStyle/>
          <a:p>
            <a:pPr rtl="0">
              <a:defRPr sz="425" b="0" i="0" u="none" strike="noStrike" baseline="0">
                <a:solidFill>
                  <a:srgbClr val="000000"/>
                </a:solidFill>
                <a:latin typeface="Arial"/>
                <a:ea typeface="Arial"/>
                <a:cs typeface="Arial"/>
              </a:defRPr>
            </a:pPr>
            <a:endParaRPr lang="en-US"/>
          </a:p>
        </c:txPr>
      </c:dTable>
      <c:spPr>
        <a:noFill/>
        <a:ln w="12700">
          <a:solidFill>
            <a:srgbClr val="000000"/>
          </a:solidFill>
          <a:prstDash val="solid"/>
        </a:ln>
      </c:spPr>
    </c:plotArea>
    <c:plotVisOnly val="1"/>
    <c:dispBlanksAs val="gap"/>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en-US"/>
    </a:p>
  </c:txPr>
  <c:printSettings>
    <c:headerFooter/>
    <c:pageMargins b="1" l="0.75" r="0.75"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6.1440741526190799E-2"/>
          <c:y val="0.195653558463248"/>
          <c:w val="0.86864496640476696"/>
          <c:h val="0.42029282929142098"/>
        </c:manualLayout>
      </c:layout>
      <c:barChart>
        <c:barDir val="bar"/>
        <c:grouping val="percentStacked"/>
        <c:varyColors val="0"/>
        <c:ser>
          <c:idx val="0"/>
          <c:order val="0"/>
          <c:spPr>
            <a:noFill/>
            <a:ln w="25400">
              <a:noFill/>
            </a:ln>
            <a:effectLst>
              <a:outerShdw dist="35921" dir="2700000" algn="br">
                <a:srgbClr val="000000"/>
              </a:outerShdw>
            </a:effectLst>
          </c:spPr>
          <c:invertIfNegative val="0"/>
          <c:dLbls>
            <c:dLbl>
              <c:idx val="0"/>
              <c:layout>
                <c:manualLayout>
                  <c:x val="0.25756013242089298"/>
                  <c:y val="-0.29611370761718198"/>
                </c:manualLayout>
              </c:layout>
              <c:numFmt formatCode="#,##0" sourceLinked="0"/>
              <c:spPr>
                <a:noFill/>
                <a:ln w="25400">
                  <a:noFill/>
                </a:ln>
              </c:spPr>
              <c:txPr>
                <a:bodyPr/>
                <a:lstStyle/>
                <a:p>
                  <a:pPr algn="ctr" rtl="1">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57A2-4CDC-8CE0-0E085F052E53}"/>
                </c:ext>
              </c:extLst>
            </c:dLbl>
            <c:numFmt formatCode="#,##0" sourceLinked="0"/>
            <c:spPr>
              <a:noFill/>
              <a:ln w="25400">
                <a:noFill/>
              </a:ln>
            </c:spPr>
            <c:txPr>
              <a:bodyPr wrap="square" lIns="38100" tIns="19050" rIns="38100" bIns="19050" anchor="ctr">
                <a:spAutoFit/>
              </a:bodyPr>
              <a:lstStyle/>
              <a:p>
                <a:pPr algn="ctr" rtl="1">
                  <a:defRPr sz="1000" b="0" i="0" u="none" strike="noStrike" baseline="0">
                    <a:solidFill>
                      <a:srgbClr val="000000"/>
                    </a:solidFill>
                    <a:latin typeface="Calibri"/>
                    <a:ea typeface="Calibri"/>
                    <a:cs typeface="Calibri"/>
                  </a:defRPr>
                </a:pPr>
                <a:endParaRPr lang="en-US"/>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Ref>
              <c:f>'Data Entry'!$C$82</c:f>
              <c:numCache>
                <c:formatCode>General</c:formatCode>
                <c:ptCount val="1"/>
                <c:pt idx="0">
                  <c:v>16</c:v>
                </c:pt>
              </c:numCache>
            </c:numRef>
          </c:val>
          <c:extLst>
            <c:ext xmlns:c16="http://schemas.microsoft.com/office/drawing/2014/chart" uri="{C3380CC4-5D6E-409C-BE32-E72D297353CC}">
              <c16:uniqueId val="{00000001-57A2-4CDC-8CE0-0E085F052E53}"/>
            </c:ext>
          </c:extLst>
        </c:ser>
        <c:dLbls>
          <c:showLegendKey val="0"/>
          <c:showVal val="0"/>
          <c:showCatName val="0"/>
          <c:showSerName val="0"/>
          <c:showPercent val="0"/>
          <c:showBubbleSize val="0"/>
        </c:dLbls>
        <c:gapWidth val="79"/>
        <c:overlap val="100"/>
        <c:axId val="-671913024"/>
        <c:axId val="-671919008"/>
      </c:barChart>
      <c:catAx>
        <c:axId val="-671913024"/>
        <c:scaling>
          <c:orientation val="minMax"/>
        </c:scaling>
        <c:delete val="1"/>
        <c:axPos val="l"/>
        <c:majorTickMark val="out"/>
        <c:minorTickMark val="none"/>
        <c:tickLblPos val="nextTo"/>
        <c:crossAx val="-671919008"/>
        <c:crosses val="autoZero"/>
        <c:auto val="1"/>
        <c:lblAlgn val="ctr"/>
        <c:lblOffset val="100"/>
        <c:noMultiLvlLbl val="0"/>
      </c:catAx>
      <c:valAx>
        <c:axId val="-671919008"/>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671913024"/>
        <c:crosses val="max"/>
        <c:crossBetween val="between"/>
      </c:valAx>
      <c:spPr>
        <a:solidFill>
          <a:srgbClr val="FFFFFF"/>
        </a:solidFill>
        <a:ln w="25400">
          <a:noFill/>
        </a:ln>
      </c:spPr>
    </c:plotArea>
    <c:legend>
      <c:legendPos val="r"/>
      <c:legendEntry>
        <c:idx val="0"/>
        <c:delete val="1"/>
      </c:legendEntry>
      <c:layout>
        <c:manualLayout>
          <c:xMode val="edge"/>
          <c:yMode val="edge"/>
          <c:x val="0.40883930803548402"/>
          <c:y val="0.79490841418378799"/>
          <c:w val="0.16107888420406999"/>
          <c:h val="0.145636591193537"/>
        </c:manualLayout>
      </c:layout>
      <c:overlay val="0"/>
      <c:spPr>
        <a:noFill/>
        <a:ln w="25400">
          <a:noFill/>
        </a:ln>
      </c:spPr>
      <c:txPr>
        <a:bodyPr/>
        <a:lstStyle/>
        <a:p>
          <a:pPr>
            <a:defRPr sz="520"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938215102974794E-2"/>
          <c:y val="0.13661275087917801"/>
          <c:w val="0.89702517162471396"/>
          <c:h val="0.60656061390354898"/>
        </c:manualLayout>
      </c:layout>
      <c:barChart>
        <c:barDir val="col"/>
        <c:grouping val="clustered"/>
        <c:varyColors val="0"/>
        <c:ser>
          <c:idx val="0"/>
          <c:order val="0"/>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Entry'!$C$87</c:f>
              <c:numCache>
                <c:formatCode>General</c:formatCode>
                <c:ptCount val="1"/>
                <c:pt idx="0">
                  <c:v>7</c:v>
                </c:pt>
              </c:numCache>
            </c:numRef>
          </c:val>
          <c:extLst>
            <c:ext xmlns:c16="http://schemas.microsoft.com/office/drawing/2014/chart" uri="{C3380CC4-5D6E-409C-BE32-E72D297353CC}">
              <c16:uniqueId val="{00000000-E986-4D8E-B9A2-30C0E039D4A6}"/>
            </c:ext>
          </c:extLst>
        </c:ser>
        <c:dLbls>
          <c:showLegendKey val="0"/>
          <c:showVal val="0"/>
          <c:showCatName val="0"/>
          <c:showSerName val="0"/>
          <c:showPercent val="0"/>
          <c:showBubbleSize val="0"/>
        </c:dLbls>
        <c:gapWidth val="150"/>
        <c:overlap val="-20"/>
        <c:axId val="-671921728"/>
        <c:axId val="-671924992"/>
      </c:barChart>
      <c:catAx>
        <c:axId val="-671921728"/>
        <c:scaling>
          <c:orientation val="minMax"/>
        </c:scaling>
        <c:delete val="0"/>
        <c:axPos val="b"/>
        <c:majorTickMark val="none"/>
        <c:minorTickMark val="none"/>
        <c:tickLblPos val="none"/>
        <c:spPr>
          <a:ln w="3175">
            <a:solidFill>
              <a:srgbClr val="000000"/>
            </a:solidFill>
            <a:prstDash val="solid"/>
          </a:ln>
        </c:spPr>
        <c:crossAx val="-671924992"/>
        <c:crosses val="autoZero"/>
        <c:auto val="0"/>
        <c:lblAlgn val="ctr"/>
        <c:lblOffset val="100"/>
        <c:tickMarkSkip val="1"/>
        <c:noMultiLvlLbl val="0"/>
      </c:catAx>
      <c:valAx>
        <c:axId val="-67192499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71921728"/>
        <c:crosses val="autoZero"/>
        <c:crossBetween val="between"/>
      </c:valAx>
      <c:spPr>
        <a:noFill/>
        <a:ln w="25400">
          <a:noFill/>
        </a:ln>
      </c:spPr>
    </c:plotArea>
    <c:legend>
      <c:legendPos val="r"/>
      <c:layout>
        <c:manualLayout>
          <c:xMode val="edge"/>
          <c:yMode val="edge"/>
          <c:x val="0.13624422309193199"/>
          <c:y val="0.81754829695630504"/>
          <c:w val="0.73299392023459498"/>
          <c:h val="9.4893998753856901E-2"/>
        </c:manualLayout>
      </c:layout>
      <c:overlay val="0"/>
      <c:spPr>
        <a:noFill/>
        <a:ln w="25400">
          <a:noFill/>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299771167048101"/>
          <c:y val="5.6000000000000001E-2"/>
          <c:w val="0.54462242562929097"/>
          <c:h val="0.56000000000000005"/>
        </c:manualLayout>
      </c:layout>
      <c:barChart>
        <c:barDir val="bar"/>
        <c:grouping val="percentStacked"/>
        <c:varyColors val="0"/>
        <c:ser>
          <c:idx val="0"/>
          <c:order val="0"/>
          <c:tx>
            <c:strRef>
              <c:f>'Data Entry'!$D$74</c:f>
              <c:strCache>
                <c:ptCount val="1"/>
                <c:pt idx="0">
                  <c:v>Fulfilled</c:v>
                </c:pt>
              </c:strCache>
            </c:strRef>
          </c:tx>
          <c:spPr>
            <a:solidFill>
              <a:srgbClr val="99CC00"/>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Entry'!$B$75:$B$76</c:f>
              <c:strCache>
                <c:ptCount val="1"/>
                <c:pt idx="0">
                  <c:v>NFM Grant Requirements</c:v>
                </c:pt>
              </c:strCache>
            </c:strRef>
          </c:cat>
          <c:val>
            <c:numRef>
              <c:f>'Data Entry'!$D$75:$D$76</c:f>
              <c:numCache>
                <c:formatCode>0</c:formatCode>
                <c:ptCount val="2"/>
                <c:pt idx="0">
                  <c:v>8</c:v>
                </c:pt>
              </c:numCache>
            </c:numRef>
          </c:val>
          <c:extLst>
            <c:ext xmlns:c16="http://schemas.microsoft.com/office/drawing/2014/chart" uri="{C3380CC4-5D6E-409C-BE32-E72D297353CC}">
              <c16:uniqueId val="{00000000-7D77-426D-8180-9FF2722F8EBA}"/>
            </c:ext>
          </c:extLst>
        </c:ser>
        <c:ser>
          <c:idx val="1"/>
          <c:order val="1"/>
          <c:tx>
            <c:strRef>
              <c:f>'Data Entry'!$E$74</c:f>
              <c:strCache>
                <c:ptCount val="1"/>
                <c:pt idx="0">
                  <c:v>Not fulfilled, but within deadline</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Entry'!$B$75:$B$76</c:f>
              <c:strCache>
                <c:ptCount val="1"/>
                <c:pt idx="0">
                  <c:v>NFM Grant Requirements</c:v>
                </c:pt>
              </c:strCache>
            </c:strRef>
          </c:cat>
          <c:val>
            <c:numRef>
              <c:f>'Data Entry'!$E$75:$E$76</c:f>
              <c:numCache>
                <c:formatCode>0</c:formatCode>
                <c:ptCount val="2"/>
                <c:pt idx="0">
                  <c:v>0</c:v>
                </c:pt>
              </c:numCache>
            </c:numRef>
          </c:val>
          <c:extLst>
            <c:ext xmlns:c16="http://schemas.microsoft.com/office/drawing/2014/chart" uri="{C3380CC4-5D6E-409C-BE32-E72D297353CC}">
              <c16:uniqueId val="{00000001-7D77-426D-8180-9FF2722F8EBA}"/>
            </c:ext>
          </c:extLst>
        </c:ser>
        <c:ser>
          <c:idx val="2"/>
          <c:order val="2"/>
          <c:tx>
            <c:strRef>
              <c:f>'Data Entry'!$F$74</c:f>
              <c:strCache>
                <c:ptCount val="1"/>
                <c:pt idx="0">
                  <c:v>Not fulfilled, and past the deadline</c:v>
                </c:pt>
              </c:strCache>
            </c:strRef>
          </c:tx>
          <c:spPr>
            <a:solidFill>
              <a:srgbClr val="FF5050"/>
            </a:solidFill>
            <a:ln w="12700">
              <a:solidFill>
                <a:srgbClr val="000000"/>
              </a:solidFill>
              <a:prstDash val="solid"/>
            </a:ln>
            <a:effectLst>
              <a:outerShdw dist="35921" dir="2700000" algn="br">
                <a:srgbClr val="000000"/>
              </a:outerShdw>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2-7D77-426D-8180-9FF2722F8EBA}"/>
                </c:ext>
              </c:extLst>
            </c:dLbl>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Entry'!$B$75:$B$76</c:f>
              <c:strCache>
                <c:ptCount val="1"/>
                <c:pt idx="0">
                  <c:v>NFM Grant Requirements</c:v>
                </c:pt>
              </c:strCache>
            </c:strRef>
          </c:cat>
          <c:val>
            <c:numRef>
              <c:f>'Data Entry'!$F$75:$F$76</c:f>
              <c:numCache>
                <c:formatCode>0</c:formatCode>
                <c:ptCount val="2"/>
                <c:pt idx="0">
                  <c:v>0</c:v>
                </c:pt>
              </c:numCache>
            </c:numRef>
          </c:val>
          <c:extLst>
            <c:ext xmlns:c16="http://schemas.microsoft.com/office/drawing/2014/chart" uri="{C3380CC4-5D6E-409C-BE32-E72D297353CC}">
              <c16:uniqueId val="{00000003-7D77-426D-8180-9FF2722F8EBA}"/>
            </c:ext>
          </c:extLst>
        </c:ser>
        <c:dLbls>
          <c:showLegendKey val="0"/>
          <c:showVal val="0"/>
          <c:showCatName val="0"/>
          <c:showSerName val="0"/>
          <c:showPercent val="0"/>
          <c:showBubbleSize val="0"/>
        </c:dLbls>
        <c:gapWidth val="70"/>
        <c:overlap val="100"/>
        <c:axId val="-671911936"/>
        <c:axId val="-671924448"/>
      </c:barChart>
      <c:catAx>
        <c:axId val="-67191193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71924448"/>
        <c:crosses val="autoZero"/>
        <c:auto val="1"/>
        <c:lblAlgn val="ctr"/>
        <c:lblOffset val="100"/>
        <c:tickLblSkip val="1"/>
        <c:tickMarkSkip val="1"/>
        <c:noMultiLvlLbl val="0"/>
      </c:catAx>
      <c:valAx>
        <c:axId val="-671924448"/>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71911936"/>
        <c:crosses val="autoZero"/>
        <c:crossBetween val="between"/>
      </c:valAx>
      <c:spPr>
        <a:noFill/>
        <a:ln w="25400">
          <a:noFill/>
        </a:ln>
      </c:spPr>
    </c:plotArea>
    <c:legend>
      <c:legendPos val="r"/>
      <c:layout>
        <c:manualLayout>
          <c:xMode val="edge"/>
          <c:yMode val="edge"/>
          <c:x val="9.5648707948717701E-2"/>
          <c:y val="0.80650032540053695"/>
          <c:w val="0.82183495846695798"/>
          <c:h val="0.14894214203352901"/>
        </c:manualLayout>
      </c:layout>
      <c:overlay val="0"/>
      <c:spPr>
        <a:noFill/>
        <a:ln w="25400">
          <a:noFill/>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21472435519785901"/>
          <c:y val="0.121547289222444"/>
          <c:w val="0.60327318841303301"/>
          <c:h val="0.55248767828383505"/>
        </c:manualLayout>
      </c:layout>
      <c:barChart>
        <c:barDir val="bar"/>
        <c:grouping val="percentStacked"/>
        <c:varyColors val="0"/>
        <c:ser>
          <c:idx val="1"/>
          <c:order val="0"/>
          <c:tx>
            <c:strRef>
              <c:f>'Data Entry'!$D$91</c:f>
              <c:strCache>
                <c:ptCount val="1"/>
                <c:pt idx="0">
                  <c:v># Received</c:v>
                </c:pt>
              </c:strCache>
            </c:strRef>
          </c:tx>
          <c:spPr>
            <a:solidFill>
              <a:srgbClr val="99CC00"/>
            </a:solidFill>
            <a:ln w="25400">
              <a:noFill/>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Entry'!$B$92:$B$93</c:f>
              <c:strCache>
                <c:ptCount val="2"/>
                <c:pt idx="0">
                  <c:v>SSR to SR</c:v>
                </c:pt>
                <c:pt idx="1">
                  <c:v>SRs to PR</c:v>
                </c:pt>
              </c:strCache>
            </c:strRef>
          </c:cat>
          <c:val>
            <c:numRef>
              <c:f>'Data Entry'!$D$92:$D$93</c:f>
              <c:numCache>
                <c:formatCode>0</c:formatCode>
                <c:ptCount val="2"/>
                <c:pt idx="0">
                  <c:v>165</c:v>
                </c:pt>
                <c:pt idx="1">
                  <c:v>21</c:v>
                </c:pt>
              </c:numCache>
            </c:numRef>
          </c:val>
          <c:extLst>
            <c:ext xmlns:c16="http://schemas.microsoft.com/office/drawing/2014/chart" uri="{C3380CC4-5D6E-409C-BE32-E72D297353CC}">
              <c16:uniqueId val="{00000000-8659-4553-BB7E-880CD8E77304}"/>
            </c:ext>
          </c:extLst>
        </c:ser>
        <c:ser>
          <c:idx val="2"/>
          <c:order val="1"/>
          <c:tx>
            <c:strRef>
              <c:f>'Data Entry'!$E$91</c:f>
              <c:strCache>
                <c:ptCount val="1"/>
                <c:pt idx="0">
                  <c:v>Pending</c:v>
                </c:pt>
              </c:strCache>
            </c:strRef>
          </c:tx>
          <c:spPr>
            <a:solidFill>
              <a:srgbClr val="FF5050"/>
            </a:solidFill>
            <a:ln w="25400">
              <a:noFill/>
            </a:ln>
            <a:effectLst>
              <a:outerShdw dist="35921" dir="2700000" algn="br">
                <a:srgbClr val="000000"/>
              </a:outerShdw>
            </a:effectLst>
          </c:spPr>
          <c:invertIfNegative val="0"/>
          <c:cat>
            <c:strRef>
              <c:f>'Data Entry'!$B$92:$B$93</c:f>
              <c:strCache>
                <c:ptCount val="2"/>
                <c:pt idx="0">
                  <c:v>SSR to SR</c:v>
                </c:pt>
                <c:pt idx="1">
                  <c:v>SRs to PR</c:v>
                </c:pt>
              </c:strCache>
            </c:strRef>
          </c:cat>
          <c:val>
            <c:numRef>
              <c:f>'Data Entry'!$E$92:$E$93</c:f>
              <c:numCache>
                <c:formatCode>General</c:formatCode>
                <c:ptCount val="2"/>
                <c:pt idx="0" formatCode="0">
                  <c:v>0</c:v>
                </c:pt>
                <c:pt idx="1">
                  <c:v>0</c:v>
                </c:pt>
              </c:numCache>
            </c:numRef>
          </c:val>
          <c:extLst>
            <c:ext xmlns:c16="http://schemas.microsoft.com/office/drawing/2014/chart" uri="{C3380CC4-5D6E-409C-BE32-E72D297353CC}">
              <c16:uniqueId val="{00000001-8659-4553-BB7E-880CD8E77304}"/>
            </c:ext>
          </c:extLst>
        </c:ser>
        <c:dLbls>
          <c:showLegendKey val="0"/>
          <c:showVal val="0"/>
          <c:showCatName val="0"/>
          <c:showSerName val="0"/>
          <c:showPercent val="0"/>
          <c:showBubbleSize val="0"/>
        </c:dLbls>
        <c:gapWidth val="101"/>
        <c:overlap val="100"/>
        <c:axId val="-671911392"/>
        <c:axId val="-671915744"/>
      </c:barChart>
      <c:catAx>
        <c:axId val="-67191139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671915744"/>
        <c:crosses val="autoZero"/>
        <c:auto val="1"/>
        <c:lblAlgn val="ctr"/>
        <c:lblOffset val="100"/>
        <c:noMultiLvlLbl val="0"/>
      </c:catAx>
      <c:valAx>
        <c:axId val="-671915744"/>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671911392"/>
        <c:crosses val="max"/>
        <c:crossBetween val="between"/>
      </c:valAx>
      <c:spPr>
        <a:solidFill>
          <a:srgbClr val="FFFFFF"/>
        </a:solidFill>
        <a:ln w="25400">
          <a:noFill/>
        </a:ln>
      </c:spPr>
    </c:plotArea>
    <c:legend>
      <c:legendPos val="r"/>
      <c:legendEntry>
        <c:idx val="0"/>
        <c:txPr>
          <a:bodyPr/>
          <a:lstStyle/>
          <a:p>
            <a:pPr>
              <a:defRPr sz="475" b="0" i="0" u="none" strike="noStrike" baseline="0">
                <a:solidFill>
                  <a:srgbClr val="000000"/>
                </a:solidFill>
                <a:latin typeface="Calibri"/>
                <a:ea typeface="Calibri"/>
                <a:cs typeface="Calibri"/>
              </a:defRPr>
            </a:pPr>
            <a:endParaRPr lang="en-US"/>
          </a:p>
        </c:txPr>
      </c:legendEntry>
      <c:legendEntry>
        <c:idx val="1"/>
        <c:txPr>
          <a:bodyPr/>
          <a:lstStyle/>
          <a:p>
            <a:pPr>
              <a:defRPr sz="475" b="0" i="0" u="none" strike="noStrike" baseline="0">
                <a:solidFill>
                  <a:srgbClr val="000000"/>
                </a:solidFill>
                <a:latin typeface="Calibri"/>
                <a:ea typeface="Calibri"/>
                <a:cs typeface="Calibri"/>
              </a:defRPr>
            </a:pPr>
            <a:endParaRPr lang="en-US"/>
          </a:p>
        </c:txPr>
      </c:legendEntry>
      <c:layout>
        <c:manualLayout>
          <c:xMode val="edge"/>
          <c:yMode val="edge"/>
          <c:x val="0.35521474224698901"/>
          <c:y val="0.78679233618357303"/>
          <c:w val="0.30091439948311799"/>
          <c:h val="0.13235758926452601"/>
        </c:manualLayout>
      </c:layout>
      <c:overlay val="0"/>
      <c:spPr>
        <a:noFill/>
        <a:ln w="25400">
          <a:noFill/>
        </a:ln>
      </c:spPr>
      <c:txPr>
        <a:bodyPr/>
        <a:lstStyle/>
        <a:p>
          <a:pPr>
            <a:defRPr sz="475"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71679861629001"/>
          <c:y val="0.10989010989011"/>
          <c:w val="0.81094724363350201"/>
          <c:h val="0.54395604395604402"/>
        </c:manualLayout>
      </c:layout>
      <c:lineChart>
        <c:grouping val="standard"/>
        <c:varyColors val="0"/>
        <c:ser>
          <c:idx val="0"/>
          <c:order val="0"/>
          <c:tx>
            <c:strRef>
              <c:f>'Data Entry'!$B$101</c:f>
              <c:strCache>
                <c:ptCount val="1"/>
                <c:pt idx="0">
                  <c:v>Budget Approved cumulative*</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'Data Entry'!$C$101:$N$101</c:f>
              <c:numCache>
                <c:formatCode>#,##0</c:formatCode>
                <c:ptCount val="12"/>
                <c:pt idx="0">
                  <c:v>621513.13962743431</c:v>
                </c:pt>
                <c:pt idx="1">
                  <c:v>894948.3368873836</c:v>
                </c:pt>
                <c:pt idx="2">
                  <c:v>951421.42044623208</c:v>
                </c:pt>
                <c:pt idx="3">
                  <c:v>2168363.0973183746</c:v>
                </c:pt>
                <c:pt idx="4">
                  <c:v>2286006.2399684167</c:v>
                </c:pt>
                <c:pt idx="5">
                  <c:v>2777337.8103684168</c:v>
                </c:pt>
                <c:pt idx="6">
                  <c:v>2933320.8094779006</c:v>
                </c:pt>
                <c:pt idx="7">
                  <c:v>3384750.8848053254</c:v>
                </c:pt>
                <c:pt idx="8">
                  <c:v>3828142.1613331926</c:v>
                </c:pt>
                <c:pt idx="9">
                  <c:v>4318455.4938331926</c:v>
                </c:pt>
                <c:pt idx="10">
                  <c:v>4433829.3846037257</c:v>
                </c:pt>
                <c:pt idx="11">
                  <c:v>4909342.1605901774</c:v>
                </c:pt>
              </c:numCache>
            </c:numRef>
          </c:val>
          <c:smooth val="0"/>
          <c:extLst>
            <c:ext xmlns:c16="http://schemas.microsoft.com/office/drawing/2014/chart" uri="{C3380CC4-5D6E-409C-BE32-E72D297353CC}">
              <c16:uniqueId val="{00000000-842A-4717-9F14-C1424E821776}"/>
            </c:ext>
          </c:extLst>
        </c:ser>
        <c:ser>
          <c:idx val="1"/>
          <c:order val="1"/>
          <c:tx>
            <c:strRef>
              <c:f>'Data Entry'!$B$102</c:f>
              <c:strCache>
                <c:ptCount val="1"/>
                <c:pt idx="0">
                  <c:v>Obligations cumulative</c:v>
                </c:pt>
              </c:strCache>
            </c:strRef>
          </c:tx>
          <c:spPr>
            <a:ln w="12700">
              <a:solidFill>
                <a:srgbClr val="3366FF"/>
              </a:solidFill>
              <a:prstDash val="solid"/>
            </a:ln>
          </c:spPr>
          <c:marker>
            <c:symbol val="square"/>
            <c:size val="5"/>
            <c:spPr>
              <a:solidFill>
                <a:srgbClr val="99CCFF"/>
              </a:solidFill>
              <a:ln>
                <a:solidFill>
                  <a:srgbClr val="000080"/>
                </a:solidFill>
                <a:prstDash val="solid"/>
              </a:ln>
            </c:spPr>
          </c:marker>
          <c:val>
            <c:numRef>
              <c:f>'Data Entry'!$C$102:$N$102</c:f>
              <c:numCache>
                <c:formatCode>#,##0</c:formatCode>
                <c:ptCount val="12"/>
                <c:pt idx="0">
                  <c:v>19935.614027557196</c:v>
                </c:pt>
                <c:pt idx="1">
                  <c:v>1245108.6140275572</c:v>
                </c:pt>
                <c:pt idx="2">
                  <c:v>1470070.521603412</c:v>
                </c:pt>
                <c:pt idx="3">
                  <c:v>2069658.8399816109</c:v>
                </c:pt>
                <c:pt idx="4">
                  <c:v>2649687.9109227825</c:v>
                </c:pt>
                <c:pt idx="5">
                  <c:v>2781587.6509227827</c:v>
                </c:pt>
                <c:pt idx="6">
                  <c:v>2812179.3109227829</c:v>
                </c:pt>
                <c:pt idx="7">
                  <c:v>2855050.2909227828</c:v>
                </c:pt>
                <c:pt idx="8">
                  <c:v>3346557.6902574161</c:v>
                </c:pt>
                <c:pt idx="9">
                  <c:v>3818511.6902574161</c:v>
                </c:pt>
                <c:pt idx="10">
                  <c:v>4248501.5360625731</c:v>
                </c:pt>
                <c:pt idx="11">
                  <c:v>4941563.5360625731</c:v>
                </c:pt>
              </c:numCache>
            </c:numRef>
          </c:val>
          <c:smooth val="0"/>
          <c:extLst>
            <c:ext xmlns:c16="http://schemas.microsoft.com/office/drawing/2014/chart" uri="{C3380CC4-5D6E-409C-BE32-E72D297353CC}">
              <c16:uniqueId val="{00000001-842A-4717-9F14-C1424E821776}"/>
            </c:ext>
          </c:extLst>
        </c:ser>
        <c:ser>
          <c:idx val="2"/>
          <c:order val="2"/>
          <c:tx>
            <c:strRef>
              <c:f>'Data Entry'!$B$103</c:f>
              <c:strCache>
                <c:ptCount val="1"/>
                <c:pt idx="0">
                  <c:v>Expenditures cumulative</c:v>
                </c:pt>
              </c:strCache>
            </c:strRef>
          </c:tx>
          <c:spPr>
            <a:ln w="25400">
              <a:solidFill>
                <a:srgbClr val="FFCC99"/>
              </a:solidFill>
              <a:prstDash val="solid"/>
            </a:ln>
          </c:spPr>
          <c:marker>
            <c:symbol val="triangle"/>
            <c:size val="5"/>
            <c:spPr>
              <a:solidFill>
                <a:srgbClr val="FFCC99"/>
              </a:solidFill>
              <a:ln>
                <a:solidFill>
                  <a:srgbClr val="FF6600"/>
                </a:solidFill>
                <a:prstDash val="solid"/>
              </a:ln>
            </c:spPr>
          </c:marker>
          <c:val>
            <c:numRef>
              <c:f>'Data Entry'!$C$103:$N$103</c:f>
              <c:numCache>
                <c:formatCode>#,##0</c:formatCode>
                <c:ptCount val="12"/>
                <c:pt idx="0">
                  <c:v>579569.05894063821</c:v>
                </c:pt>
                <c:pt idx="1">
                  <c:v>790694.85894063814</c:v>
                </c:pt>
                <c:pt idx="2">
                  <c:v>1208639.8589406381</c:v>
                </c:pt>
                <c:pt idx="3">
                  <c:v>1870218.8589406381</c:v>
                </c:pt>
                <c:pt idx="4">
                  <c:v>2122543.8589406381</c:v>
                </c:pt>
                <c:pt idx="5">
                  <c:v>2765047.8589406381</c:v>
                </c:pt>
                <c:pt idx="6">
                  <c:v>2917854.8589406381</c:v>
                </c:pt>
                <c:pt idx="7">
                  <c:v>3363349.8589406381</c:v>
                </c:pt>
                <c:pt idx="8">
                  <c:v>3533185.8589406381</c:v>
                </c:pt>
                <c:pt idx="9">
                  <c:v>4103192.8589406381</c:v>
                </c:pt>
                <c:pt idx="10">
                  <c:v>4192692.8589406381</c:v>
                </c:pt>
                <c:pt idx="11">
                  <c:v>4573329.8589406386</c:v>
                </c:pt>
              </c:numCache>
            </c:numRef>
          </c:val>
          <c:smooth val="0"/>
          <c:extLst>
            <c:ext xmlns:c16="http://schemas.microsoft.com/office/drawing/2014/chart" uri="{C3380CC4-5D6E-409C-BE32-E72D297353CC}">
              <c16:uniqueId val="{00000002-842A-4717-9F14-C1424E821776}"/>
            </c:ext>
          </c:extLst>
        </c:ser>
        <c:dLbls>
          <c:showLegendKey val="0"/>
          <c:showVal val="0"/>
          <c:showCatName val="0"/>
          <c:showSerName val="0"/>
          <c:showPercent val="0"/>
          <c:showBubbleSize val="0"/>
        </c:dLbls>
        <c:marker val="1"/>
        <c:smooth val="0"/>
        <c:axId val="-954039888"/>
        <c:axId val="-954035536"/>
      </c:lineChart>
      <c:catAx>
        <c:axId val="-9540398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954035536"/>
        <c:crosses val="autoZero"/>
        <c:auto val="1"/>
        <c:lblAlgn val="ctr"/>
        <c:lblOffset val="100"/>
        <c:tickLblSkip val="1"/>
        <c:tickMarkSkip val="1"/>
        <c:noMultiLvlLbl val="0"/>
      </c:catAx>
      <c:valAx>
        <c:axId val="-954035536"/>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425" b="0" i="0" u="none" strike="noStrike" baseline="0">
                <a:solidFill>
                  <a:srgbClr val="000000"/>
                </a:solidFill>
                <a:latin typeface="Arial"/>
                <a:ea typeface="Arial"/>
                <a:cs typeface="Arial"/>
              </a:defRPr>
            </a:pPr>
            <a:endParaRPr lang="en-US"/>
          </a:p>
        </c:txPr>
        <c:crossAx val="-954039888"/>
        <c:crosses val="autoZero"/>
        <c:crossBetween val="between"/>
      </c:valAx>
      <c:spPr>
        <a:solidFill>
          <a:srgbClr val="FFFFFF"/>
        </a:solidFill>
        <a:ln w="12700">
          <a:solidFill>
            <a:srgbClr val="808080"/>
          </a:solidFill>
          <a:prstDash val="solid"/>
        </a:ln>
      </c:spPr>
    </c:plotArea>
    <c:legend>
      <c:legendPos val="r"/>
      <c:layout>
        <c:manualLayout>
          <c:xMode val="edge"/>
          <c:yMode val="edge"/>
          <c:x val="0.118500846382325"/>
          <c:y val="0.64628238564101104"/>
          <c:w val="0.80349354376308002"/>
          <c:h val="0.156468367049929"/>
        </c:manualLayout>
      </c:layout>
      <c:overlay val="0"/>
      <c:spPr>
        <a:noFill/>
        <a:ln w="25400">
          <a:noFill/>
        </a:ln>
      </c:spPr>
      <c:txPr>
        <a:bodyPr/>
        <a:lstStyle/>
        <a:p>
          <a:pPr>
            <a:defRPr sz="42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Entry'!$G$123</c:f>
              <c:strCache>
                <c:ptCount val="1"/>
                <c:pt idx="0">
                  <c:v>Target</c:v>
                </c:pt>
              </c:strCache>
            </c:strRef>
          </c:tx>
          <c:spPr>
            <a:solidFill>
              <a:srgbClr val="0066CC"/>
            </a:solidFill>
            <a:ln w="25400">
              <a:noFill/>
            </a:ln>
          </c:spPr>
          <c:invertIfNegative val="0"/>
          <c:cat>
            <c:strRef>
              <c:f>'Data Entry'!$H$119:$S$119</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Entry'!$H$123:$S$123</c:f>
              <c:numCache>
                <c:formatCode>_(* #,##0_);_(* \(#,##0\);_(* "-"??_);_(@_)</c:formatCode>
                <c:ptCount val="12"/>
                <c:pt idx="0">
                  <c:v>4250</c:v>
                </c:pt>
                <c:pt idx="1">
                  <c:v>4250</c:v>
                </c:pt>
                <c:pt idx="2" formatCode="#,##0">
                  <c:v>1487.5</c:v>
                </c:pt>
                <c:pt idx="3" formatCode="#,##0">
                  <c:v>2975</c:v>
                </c:pt>
                <c:pt idx="4" formatCode="#,##0">
                  <c:v>4462.5</c:v>
                </c:pt>
                <c:pt idx="5" formatCode="#,##0">
                  <c:v>5950</c:v>
                </c:pt>
                <c:pt idx="6" formatCode="#,##0">
                  <c:v>2125</c:v>
                </c:pt>
                <c:pt idx="7" formatCode="#,##0">
                  <c:v>4250</c:v>
                </c:pt>
                <c:pt idx="8" formatCode="#,##0">
                  <c:v>6375</c:v>
                </c:pt>
                <c:pt idx="9" formatCode="#,##0">
                  <c:v>8500</c:v>
                </c:pt>
                <c:pt idx="10" formatCode="#,##0">
                  <c:v>2081.25</c:v>
                </c:pt>
                <c:pt idx="11" formatCode="#,##0">
                  <c:v>4162.5</c:v>
                </c:pt>
              </c:numCache>
            </c:numRef>
          </c:val>
          <c:extLst>
            <c:ext xmlns:c16="http://schemas.microsoft.com/office/drawing/2014/chart" uri="{C3380CC4-5D6E-409C-BE32-E72D297353CC}">
              <c16:uniqueId val="{00000000-28ED-4437-92EF-FD6AED73C63F}"/>
            </c:ext>
          </c:extLst>
        </c:ser>
        <c:ser>
          <c:idx val="1"/>
          <c:order val="1"/>
          <c:tx>
            <c:strRef>
              <c:f>'Data Entry'!$G$124</c:f>
              <c:strCache>
                <c:ptCount val="1"/>
                <c:pt idx="0">
                  <c:v>Achieved </c:v>
                </c:pt>
              </c:strCache>
            </c:strRef>
          </c:tx>
          <c:spPr>
            <a:solidFill>
              <a:srgbClr val="00CCFF"/>
            </a:solidFill>
            <a:ln w="12700">
              <a:solidFill>
                <a:srgbClr val="000000"/>
              </a:solidFill>
              <a:prstDash val="solid"/>
            </a:ln>
          </c:spPr>
          <c:invertIfNegative val="0"/>
          <c:cat>
            <c:strRef>
              <c:f>'Data Entry'!$H$119:$S$119</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Entry'!$H$124:$S$124</c:f>
              <c:numCache>
                <c:formatCode>_(* #,##0_);_(* \(#,##0\);_(* "-"??_);_(@_)</c:formatCode>
                <c:ptCount val="12"/>
                <c:pt idx="0">
                  <c:v>3167</c:v>
                </c:pt>
                <c:pt idx="1">
                  <c:v>3826</c:v>
                </c:pt>
                <c:pt idx="2" formatCode="#,##0">
                  <c:v>1383</c:v>
                </c:pt>
                <c:pt idx="3" formatCode="#,##0">
                  <c:v>2314</c:v>
                </c:pt>
                <c:pt idx="4" formatCode="#,##0">
                  <c:v>3126</c:v>
                </c:pt>
                <c:pt idx="5" formatCode="#,##0">
                  <c:v>3846</c:v>
                </c:pt>
                <c:pt idx="6" formatCode="#,##0">
                  <c:v>1857</c:v>
                </c:pt>
                <c:pt idx="7" formatCode="#,##0">
                  <c:v>3464</c:v>
                </c:pt>
                <c:pt idx="8" formatCode="#,##0">
                  <c:v>5523</c:v>
                </c:pt>
                <c:pt idx="9" formatCode="#,##0">
                  <c:v>7104</c:v>
                </c:pt>
                <c:pt idx="10" formatCode="#,##0">
                  <c:v>2404</c:v>
                </c:pt>
                <c:pt idx="11" formatCode="#,##0">
                  <c:v>4847</c:v>
                </c:pt>
              </c:numCache>
            </c:numRef>
          </c:val>
          <c:extLst>
            <c:ext xmlns:c16="http://schemas.microsoft.com/office/drawing/2014/chart" uri="{C3380CC4-5D6E-409C-BE32-E72D297353CC}">
              <c16:uniqueId val="{00000001-28ED-4437-92EF-FD6AED73C63F}"/>
            </c:ext>
          </c:extLst>
        </c:ser>
        <c:dLbls>
          <c:showLegendKey val="0"/>
          <c:showVal val="0"/>
          <c:showCatName val="0"/>
          <c:showSerName val="0"/>
          <c:showPercent val="0"/>
          <c:showBubbleSize val="0"/>
        </c:dLbls>
        <c:gapWidth val="150"/>
        <c:axId val="-954027376"/>
        <c:axId val="-954037712"/>
      </c:barChart>
      <c:catAx>
        <c:axId val="-954027376"/>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954037712"/>
        <c:crosses val="autoZero"/>
        <c:auto val="1"/>
        <c:lblAlgn val="ctr"/>
        <c:lblOffset val="100"/>
        <c:tickLblSkip val="1"/>
        <c:tickMarkSkip val="1"/>
        <c:noMultiLvlLbl val="0"/>
      </c:catAx>
      <c:valAx>
        <c:axId val="-954037712"/>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954027376"/>
        <c:crosses val="autoZero"/>
        <c:crossBetween val="between"/>
      </c:valAx>
      <c:spPr>
        <a:noFill/>
        <a:ln w="25400">
          <a:noFill/>
        </a:ln>
      </c:spPr>
    </c:plotArea>
    <c:legend>
      <c:legendPos val="r"/>
      <c:layout>
        <c:manualLayout>
          <c:xMode val="edge"/>
          <c:yMode val="edge"/>
          <c:x val="0.22541678572328699"/>
          <c:y val="0.90650387761312401"/>
          <c:w val="0.50821238963068305"/>
          <c:h val="7.9139227410669505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nt Detail'!A1"/><Relationship Id="rId13" Type="http://schemas.openxmlformats.org/officeDocument/2006/relationships/image" Target="../media/image5.png"/><Relationship Id="rId3" Type="http://schemas.openxmlformats.org/officeDocument/2006/relationships/hyperlink" Target="#Finance!A1"/><Relationship Id="rId7" Type="http://schemas.openxmlformats.org/officeDocument/2006/relationships/hyperlink" Target="#Actions!A1"/><Relationship Id="rId12"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Recommendations!A1"/><Relationship Id="rId11" Type="http://schemas.openxmlformats.org/officeDocument/2006/relationships/image" Target="../media/image3.png"/><Relationship Id="rId5" Type="http://schemas.openxmlformats.org/officeDocument/2006/relationships/hyperlink" Target="#Management!A1"/><Relationship Id="rId10" Type="http://schemas.openxmlformats.org/officeDocument/2006/relationships/hyperlink" Target="#'Data Entry'!A1"/><Relationship Id="rId4" Type="http://schemas.openxmlformats.org/officeDocument/2006/relationships/hyperlink" Target="#Programmatic!A1"/><Relationship Id="rId9" Type="http://schemas.openxmlformats.org/officeDocument/2006/relationships/hyperlink" Target="#'List of Indicators'!A1"/></Relationships>
</file>

<file path=xl/drawings/_rels/drawing10.xml.rels><?xml version="1.0" encoding="UTF-8" standalone="yes"?>
<Relationships xmlns="http://schemas.openxmlformats.org/package/2006/relationships"><Relationship Id="rId1" Type="http://schemas.openxmlformats.org/officeDocument/2006/relationships/image" Target="../media/image8.jpeg"/></Relationships>
</file>

<file path=xl/drawings/_rels/drawing2.xml.rels><?xml version="1.0" encoding="UTF-8" standalone="yes"?>
<Relationships xmlns="http://schemas.openxmlformats.org/package/2006/relationships"><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http://www.crwflags.com/fotw/flags/country.html#http://www.crwflags.com/fotw/flags/country.html"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hyperlink" Target="#Menu!A1"/><Relationship Id="rId1" Type="http://schemas.openxmlformats.org/officeDocument/2006/relationships/chart" Target="../charts/chart1.xml"/><Relationship Id="rId6" Type="http://schemas.openxmlformats.org/officeDocument/2006/relationships/image" Target="../media/image7.png"/><Relationship Id="rId5" Type="http://schemas.openxmlformats.org/officeDocument/2006/relationships/chart" Target="../charts/chart3.xml"/><Relationship Id="rId4"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hyperlink" Target="#Menu!A1"/><Relationship Id="rId5" Type="http://schemas.openxmlformats.org/officeDocument/2006/relationships/chart" Target="../charts/chart8.xml"/><Relationship Id="rId4" Type="http://schemas.openxmlformats.org/officeDocument/2006/relationships/chart" Target="../charts/chart7.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hyperlink" Target="#Menu!A1"/><Relationship Id="rId1" Type="http://schemas.openxmlformats.org/officeDocument/2006/relationships/chart" Target="../charts/chart9.xml"/><Relationship Id="rId4"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hyperlink" Target="#Menu!A1"/></Relationships>
</file>

<file path=xl/drawings/_rels/drawing9.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0</xdr:col>
      <xdr:colOff>50800</xdr:colOff>
      <xdr:row>4</xdr:row>
      <xdr:rowOff>152400</xdr:rowOff>
    </xdr:from>
    <xdr:to>
      <xdr:col>11</xdr:col>
      <xdr:colOff>723900</xdr:colOff>
      <xdr:row>19</xdr:row>
      <xdr:rowOff>101600</xdr:rowOff>
    </xdr:to>
    <xdr:pic>
      <xdr:nvPicPr>
        <xdr:cNvPr id="5402930" name="Picture 2">
          <a:extLst>
            <a:ext uri="{FF2B5EF4-FFF2-40B4-BE49-F238E27FC236}">
              <a16:creationId xmlns:a16="http://schemas.microsoft.com/office/drawing/2014/main" id="{00000000-0008-0000-0000-0000327152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l="31349" t="36853" r="9531"/>
        <a:stretch>
          <a:fillRect/>
        </a:stretch>
      </xdr:blipFill>
      <xdr:spPr bwMode="auto">
        <a:xfrm>
          <a:off x="50800" y="1397000"/>
          <a:ext cx="8775700" cy="280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7</xdr:col>
      <xdr:colOff>787400</xdr:colOff>
      <xdr:row>7</xdr:row>
      <xdr:rowOff>63500</xdr:rowOff>
    </xdr:from>
    <xdr:to>
      <xdr:col>11</xdr:col>
      <xdr:colOff>622300</xdr:colOff>
      <xdr:row>18</xdr:row>
      <xdr:rowOff>152400</xdr:rowOff>
    </xdr:to>
    <xdr:pic>
      <xdr:nvPicPr>
        <xdr:cNvPr id="5402931" name="Picture 824">
          <a:extLst>
            <a:ext uri="{FF2B5EF4-FFF2-40B4-BE49-F238E27FC236}">
              <a16:creationId xmlns:a16="http://schemas.microsoft.com/office/drawing/2014/main" id="{00000000-0008-0000-0000-000033715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34100" y="1879600"/>
          <a:ext cx="2590800" cy="218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292100</xdr:colOff>
      <xdr:row>7</xdr:row>
      <xdr:rowOff>101600</xdr:rowOff>
    </xdr:from>
    <xdr:to>
      <xdr:col>7</xdr:col>
      <xdr:colOff>635000</xdr:colOff>
      <xdr:row>18</xdr:row>
      <xdr:rowOff>88900</xdr:rowOff>
    </xdr:to>
    <xdr:sp macro="" textlink="">
      <xdr:nvSpPr>
        <xdr:cNvPr id="5402932" name="AutoShape 27">
          <a:extLst>
            <a:ext uri="{FF2B5EF4-FFF2-40B4-BE49-F238E27FC236}">
              <a16:creationId xmlns:a16="http://schemas.microsoft.com/office/drawing/2014/main" id="{00000000-0008-0000-0000-000034715200}"/>
            </a:ext>
          </a:extLst>
        </xdr:cNvPr>
        <xdr:cNvSpPr>
          <a:spLocks noChangeArrowheads="1"/>
        </xdr:cNvSpPr>
      </xdr:nvSpPr>
      <xdr:spPr bwMode="gray">
        <a:xfrm>
          <a:off x="3009900" y="1917700"/>
          <a:ext cx="2971800" cy="2082800"/>
        </a:xfrm>
        <a:prstGeom prst="roundRect">
          <a:avLst>
            <a:gd name="adj" fmla="val 11921"/>
          </a:avLst>
        </a:prstGeom>
        <a:gradFill rotWithShape="1">
          <a:gsLst>
            <a:gs pos="0">
              <a:srgbClr val="D48886"/>
            </a:gs>
            <a:gs pos="100000">
              <a:srgbClr val="B24B48"/>
            </a:gs>
          </a:gsLst>
          <a:lin ang="5400000" scaled="1"/>
        </a:gradFill>
        <a:ln w="9525">
          <a:solidFill>
            <a:srgbClr val="FEFEFE"/>
          </a:solidFill>
          <a:round/>
          <a:headEnd/>
          <a:tailEnd/>
        </a:ln>
      </xdr:spPr>
      <xdr:txBody>
        <a:bodyPr rtlCol="0"/>
        <a:lstStyle/>
        <a:p>
          <a:pPr algn="ctr"/>
          <a:endParaRPr lang="en-US"/>
        </a:p>
      </xdr:txBody>
    </xdr:sp>
    <xdr:clientData/>
  </xdr:twoCellAnchor>
  <xdr:twoCellAnchor>
    <xdr:from>
      <xdr:col>5</xdr:col>
      <xdr:colOff>330200</xdr:colOff>
      <xdr:row>10</xdr:row>
      <xdr:rowOff>63500</xdr:rowOff>
    </xdr:from>
    <xdr:to>
      <xdr:col>6</xdr:col>
      <xdr:colOff>609600</xdr:colOff>
      <xdr:row>12</xdr:row>
      <xdr:rowOff>38100</xdr:rowOff>
    </xdr:to>
    <xdr:grpSp>
      <xdr:nvGrpSpPr>
        <xdr:cNvPr id="5402933" name="Group 25">
          <a:hlinkClick xmlns:r="http://schemas.openxmlformats.org/officeDocument/2006/relationships" r:id="rId3"/>
          <a:extLst>
            <a:ext uri="{FF2B5EF4-FFF2-40B4-BE49-F238E27FC236}">
              <a16:creationId xmlns:a16="http://schemas.microsoft.com/office/drawing/2014/main" id="{00000000-0008-0000-0000-000035715200}"/>
            </a:ext>
          </a:extLst>
        </xdr:cNvPr>
        <xdr:cNvGrpSpPr>
          <a:grpSpLocks/>
        </xdr:cNvGrpSpPr>
      </xdr:nvGrpSpPr>
      <xdr:grpSpPr bwMode="auto">
        <a:xfrm>
          <a:off x="3457575" y="2452688"/>
          <a:ext cx="1041400" cy="355600"/>
          <a:chOff x="1200" y="1912"/>
          <a:chExt cx="3456" cy="774"/>
        </a:xfrm>
      </xdr:grpSpPr>
      <xdr:sp macro="" textlink="">
        <xdr:nvSpPr>
          <xdr:cNvPr id="5402977" name="AutoShape 26">
            <a:extLst>
              <a:ext uri="{FF2B5EF4-FFF2-40B4-BE49-F238E27FC236}">
                <a16:creationId xmlns:a16="http://schemas.microsoft.com/office/drawing/2014/main" id="{00000000-0008-0000-0000-0000617152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sp macro="" textlink="">
        <xdr:nvSpPr>
          <xdr:cNvPr id="22" name="AutoShape 27">
            <a:extLst>
              <a:ext uri="{FF2B5EF4-FFF2-40B4-BE49-F238E27FC236}">
                <a16:creationId xmlns:a16="http://schemas.microsoft.com/office/drawing/2014/main" id="{00000000-0008-0000-0000-000016000000}"/>
              </a:ext>
            </a:extLst>
          </xdr:cNvPr>
          <xdr:cNvSpPr>
            <a:spLocks noChangeArrowheads="1"/>
          </xdr:cNvSpPr>
        </xdr:nvSpPr>
        <xdr:spPr bwMode="gray">
          <a:xfrm>
            <a:off x="1276" y="1995"/>
            <a:ext cx="3266" cy="608"/>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strike="noStrike">
                <a:solidFill>
                  <a:srgbClr val="FFFFFF"/>
                </a:solidFill>
                <a:latin typeface="Arial"/>
                <a:cs typeface="Arial"/>
              </a:rPr>
              <a:t>Finance</a:t>
            </a:r>
          </a:p>
        </xdr:txBody>
      </xdr:sp>
      <xdr:sp macro="" textlink="">
        <xdr:nvSpPr>
          <xdr:cNvPr id="23" name="Freeform 28">
            <a:extLst>
              <a:ext uri="{FF2B5EF4-FFF2-40B4-BE49-F238E27FC236}">
                <a16:creationId xmlns:a16="http://schemas.microsoft.com/office/drawing/2014/main" id="{00000000-0008-0000-0000-000017000000}"/>
              </a:ext>
            </a:extLst>
          </xdr:cNvPr>
          <xdr:cNvSpPr>
            <a:spLocks/>
          </xdr:cNvSpPr>
        </xdr:nvSpPr>
        <xdr:spPr bwMode="gray">
          <a:xfrm>
            <a:off x="1314" y="1995"/>
            <a:ext cx="342" cy="332"/>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368300</xdr:colOff>
      <xdr:row>15</xdr:row>
      <xdr:rowOff>177800</xdr:rowOff>
    </xdr:from>
    <xdr:to>
      <xdr:col>6</xdr:col>
      <xdr:colOff>723900</xdr:colOff>
      <xdr:row>17</xdr:row>
      <xdr:rowOff>165100</xdr:rowOff>
    </xdr:to>
    <xdr:grpSp>
      <xdr:nvGrpSpPr>
        <xdr:cNvPr id="5402934" name="Group 25">
          <a:hlinkClick xmlns:r="http://schemas.openxmlformats.org/officeDocument/2006/relationships" r:id="rId4"/>
          <a:extLst>
            <a:ext uri="{FF2B5EF4-FFF2-40B4-BE49-F238E27FC236}">
              <a16:creationId xmlns:a16="http://schemas.microsoft.com/office/drawing/2014/main" id="{00000000-0008-0000-0000-000036715200}"/>
            </a:ext>
          </a:extLst>
        </xdr:cNvPr>
        <xdr:cNvGrpSpPr>
          <a:grpSpLocks/>
        </xdr:cNvGrpSpPr>
      </xdr:nvGrpSpPr>
      <xdr:grpSpPr bwMode="auto">
        <a:xfrm>
          <a:off x="3495675" y="3519488"/>
          <a:ext cx="1117600" cy="368300"/>
          <a:chOff x="1200" y="1912"/>
          <a:chExt cx="3456" cy="774"/>
        </a:xfrm>
      </xdr:grpSpPr>
      <xdr:sp macro="" textlink="">
        <xdr:nvSpPr>
          <xdr:cNvPr id="5402974" name="AutoShape 26">
            <a:extLst>
              <a:ext uri="{FF2B5EF4-FFF2-40B4-BE49-F238E27FC236}">
                <a16:creationId xmlns:a16="http://schemas.microsoft.com/office/drawing/2014/main" id="{00000000-0008-0000-0000-00005E7152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sp macro="" textlink="">
        <xdr:nvSpPr>
          <xdr:cNvPr id="26" name="AutoShape 27">
            <a:extLst>
              <a:ext uri="{FF2B5EF4-FFF2-40B4-BE49-F238E27FC236}">
                <a16:creationId xmlns:a16="http://schemas.microsoft.com/office/drawing/2014/main" id="{00000000-0008-0000-0000-00001A000000}"/>
              </a:ext>
            </a:extLst>
          </xdr:cNvPr>
          <xdr:cNvSpPr>
            <a:spLocks noChangeArrowheads="1"/>
          </xdr:cNvSpPr>
        </xdr:nvSpPr>
        <xdr:spPr bwMode="gray">
          <a:xfrm>
            <a:off x="1307" y="1992"/>
            <a:ext cx="3278" cy="614"/>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u="none" strike="noStrike" baseline="0">
                <a:solidFill>
                  <a:srgbClr val="FFFFFF"/>
                </a:solidFill>
                <a:latin typeface="Arial"/>
                <a:cs typeface="Arial"/>
              </a:rPr>
              <a:t>Programmatic</a:t>
            </a:r>
          </a:p>
        </xdr:txBody>
      </xdr:sp>
      <xdr:sp macro="" textlink="">
        <xdr:nvSpPr>
          <xdr:cNvPr id="27" name="Freeform 28">
            <a:extLst>
              <a:ext uri="{FF2B5EF4-FFF2-40B4-BE49-F238E27FC236}">
                <a16:creationId xmlns:a16="http://schemas.microsoft.com/office/drawing/2014/main" id="{00000000-0008-0000-0000-00001B000000}"/>
              </a:ext>
            </a:extLst>
          </xdr:cNvPr>
          <xdr:cNvSpPr>
            <a:spLocks/>
          </xdr:cNvSpPr>
        </xdr:nvSpPr>
        <xdr:spPr bwMode="gray">
          <a:xfrm>
            <a:off x="1307" y="1992"/>
            <a:ext cx="356" cy="34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330200</xdr:colOff>
      <xdr:row>13</xdr:row>
      <xdr:rowOff>12700</xdr:rowOff>
    </xdr:from>
    <xdr:to>
      <xdr:col>6</xdr:col>
      <xdr:colOff>685800</xdr:colOff>
      <xdr:row>15</xdr:row>
      <xdr:rowOff>0</xdr:rowOff>
    </xdr:to>
    <xdr:grpSp>
      <xdr:nvGrpSpPr>
        <xdr:cNvPr id="5402935" name="Group 25">
          <a:hlinkClick xmlns:r="http://schemas.openxmlformats.org/officeDocument/2006/relationships" r:id="rId5"/>
          <a:extLst>
            <a:ext uri="{FF2B5EF4-FFF2-40B4-BE49-F238E27FC236}">
              <a16:creationId xmlns:a16="http://schemas.microsoft.com/office/drawing/2014/main" id="{00000000-0008-0000-0000-000037715200}"/>
            </a:ext>
          </a:extLst>
        </xdr:cNvPr>
        <xdr:cNvGrpSpPr>
          <a:grpSpLocks/>
        </xdr:cNvGrpSpPr>
      </xdr:nvGrpSpPr>
      <xdr:grpSpPr bwMode="auto">
        <a:xfrm>
          <a:off x="3457575" y="2973388"/>
          <a:ext cx="1117600" cy="368300"/>
          <a:chOff x="1200" y="1912"/>
          <a:chExt cx="3456" cy="774"/>
        </a:xfrm>
      </xdr:grpSpPr>
      <xdr:sp macro="" textlink="">
        <xdr:nvSpPr>
          <xdr:cNvPr id="5402971" name="AutoShape 26">
            <a:extLst>
              <a:ext uri="{FF2B5EF4-FFF2-40B4-BE49-F238E27FC236}">
                <a16:creationId xmlns:a16="http://schemas.microsoft.com/office/drawing/2014/main" id="{00000000-0008-0000-0000-00005B7152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sp macro="" textlink="">
        <xdr:nvSpPr>
          <xdr:cNvPr id="207941" name="AutoShape 27">
            <a:extLst>
              <a:ext uri="{FF2B5EF4-FFF2-40B4-BE49-F238E27FC236}">
                <a16:creationId xmlns:a16="http://schemas.microsoft.com/office/drawing/2014/main" id="{00000000-0008-0000-0000-0000452C0300}"/>
              </a:ext>
            </a:extLst>
          </xdr:cNvPr>
          <xdr:cNvSpPr>
            <a:spLocks noChangeArrowheads="1"/>
          </xdr:cNvSpPr>
        </xdr:nvSpPr>
        <xdr:spPr bwMode="gray">
          <a:xfrm>
            <a:off x="1307" y="1992"/>
            <a:ext cx="3278" cy="614"/>
          </a:xfrm>
          <a:prstGeom prst="roundRect">
            <a:avLst>
              <a:gd name="adj" fmla="val 11921"/>
            </a:avLst>
          </a:prstGeom>
          <a:gradFill rotWithShape="1">
            <a:gsLst>
              <a:gs pos="0">
                <a:srgbClr val="C0504D"/>
              </a:gs>
              <a:gs pos="100000">
                <a:srgbClr val="863836"/>
              </a:gs>
            </a:gsLst>
            <a:lin ang="5400000" scaled="1"/>
          </a:gradFill>
          <a:ln w="9525">
            <a:solidFill>
              <a:srgbClr val="FEFEFE"/>
            </a:solidFill>
            <a:round/>
            <a:headEnd/>
            <a:tailEnd/>
          </a:ln>
        </xdr:spPr>
        <xdr:txBody>
          <a:bodyPr vertOverflow="clip" wrap="square" lIns="54000" tIns="46800" rIns="18000" bIns="46800" anchor="ctr" upright="1"/>
          <a:lstStyle/>
          <a:p>
            <a:pPr algn="ctr" rtl="0">
              <a:defRPr sz="1000"/>
            </a:pPr>
            <a:r>
              <a:rPr lang="en-US" sz="1000" b="0" i="0" strike="noStrike">
                <a:solidFill>
                  <a:srgbClr val="FFFFFF"/>
                </a:solidFill>
                <a:latin typeface="Arial"/>
                <a:cs typeface="Arial"/>
              </a:rPr>
              <a:t>Management</a:t>
            </a:r>
          </a:p>
        </xdr:txBody>
      </xdr:sp>
      <xdr:sp macro="" textlink="">
        <xdr:nvSpPr>
          <xdr:cNvPr id="207942" name="Freeform 28">
            <a:extLst>
              <a:ext uri="{FF2B5EF4-FFF2-40B4-BE49-F238E27FC236}">
                <a16:creationId xmlns:a16="http://schemas.microsoft.com/office/drawing/2014/main" id="{00000000-0008-0000-0000-0000462C0300}"/>
              </a:ext>
            </a:extLst>
          </xdr:cNvPr>
          <xdr:cNvSpPr>
            <a:spLocks/>
          </xdr:cNvSpPr>
        </xdr:nvSpPr>
        <xdr:spPr bwMode="gray">
          <a:xfrm>
            <a:off x="1307" y="1992"/>
            <a:ext cx="356" cy="34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DDA09E"/>
              </a:gs>
              <a:gs pos="50000">
                <a:srgbClr val="C0504D">
                  <a:alpha val="0"/>
                </a:srgbClr>
              </a:gs>
              <a:gs pos="100000">
                <a:srgbClr val="DDA09E"/>
              </a:gs>
            </a:gsLst>
            <a:lin ang="2700000" scaled="1"/>
          </a:gradFill>
          <a:ln w="9525">
            <a:noFill/>
            <a:round/>
            <a:headEnd/>
            <a:tailEnd/>
          </a:ln>
        </xdr:spPr>
        <xdr:txBody>
          <a:bodyPr/>
          <a:lstStyle/>
          <a:p>
            <a:endParaRPr lang="en-US"/>
          </a:p>
        </xdr:txBody>
      </xdr:sp>
    </xdr:grpSp>
    <xdr:clientData/>
  </xdr:twoCellAnchor>
  <xdr:twoCellAnchor>
    <xdr:from>
      <xdr:col>4</xdr:col>
      <xdr:colOff>349250</xdr:colOff>
      <xdr:row>5</xdr:row>
      <xdr:rowOff>0</xdr:rowOff>
    </xdr:from>
    <xdr:to>
      <xdr:col>7</xdr:col>
      <xdr:colOff>460542</xdr:colOff>
      <xdr:row>6</xdr:row>
      <xdr:rowOff>41764</xdr:rowOff>
    </xdr:to>
    <xdr:sp macro="" textlink="">
      <xdr:nvSpPr>
        <xdr:cNvPr id="4899" name="Rectangle 803">
          <a:extLst>
            <a:ext uri="{FF2B5EF4-FFF2-40B4-BE49-F238E27FC236}">
              <a16:creationId xmlns:a16="http://schemas.microsoft.com/office/drawing/2014/main" id="{00000000-0008-0000-0000-000023130000}"/>
            </a:ext>
          </a:extLst>
        </xdr:cNvPr>
        <xdr:cNvSpPr>
          <a:spLocks noChangeArrowheads="1"/>
        </xdr:cNvSpPr>
      </xdr:nvSpPr>
      <xdr:spPr bwMode="auto">
        <a:xfrm>
          <a:off x="2686050" y="1428750"/>
          <a:ext cx="2362200" cy="238125"/>
        </a:xfrm>
        <a:prstGeom prst="rect">
          <a:avLst/>
        </a:prstGeom>
        <a:noFill/>
        <a:ln w="9525">
          <a:noFill/>
          <a:miter lim="800000"/>
          <a:headEnd/>
          <a:tailEnd/>
        </a:ln>
        <a:effectLst/>
      </xdr:spPr>
      <xdr:txBody>
        <a:bodyPr vertOverflow="clip" wrap="square" lIns="27432" tIns="27432" rIns="27432" bIns="0" anchor="t" upright="1"/>
        <a:lstStyle/>
        <a:p>
          <a:pPr algn="ctr" rtl="1">
            <a:defRPr sz="1000"/>
          </a:pPr>
          <a:r>
            <a:rPr lang="en-ZA" sz="1100" b="1" i="1" strike="noStrike">
              <a:solidFill>
                <a:srgbClr val="000000"/>
              </a:solidFill>
              <a:latin typeface="Calibri"/>
            </a:rPr>
            <a:t>Select the option you want to see:</a:t>
          </a:r>
        </a:p>
      </xdr:txBody>
    </xdr:sp>
    <xdr:clientData/>
  </xdr:twoCellAnchor>
  <xdr:twoCellAnchor>
    <xdr:from>
      <xdr:col>8</xdr:col>
      <xdr:colOff>342900</xdr:colOff>
      <xdr:row>11</xdr:row>
      <xdr:rowOff>0</xdr:rowOff>
    </xdr:from>
    <xdr:to>
      <xdr:col>11</xdr:col>
      <xdr:colOff>190500</xdr:colOff>
      <xdr:row>13</xdr:row>
      <xdr:rowOff>25400</xdr:rowOff>
    </xdr:to>
    <xdr:grpSp>
      <xdr:nvGrpSpPr>
        <xdr:cNvPr id="5402937" name="Group 832">
          <a:hlinkClick xmlns:r="http://schemas.openxmlformats.org/officeDocument/2006/relationships" r:id="rId6"/>
          <a:extLst>
            <a:ext uri="{FF2B5EF4-FFF2-40B4-BE49-F238E27FC236}">
              <a16:creationId xmlns:a16="http://schemas.microsoft.com/office/drawing/2014/main" id="{00000000-0008-0000-0000-000039715200}"/>
            </a:ext>
          </a:extLst>
        </xdr:cNvPr>
        <xdr:cNvGrpSpPr>
          <a:grpSpLocks/>
        </xdr:cNvGrpSpPr>
      </xdr:nvGrpSpPr>
      <xdr:grpSpPr bwMode="auto">
        <a:xfrm>
          <a:off x="5756275" y="2579688"/>
          <a:ext cx="1482725" cy="406400"/>
          <a:chOff x="599" y="262"/>
          <a:chExt cx="158" cy="43"/>
        </a:xfrm>
      </xdr:grpSpPr>
      <xdr:sp macro="" textlink="">
        <xdr:nvSpPr>
          <xdr:cNvPr id="5402967" name="AutoShape 30">
            <a:extLst>
              <a:ext uri="{FF2B5EF4-FFF2-40B4-BE49-F238E27FC236}">
                <a16:creationId xmlns:a16="http://schemas.microsoft.com/office/drawing/2014/main" id="{00000000-0008-0000-0000-000057715200}"/>
              </a:ext>
            </a:extLst>
          </xdr:cNvPr>
          <xdr:cNvSpPr>
            <a:spLocks noChangeArrowheads="1"/>
          </xdr:cNvSpPr>
        </xdr:nvSpPr>
        <xdr:spPr bwMode="gray">
          <a:xfrm>
            <a:off x="599" y="262"/>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68" name="13 Grupo">
            <a:extLst>
              <a:ext uri="{FF2B5EF4-FFF2-40B4-BE49-F238E27FC236}">
                <a16:creationId xmlns:a16="http://schemas.microsoft.com/office/drawing/2014/main" id="{00000000-0008-0000-0000-000058715200}"/>
              </a:ext>
            </a:extLst>
          </xdr:cNvPr>
          <xdr:cNvGrpSpPr>
            <a:grpSpLocks/>
          </xdr:cNvGrpSpPr>
        </xdr:nvGrpSpPr>
        <xdr:grpSpPr bwMode="auto">
          <a:xfrm>
            <a:off x="603" y="267"/>
            <a:ext cx="151" cy="35"/>
            <a:chOff x="1104968" y="2771552"/>
            <a:chExt cx="3605494" cy="566957"/>
          </a:xfrm>
        </xdr:grpSpPr>
        <xdr:sp macro="" textlink="">
          <xdr:nvSpPr>
            <xdr:cNvPr id="4903" name="AutoShape 31">
              <a:extLst>
                <a:ext uri="{FF2B5EF4-FFF2-40B4-BE49-F238E27FC236}">
                  <a16:creationId xmlns:a16="http://schemas.microsoft.com/office/drawing/2014/main" id="{00000000-0008-0000-0000-000027130000}"/>
                </a:ext>
              </a:extLst>
            </xdr:cNvPr>
            <xdr:cNvSpPr>
              <a:spLocks noChangeArrowheads="1"/>
            </xdr:cNvSpPr>
          </xdr:nvSpPr>
          <xdr:spPr bwMode="gray">
            <a:xfrm>
              <a:off x="1009457" y="2690558"/>
              <a:ext cx="3689417" cy="653012"/>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Recommendations</a:t>
              </a:r>
            </a:p>
          </xdr:txBody>
        </xdr:sp>
        <xdr:sp macro="" textlink="">
          <xdr:nvSpPr>
            <xdr:cNvPr id="5402970" name="Freeform 32">
              <a:extLst>
                <a:ext uri="{FF2B5EF4-FFF2-40B4-BE49-F238E27FC236}">
                  <a16:creationId xmlns:a16="http://schemas.microsoft.com/office/drawing/2014/main" id="{00000000-0008-0000-0000-00005A715200}"/>
                </a:ext>
              </a:extLst>
            </xdr:cNvPr>
            <xdr:cNvSpPr>
              <a:spLocks/>
            </xdr:cNvSpPr>
          </xdr:nvSpPr>
          <xdr:spPr bwMode="gray">
            <a:xfrm>
              <a:off x="1159456" y="2809862"/>
              <a:ext cx="358092" cy="291066"/>
            </a:xfrm>
            <a:custGeom>
              <a:avLst/>
              <a:gdLst>
                <a:gd name="T0" fmla="*/ 2147483646 w 596"/>
                <a:gd name="T1" fmla="*/ 0 h 598"/>
                <a:gd name="T2" fmla="*/ 0 w 596"/>
                <a:gd name="T3" fmla="*/ 2147483646 h 598"/>
                <a:gd name="T4" fmla="*/ 0 w 596"/>
                <a:gd name="T5" fmla="*/ 2147483646 h 598"/>
                <a:gd name="T6" fmla="*/ 2147483646 w 596"/>
                <a:gd name="T7" fmla="*/ 2147483646 h 598"/>
                <a:gd name="T8" fmla="*/ 2147483646 w 596"/>
                <a:gd name="T9" fmla="*/ 0 h 598"/>
                <a:gd name="T10" fmla="*/ 2147483646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grpSp>
    <xdr:clientData/>
  </xdr:twoCellAnchor>
  <xdr:twoCellAnchor>
    <xdr:from>
      <xdr:col>1</xdr:col>
      <xdr:colOff>279400</xdr:colOff>
      <xdr:row>7</xdr:row>
      <xdr:rowOff>88900</xdr:rowOff>
    </xdr:from>
    <xdr:to>
      <xdr:col>4</xdr:col>
      <xdr:colOff>127000</xdr:colOff>
      <xdr:row>18</xdr:row>
      <xdr:rowOff>101600</xdr:rowOff>
    </xdr:to>
    <xdr:grpSp>
      <xdr:nvGrpSpPr>
        <xdr:cNvPr id="5402938" name="Group 830">
          <a:extLst>
            <a:ext uri="{FF2B5EF4-FFF2-40B4-BE49-F238E27FC236}">
              <a16:creationId xmlns:a16="http://schemas.microsoft.com/office/drawing/2014/main" id="{00000000-0008-0000-0000-00003A715200}"/>
            </a:ext>
          </a:extLst>
        </xdr:cNvPr>
        <xdr:cNvGrpSpPr>
          <a:grpSpLocks/>
        </xdr:cNvGrpSpPr>
      </xdr:nvGrpSpPr>
      <xdr:grpSpPr bwMode="auto">
        <a:xfrm>
          <a:off x="358775" y="1906588"/>
          <a:ext cx="2133600" cy="2108200"/>
          <a:chOff x="32" y="188"/>
          <a:chExt cx="225" cy="225"/>
        </a:xfrm>
      </xdr:grpSpPr>
      <xdr:sp macro="" textlink="">
        <xdr:nvSpPr>
          <xdr:cNvPr id="5402965" name="AutoShape 31">
            <a:extLst>
              <a:ext uri="{FF2B5EF4-FFF2-40B4-BE49-F238E27FC236}">
                <a16:creationId xmlns:a16="http://schemas.microsoft.com/office/drawing/2014/main" id="{00000000-0008-0000-0000-000055715200}"/>
              </a:ext>
            </a:extLst>
          </xdr:cNvPr>
          <xdr:cNvSpPr>
            <a:spLocks noChangeArrowheads="1"/>
          </xdr:cNvSpPr>
        </xdr:nvSpPr>
        <xdr:spPr bwMode="gray">
          <a:xfrm>
            <a:off x="32" y="188"/>
            <a:ext cx="225" cy="225"/>
          </a:xfrm>
          <a:prstGeom prst="roundRect">
            <a:avLst>
              <a:gd name="adj" fmla="val 11921"/>
            </a:avLst>
          </a:prstGeom>
          <a:gradFill rotWithShape="1">
            <a:gsLst>
              <a:gs pos="0">
                <a:srgbClr val="87AFD3"/>
              </a:gs>
              <a:gs pos="100000">
                <a:srgbClr val="4C7BB4"/>
              </a:gs>
            </a:gsLst>
            <a:lin ang="5400000" scaled="1"/>
          </a:gradFill>
          <a:ln w="9525">
            <a:solidFill>
              <a:srgbClr val="FEFEFE"/>
            </a:solidFill>
            <a:round/>
            <a:headEnd/>
            <a:tailEnd/>
          </a:ln>
        </xdr:spPr>
        <xdr:txBody>
          <a:bodyPr rtlCol="0"/>
          <a:lstStyle/>
          <a:p>
            <a:pPr algn="ctr"/>
            <a:endParaRPr lang="en-US"/>
          </a:p>
        </xdr:txBody>
      </xdr:sp>
      <xdr:sp macro="" textlink="">
        <xdr:nvSpPr>
          <xdr:cNvPr id="4913" name="Freeform 32">
            <a:extLst>
              <a:ext uri="{FF2B5EF4-FFF2-40B4-BE49-F238E27FC236}">
                <a16:creationId xmlns:a16="http://schemas.microsoft.com/office/drawing/2014/main" id="{00000000-0008-0000-0000-000031130000}"/>
              </a:ext>
            </a:extLst>
          </xdr:cNvPr>
          <xdr:cNvSpPr>
            <a:spLocks/>
          </xdr:cNvSpPr>
        </xdr:nvSpPr>
        <xdr:spPr bwMode="gray">
          <a:xfrm>
            <a:off x="42" y="197"/>
            <a:ext cx="55" cy="2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9FBADB"/>
              </a:gs>
              <a:gs pos="50000">
                <a:srgbClr val="4F81BD">
                  <a:alpha val="0"/>
                </a:srgbClr>
              </a:gs>
              <a:gs pos="100000">
                <a:srgbClr val="9FBADB"/>
              </a:gs>
            </a:gsLst>
            <a:lin ang="2700000" scaled="1"/>
          </a:gradFill>
          <a:ln w="9525">
            <a:noFill/>
            <a:round/>
            <a:headEnd/>
            <a:tailEnd/>
          </a:ln>
        </xdr:spPr>
        <xdr:txBody>
          <a:bodyPr/>
          <a:lstStyle/>
          <a:p>
            <a:endParaRPr lang="en-US"/>
          </a:p>
        </xdr:txBody>
      </xdr:sp>
    </xdr:grpSp>
    <xdr:clientData/>
  </xdr:twoCellAnchor>
  <xdr:twoCellAnchor>
    <xdr:from>
      <xdr:col>8</xdr:col>
      <xdr:colOff>330200</xdr:colOff>
      <xdr:row>14</xdr:row>
      <xdr:rowOff>63500</xdr:rowOff>
    </xdr:from>
    <xdr:to>
      <xdr:col>11</xdr:col>
      <xdr:colOff>177800</xdr:colOff>
      <xdr:row>16</xdr:row>
      <xdr:rowOff>88900</xdr:rowOff>
    </xdr:to>
    <xdr:grpSp>
      <xdr:nvGrpSpPr>
        <xdr:cNvPr id="5402939" name="Group 826">
          <a:extLst>
            <a:ext uri="{FF2B5EF4-FFF2-40B4-BE49-F238E27FC236}">
              <a16:creationId xmlns:a16="http://schemas.microsoft.com/office/drawing/2014/main" id="{00000000-0008-0000-0000-00003B715200}"/>
            </a:ext>
          </a:extLst>
        </xdr:cNvPr>
        <xdr:cNvGrpSpPr>
          <a:grpSpLocks/>
        </xdr:cNvGrpSpPr>
      </xdr:nvGrpSpPr>
      <xdr:grpSpPr bwMode="auto">
        <a:xfrm>
          <a:off x="5743575" y="3214688"/>
          <a:ext cx="1482725" cy="406400"/>
          <a:chOff x="578" y="328"/>
          <a:chExt cx="158" cy="43"/>
        </a:xfrm>
      </xdr:grpSpPr>
      <xdr:sp macro="" textlink="">
        <xdr:nvSpPr>
          <xdr:cNvPr id="5402961" name="AutoShape 30">
            <a:extLst>
              <a:ext uri="{FF2B5EF4-FFF2-40B4-BE49-F238E27FC236}">
                <a16:creationId xmlns:a16="http://schemas.microsoft.com/office/drawing/2014/main" id="{00000000-0008-0000-0000-000051715200}"/>
              </a:ext>
            </a:extLst>
          </xdr:cNvPr>
          <xdr:cNvSpPr>
            <a:spLocks noChangeArrowheads="1"/>
          </xdr:cNvSpPr>
        </xdr:nvSpPr>
        <xdr:spPr bwMode="gray">
          <a:xfrm>
            <a:off x="578" y="328"/>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62" name="Group 823">
            <a:extLst>
              <a:ext uri="{FF2B5EF4-FFF2-40B4-BE49-F238E27FC236}">
                <a16:creationId xmlns:a16="http://schemas.microsoft.com/office/drawing/2014/main" id="{00000000-0008-0000-0000-000052715200}"/>
              </a:ext>
            </a:extLst>
          </xdr:cNvPr>
          <xdr:cNvGrpSpPr>
            <a:grpSpLocks/>
          </xdr:cNvGrpSpPr>
        </xdr:nvGrpSpPr>
        <xdr:grpSpPr bwMode="auto">
          <a:xfrm>
            <a:off x="581" y="333"/>
            <a:ext cx="151" cy="35"/>
            <a:chOff x="582" y="333"/>
            <a:chExt cx="151" cy="35"/>
          </a:xfrm>
        </xdr:grpSpPr>
        <xdr:sp macro="" textlink="">
          <xdr:nvSpPr>
            <xdr:cNvPr id="4908" name="AutoShape 31">
              <a:hlinkClick xmlns:r="http://schemas.openxmlformats.org/officeDocument/2006/relationships" r:id="rId7"/>
              <a:extLst>
                <a:ext uri="{FF2B5EF4-FFF2-40B4-BE49-F238E27FC236}">
                  <a16:creationId xmlns:a16="http://schemas.microsoft.com/office/drawing/2014/main" id="{00000000-0008-0000-0000-00002C130000}"/>
                </a:ext>
              </a:extLst>
            </xdr:cNvPr>
            <xdr:cNvSpPr>
              <a:spLocks noChangeArrowheads="1"/>
            </xdr:cNvSpPr>
          </xdr:nvSpPr>
          <xdr:spPr bwMode="gray">
            <a:xfrm>
              <a:off x="582" y="332"/>
              <a:ext cx="151" cy="36"/>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Actions</a:t>
              </a:r>
            </a:p>
          </xdr:txBody>
        </xdr:sp>
        <xdr:sp macro="" textlink="">
          <xdr:nvSpPr>
            <xdr:cNvPr id="5402964" name="Freeform 32">
              <a:extLst>
                <a:ext uri="{FF2B5EF4-FFF2-40B4-BE49-F238E27FC236}">
                  <a16:creationId xmlns:a16="http://schemas.microsoft.com/office/drawing/2014/main" id="{00000000-0008-0000-0000-000054715200}"/>
                </a:ext>
              </a:extLst>
            </xdr:cNvPr>
            <xdr:cNvSpPr>
              <a:spLocks/>
            </xdr:cNvSpPr>
          </xdr:nvSpPr>
          <xdr:spPr bwMode="gray">
            <a:xfrm>
              <a:off x="584" y="335"/>
              <a:ext cx="15" cy="18"/>
            </a:xfrm>
            <a:custGeom>
              <a:avLst/>
              <a:gdLst>
                <a:gd name="T0" fmla="*/ 0 w 596"/>
                <a:gd name="T1" fmla="*/ 0 h 598"/>
                <a:gd name="T2" fmla="*/ 0 w 596"/>
                <a:gd name="T3" fmla="*/ 0 h 598"/>
                <a:gd name="T4" fmla="*/ 0 w 596"/>
                <a:gd name="T5" fmla="*/ 0 h 598"/>
                <a:gd name="T6" fmla="*/ 0 w 596"/>
                <a:gd name="T7" fmla="*/ 0 h 598"/>
                <a:gd name="T8" fmla="*/ 0 w 596"/>
                <a:gd name="T9" fmla="*/ 0 h 598"/>
                <a:gd name="T10" fmla="*/ 0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grpSp>
    <xdr:clientData/>
  </xdr:twoCellAnchor>
  <xdr:twoCellAnchor>
    <xdr:from>
      <xdr:col>1</xdr:col>
      <xdr:colOff>596900</xdr:colOff>
      <xdr:row>15</xdr:row>
      <xdr:rowOff>127000</xdr:rowOff>
    </xdr:from>
    <xdr:to>
      <xdr:col>3</xdr:col>
      <xdr:colOff>571500</xdr:colOff>
      <xdr:row>17</xdr:row>
      <xdr:rowOff>101600</xdr:rowOff>
    </xdr:to>
    <xdr:grpSp>
      <xdr:nvGrpSpPr>
        <xdr:cNvPr id="5402940" name="Group 831">
          <a:hlinkClick xmlns:r="http://schemas.openxmlformats.org/officeDocument/2006/relationships" r:id="rId8"/>
          <a:extLst>
            <a:ext uri="{FF2B5EF4-FFF2-40B4-BE49-F238E27FC236}">
              <a16:creationId xmlns:a16="http://schemas.microsoft.com/office/drawing/2014/main" id="{00000000-0008-0000-0000-00003C715200}"/>
            </a:ext>
          </a:extLst>
        </xdr:cNvPr>
        <xdr:cNvGrpSpPr>
          <a:grpSpLocks/>
        </xdr:cNvGrpSpPr>
      </xdr:nvGrpSpPr>
      <xdr:grpSpPr bwMode="auto">
        <a:xfrm>
          <a:off x="676275" y="3468688"/>
          <a:ext cx="1498600" cy="355600"/>
          <a:chOff x="56" y="259"/>
          <a:chExt cx="158" cy="40"/>
        </a:xfrm>
      </xdr:grpSpPr>
      <xdr:sp macro="" textlink="">
        <xdr:nvSpPr>
          <xdr:cNvPr id="5402957" name="AutoShape 30">
            <a:extLst>
              <a:ext uri="{FF2B5EF4-FFF2-40B4-BE49-F238E27FC236}">
                <a16:creationId xmlns:a16="http://schemas.microsoft.com/office/drawing/2014/main" id="{00000000-0008-0000-0000-00004D715200}"/>
              </a:ext>
            </a:extLst>
          </xdr:cNvPr>
          <xdr:cNvSpPr>
            <a:spLocks noChangeArrowheads="1"/>
          </xdr:cNvSpPr>
        </xdr:nvSpPr>
        <xdr:spPr bwMode="gray">
          <a:xfrm>
            <a:off x="56" y="259"/>
            <a:ext cx="158" cy="40"/>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58" name="11 Grupo">
            <a:extLst>
              <a:ext uri="{FF2B5EF4-FFF2-40B4-BE49-F238E27FC236}">
                <a16:creationId xmlns:a16="http://schemas.microsoft.com/office/drawing/2014/main" id="{00000000-0008-0000-0000-00004E715200}"/>
              </a:ext>
            </a:extLst>
          </xdr:cNvPr>
          <xdr:cNvGrpSpPr>
            <a:grpSpLocks/>
          </xdr:cNvGrpSpPr>
        </xdr:nvGrpSpPr>
        <xdr:grpSpPr bwMode="auto">
          <a:xfrm>
            <a:off x="60" y="263"/>
            <a:ext cx="151" cy="32"/>
            <a:chOff x="1104968" y="2771584"/>
            <a:chExt cx="3605494" cy="566957"/>
          </a:xfrm>
        </xdr:grpSpPr>
        <xdr:sp macro="" textlink="">
          <xdr:nvSpPr>
            <xdr:cNvPr id="9" name="AutoShape 31">
              <a:extLst>
                <a:ext uri="{FF2B5EF4-FFF2-40B4-BE49-F238E27FC236}">
                  <a16:creationId xmlns:a16="http://schemas.microsoft.com/office/drawing/2014/main" id="{00000000-0008-0000-0000-000009000000}"/>
                </a:ext>
              </a:extLst>
            </xdr:cNvPr>
            <xdr:cNvSpPr>
              <a:spLocks noChangeArrowheads="1"/>
            </xdr:cNvSpPr>
          </xdr:nvSpPr>
          <xdr:spPr bwMode="gray">
            <a:xfrm>
              <a:off x="1009457" y="2903199"/>
              <a:ext cx="3689417" cy="455590"/>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Grant Detail</a:t>
              </a:r>
            </a:p>
          </xdr:txBody>
        </xdr:sp>
        <xdr:sp macro="" textlink="">
          <xdr:nvSpPr>
            <xdr:cNvPr id="10" name="Freeform 32">
              <a:extLst>
                <a:ext uri="{FF2B5EF4-FFF2-40B4-BE49-F238E27FC236}">
                  <a16:creationId xmlns:a16="http://schemas.microsoft.com/office/drawing/2014/main" id="{00000000-0008-0000-0000-00000A000000}"/>
                </a:ext>
              </a:extLst>
            </xdr:cNvPr>
            <xdr:cNvSpPr>
              <a:spLocks/>
            </xdr:cNvSpPr>
          </xdr:nvSpPr>
          <xdr:spPr bwMode="gray">
            <a:xfrm>
              <a:off x="1148157" y="2903199"/>
              <a:ext cx="360620" cy="202485"/>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596900</xdr:colOff>
      <xdr:row>10</xdr:row>
      <xdr:rowOff>25400</xdr:rowOff>
    </xdr:from>
    <xdr:to>
      <xdr:col>3</xdr:col>
      <xdr:colOff>571500</xdr:colOff>
      <xdr:row>12</xdr:row>
      <xdr:rowOff>12700</xdr:rowOff>
    </xdr:to>
    <xdr:grpSp>
      <xdr:nvGrpSpPr>
        <xdr:cNvPr id="5402941" name="37 Grupo">
          <a:hlinkClick xmlns:r="http://schemas.openxmlformats.org/officeDocument/2006/relationships" r:id="rId9"/>
          <a:extLst>
            <a:ext uri="{FF2B5EF4-FFF2-40B4-BE49-F238E27FC236}">
              <a16:creationId xmlns:a16="http://schemas.microsoft.com/office/drawing/2014/main" id="{00000000-0008-0000-0000-00003D715200}"/>
            </a:ext>
          </a:extLst>
        </xdr:cNvPr>
        <xdr:cNvGrpSpPr>
          <a:grpSpLocks/>
        </xdr:cNvGrpSpPr>
      </xdr:nvGrpSpPr>
      <xdr:grpSpPr bwMode="auto">
        <a:xfrm>
          <a:off x="676275" y="2414588"/>
          <a:ext cx="1498600" cy="368300"/>
          <a:chOff x="1343025" y="2428876"/>
          <a:chExt cx="3240982" cy="617274"/>
        </a:xfrm>
      </xdr:grpSpPr>
      <xdr:sp macro="" textlink="">
        <xdr:nvSpPr>
          <xdr:cNvPr id="5402953" name="AutoShape 30">
            <a:extLst>
              <a:ext uri="{FF2B5EF4-FFF2-40B4-BE49-F238E27FC236}">
                <a16:creationId xmlns:a16="http://schemas.microsoft.com/office/drawing/2014/main" id="{00000000-0008-0000-0000-0000497152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54" name="13 Grupo">
            <a:extLst>
              <a:ext uri="{FF2B5EF4-FFF2-40B4-BE49-F238E27FC236}">
                <a16:creationId xmlns:a16="http://schemas.microsoft.com/office/drawing/2014/main" id="{00000000-0008-0000-0000-00004A715200}"/>
              </a:ext>
            </a:extLst>
          </xdr:cNvPr>
          <xdr:cNvGrpSpPr>
            <a:grpSpLocks/>
          </xdr:cNvGrpSpPr>
        </xdr:nvGrpSpPr>
        <xdr:grpSpPr bwMode="auto">
          <a:xfrm>
            <a:off x="1419283" y="2495353"/>
            <a:ext cx="3097998" cy="503316"/>
            <a:chOff x="1104968" y="2771552"/>
            <a:chExt cx="3605494" cy="566957"/>
          </a:xfrm>
        </xdr:grpSpPr>
        <xdr:sp macro="" textlink="">
          <xdr:nvSpPr>
            <xdr:cNvPr id="3" name="AutoShape 31">
              <a:extLst>
                <a:ext uri="{FF2B5EF4-FFF2-40B4-BE49-F238E27FC236}">
                  <a16:creationId xmlns:a16="http://schemas.microsoft.com/office/drawing/2014/main" id="{00000000-0008-0000-0000-000003000000}"/>
                </a:ext>
              </a:extLst>
            </xdr:cNvPr>
            <xdr:cNvSpPr>
              <a:spLocks noChangeArrowheads="1"/>
            </xdr:cNvSpPr>
          </xdr:nvSpPr>
          <xdr:spPr bwMode="gray">
            <a:xfrm>
              <a:off x="1099421" y="2768599"/>
              <a:ext cx="3605494" cy="575441"/>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1">
                <a:defRPr sz="1000"/>
              </a:pPr>
              <a:r>
                <a:rPr lang="en-ZA" sz="1000" b="0" i="0" strike="noStrike">
                  <a:solidFill>
                    <a:srgbClr val="FFFFFF"/>
                  </a:solidFill>
                  <a:latin typeface="Arial"/>
                  <a:cs typeface="Arial"/>
                </a:rPr>
                <a:t>List of Indicators</a:t>
              </a:r>
            </a:p>
          </xdr:txBody>
        </xdr:sp>
        <xdr:sp macro="" textlink="">
          <xdr:nvSpPr>
            <xdr:cNvPr id="4" name="Freeform 32">
              <a:extLst>
                <a:ext uri="{FF2B5EF4-FFF2-40B4-BE49-F238E27FC236}">
                  <a16:creationId xmlns:a16="http://schemas.microsoft.com/office/drawing/2014/main" id="{00000000-0008-0000-0000-000004000000}"/>
                </a:ext>
              </a:extLst>
            </xdr:cNvPr>
            <xdr:cNvSpPr>
              <a:spLocks/>
            </xdr:cNvSpPr>
          </xdr:nvSpPr>
          <xdr:spPr bwMode="gray">
            <a:xfrm>
              <a:off x="1154890" y="2792576"/>
              <a:ext cx="360549" cy="31169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596900</xdr:colOff>
      <xdr:row>12</xdr:row>
      <xdr:rowOff>177800</xdr:rowOff>
    </xdr:from>
    <xdr:to>
      <xdr:col>3</xdr:col>
      <xdr:colOff>571500</xdr:colOff>
      <xdr:row>14</xdr:row>
      <xdr:rowOff>177800</xdr:rowOff>
    </xdr:to>
    <xdr:grpSp>
      <xdr:nvGrpSpPr>
        <xdr:cNvPr id="5402942" name="37 Grupo">
          <a:hlinkClick xmlns:r="http://schemas.openxmlformats.org/officeDocument/2006/relationships" r:id="rId10"/>
          <a:extLst>
            <a:ext uri="{FF2B5EF4-FFF2-40B4-BE49-F238E27FC236}">
              <a16:creationId xmlns:a16="http://schemas.microsoft.com/office/drawing/2014/main" id="{00000000-0008-0000-0000-00003E715200}"/>
            </a:ext>
          </a:extLst>
        </xdr:cNvPr>
        <xdr:cNvGrpSpPr>
          <a:grpSpLocks/>
        </xdr:cNvGrpSpPr>
      </xdr:nvGrpSpPr>
      <xdr:grpSpPr bwMode="auto">
        <a:xfrm>
          <a:off x="676275" y="2947988"/>
          <a:ext cx="1498600" cy="381000"/>
          <a:chOff x="1343025" y="2428876"/>
          <a:chExt cx="3240982" cy="617274"/>
        </a:xfrm>
      </xdr:grpSpPr>
      <xdr:sp macro="" textlink="">
        <xdr:nvSpPr>
          <xdr:cNvPr id="5402949" name="AutoShape 30">
            <a:extLst>
              <a:ext uri="{FF2B5EF4-FFF2-40B4-BE49-F238E27FC236}">
                <a16:creationId xmlns:a16="http://schemas.microsoft.com/office/drawing/2014/main" id="{00000000-0008-0000-0000-0000457152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50" name="13 Grupo">
            <a:extLst>
              <a:ext uri="{FF2B5EF4-FFF2-40B4-BE49-F238E27FC236}">
                <a16:creationId xmlns:a16="http://schemas.microsoft.com/office/drawing/2014/main" id="{00000000-0008-0000-0000-000046715200}"/>
              </a:ext>
            </a:extLst>
          </xdr:cNvPr>
          <xdr:cNvGrpSpPr>
            <a:grpSpLocks/>
          </xdr:cNvGrpSpPr>
        </xdr:nvGrpSpPr>
        <xdr:grpSpPr bwMode="auto">
          <a:xfrm>
            <a:off x="1419283" y="2495353"/>
            <a:ext cx="3097998" cy="503316"/>
            <a:chOff x="1104968" y="2771552"/>
            <a:chExt cx="3605494" cy="566957"/>
          </a:xfrm>
        </xdr:grpSpPr>
        <xdr:sp macro="" textlink="">
          <xdr:nvSpPr>
            <xdr:cNvPr id="14" name="AutoShape 31">
              <a:extLst>
                <a:ext uri="{FF2B5EF4-FFF2-40B4-BE49-F238E27FC236}">
                  <a16:creationId xmlns:a16="http://schemas.microsoft.com/office/drawing/2014/main" id="{00000000-0008-0000-0000-00000E000000}"/>
                </a:ext>
              </a:extLst>
            </xdr:cNvPr>
            <xdr:cNvSpPr>
              <a:spLocks noChangeArrowheads="1"/>
            </xdr:cNvSpPr>
          </xdr:nvSpPr>
          <xdr:spPr bwMode="gray">
            <a:xfrm>
              <a:off x="1099421" y="2766201"/>
              <a:ext cx="3605494" cy="579436"/>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Data Entry</a:t>
              </a:r>
            </a:p>
          </xdr:txBody>
        </xdr:sp>
        <xdr:sp macro="" textlink="">
          <xdr:nvSpPr>
            <xdr:cNvPr id="15" name="Freeform 32">
              <a:extLst>
                <a:ext uri="{FF2B5EF4-FFF2-40B4-BE49-F238E27FC236}">
                  <a16:creationId xmlns:a16="http://schemas.microsoft.com/office/drawing/2014/main" id="{00000000-0008-0000-0000-00000F000000}"/>
                </a:ext>
              </a:extLst>
            </xdr:cNvPr>
            <xdr:cNvSpPr>
              <a:spLocks/>
            </xdr:cNvSpPr>
          </xdr:nvSpPr>
          <xdr:spPr bwMode="gray">
            <a:xfrm>
              <a:off x="1154890" y="2766201"/>
              <a:ext cx="360549" cy="347662"/>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editAs="oneCell">
    <xdr:from>
      <xdr:col>1</xdr:col>
      <xdr:colOff>292100</xdr:colOff>
      <xdr:row>7</xdr:row>
      <xdr:rowOff>63500</xdr:rowOff>
    </xdr:from>
    <xdr:to>
      <xdr:col>4</xdr:col>
      <xdr:colOff>127000</xdr:colOff>
      <xdr:row>9</xdr:row>
      <xdr:rowOff>127000</xdr:rowOff>
    </xdr:to>
    <xdr:pic>
      <xdr:nvPicPr>
        <xdr:cNvPr id="5402943" name="Picture 2012">
          <a:extLst>
            <a:ext uri="{FF2B5EF4-FFF2-40B4-BE49-F238E27FC236}">
              <a16:creationId xmlns:a16="http://schemas.microsoft.com/office/drawing/2014/main" id="{00000000-0008-0000-0000-00003F7152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381000" y="1879600"/>
          <a:ext cx="24638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422275</xdr:colOff>
      <xdr:row>7</xdr:row>
      <xdr:rowOff>107950</xdr:rowOff>
    </xdr:from>
    <xdr:to>
      <xdr:col>4</xdr:col>
      <xdr:colOff>38662</xdr:colOff>
      <xdr:row>9</xdr:row>
      <xdr:rowOff>108177</xdr:rowOff>
    </xdr:to>
    <xdr:sp macro="" textlink="">
      <xdr:nvSpPr>
        <xdr:cNvPr id="955357" name="Text Box 2013">
          <a:extLst>
            <a:ext uri="{FF2B5EF4-FFF2-40B4-BE49-F238E27FC236}">
              <a16:creationId xmlns:a16="http://schemas.microsoft.com/office/drawing/2014/main" id="{00000000-0008-0000-0000-0000DD930E00}"/>
            </a:ext>
          </a:extLst>
        </xdr:cNvPr>
        <xdr:cNvSpPr txBox="1">
          <a:spLocks noChangeArrowheads="1"/>
        </xdr:cNvSpPr>
      </xdr:nvSpPr>
      <xdr:spPr bwMode="auto">
        <a:xfrm>
          <a:off x="428625" y="1895475"/>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700"/>
            </a:lnSpc>
            <a:defRPr sz="1000"/>
          </a:pPr>
          <a:r>
            <a:rPr lang="en-US" sz="1200" b="0" i="0" strike="noStrike">
              <a:solidFill>
                <a:srgbClr val="000000"/>
              </a:solidFill>
              <a:latin typeface="Arial"/>
              <a:cs typeface="Arial"/>
            </a:rPr>
            <a:t>Grant Information</a:t>
          </a:r>
          <a:endParaRPr lang="en-US" sz="1800" b="0" i="0" strike="noStrike">
            <a:solidFill>
              <a:srgbClr val="000000"/>
            </a:solidFill>
            <a:latin typeface="Arial"/>
            <a:cs typeface="Arial"/>
          </a:endParaRPr>
        </a:p>
        <a:p>
          <a:pPr algn="ctr" rtl="0">
            <a:lnSpc>
              <a:spcPts val="1700"/>
            </a:lnSpc>
            <a:defRPr sz="1000"/>
          </a:pPr>
          <a:endParaRPr lang="en-US" sz="1800" b="0" i="0" strike="noStrike">
            <a:solidFill>
              <a:srgbClr val="000000"/>
            </a:solidFill>
            <a:latin typeface="Arial"/>
            <a:cs typeface="Arial"/>
          </a:endParaRPr>
        </a:p>
      </xdr:txBody>
    </xdr:sp>
    <xdr:clientData/>
  </xdr:twoCellAnchor>
  <xdr:twoCellAnchor editAs="oneCell">
    <xdr:from>
      <xdr:col>4</xdr:col>
      <xdr:colOff>279400</xdr:colOff>
      <xdr:row>7</xdr:row>
      <xdr:rowOff>63500</xdr:rowOff>
    </xdr:from>
    <xdr:to>
      <xdr:col>7</xdr:col>
      <xdr:colOff>647700</xdr:colOff>
      <xdr:row>9</xdr:row>
      <xdr:rowOff>127000</xdr:rowOff>
    </xdr:to>
    <xdr:pic>
      <xdr:nvPicPr>
        <xdr:cNvPr id="5402945" name="Picture 2016">
          <a:extLst>
            <a:ext uri="{FF2B5EF4-FFF2-40B4-BE49-F238E27FC236}">
              <a16:creationId xmlns:a16="http://schemas.microsoft.com/office/drawing/2014/main" id="{00000000-0008-0000-0000-0000417152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997200" y="1879600"/>
          <a:ext cx="29972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692150</xdr:colOff>
      <xdr:row>7</xdr:row>
      <xdr:rowOff>107950</xdr:rowOff>
    </xdr:from>
    <xdr:to>
      <xdr:col>7</xdr:col>
      <xdr:colOff>358774</xdr:colOff>
      <xdr:row>9</xdr:row>
      <xdr:rowOff>104877</xdr:rowOff>
    </xdr:to>
    <xdr:sp macro="" textlink="">
      <xdr:nvSpPr>
        <xdr:cNvPr id="955361" name="Text Box 2017">
          <a:extLst>
            <a:ext uri="{FF2B5EF4-FFF2-40B4-BE49-F238E27FC236}">
              <a16:creationId xmlns:a16="http://schemas.microsoft.com/office/drawing/2014/main" id="{00000000-0008-0000-0000-0000E1930E00}"/>
            </a:ext>
          </a:extLst>
        </xdr:cNvPr>
        <xdr:cNvSpPr txBox="1">
          <a:spLocks noChangeArrowheads="1"/>
        </xdr:cNvSpPr>
      </xdr:nvSpPr>
      <xdr:spPr bwMode="auto">
        <a:xfrm>
          <a:off x="29527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500"/>
            </a:lnSpc>
            <a:defRPr sz="1000"/>
          </a:pPr>
          <a:r>
            <a:rPr lang="en-US" sz="1200" b="0" i="0" strike="noStrike">
              <a:solidFill>
                <a:srgbClr val="000000"/>
              </a:solidFill>
              <a:latin typeface="Arial"/>
              <a:cs typeface="Arial"/>
            </a:rPr>
            <a:t>Indicators</a:t>
          </a:r>
          <a:endParaRPr lang="en-US" sz="1800" b="0" i="0" strike="noStrike">
            <a:solidFill>
              <a:srgbClr val="000000"/>
            </a:solidFill>
            <a:latin typeface="Arial"/>
            <a:cs typeface="Arial"/>
          </a:endParaRPr>
        </a:p>
        <a:p>
          <a:pPr algn="ctr" rtl="0">
            <a:lnSpc>
              <a:spcPts val="1800"/>
            </a:lnSpc>
            <a:defRPr sz="1000"/>
          </a:pPr>
          <a:endParaRPr lang="en-US" sz="1800" b="0" i="0" strike="noStrike">
            <a:solidFill>
              <a:srgbClr val="000000"/>
            </a:solidFill>
            <a:latin typeface="Arial"/>
            <a:cs typeface="Arial"/>
          </a:endParaRPr>
        </a:p>
      </xdr:txBody>
    </xdr:sp>
    <xdr:clientData/>
  </xdr:twoCellAnchor>
  <xdr:twoCellAnchor editAs="oneCell">
    <xdr:from>
      <xdr:col>7</xdr:col>
      <xdr:colOff>838200</xdr:colOff>
      <xdr:row>7</xdr:row>
      <xdr:rowOff>88900</xdr:rowOff>
    </xdr:from>
    <xdr:to>
      <xdr:col>11</xdr:col>
      <xdr:colOff>571500</xdr:colOff>
      <xdr:row>9</xdr:row>
      <xdr:rowOff>127000</xdr:rowOff>
    </xdr:to>
    <xdr:pic>
      <xdr:nvPicPr>
        <xdr:cNvPr id="5402947" name="Picture 2018">
          <a:extLst>
            <a:ext uri="{FF2B5EF4-FFF2-40B4-BE49-F238E27FC236}">
              <a16:creationId xmlns:a16="http://schemas.microsoft.com/office/drawing/2014/main" id="{00000000-0008-0000-0000-0000437152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6184900" y="1905000"/>
          <a:ext cx="24892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82550</xdr:colOff>
      <xdr:row>7</xdr:row>
      <xdr:rowOff>107950</xdr:rowOff>
    </xdr:from>
    <xdr:to>
      <xdr:col>11</xdr:col>
      <xdr:colOff>479794</xdr:colOff>
      <xdr:row>9</xdr:row>
      <xdr:rowOff>104877</xdr:rowOff>
    </xdr:to>
    <xdr:sp macro="" textlink="">
      <xdr:nvSpPr>
        <xdr:cNvPr id="955363" name="Text Box 2019">
          <a:extLst>
            <a:ext uri="{FF2B5EF4-FFF2-40B4-BE49-F238E27FC236}">
              <a16:creationId xmlns:a16="http://schemas.microsoft.com/office/drawing/2014/main" id="{00000000-0008-0000-0000-0000E3930E00}"/>
            </a:ext>
          </a:extLst>
        </xdr:cNvPr>
        <xdr:cNvSpPr txBox="1">
          <a:spLocks noChangeArrowheads="1"/>
        </xdr:cNvSpPr>
      </xdr:nvSpPr>
      <xdr:spPr bwMode="auto">
        <a:xfrm>
          <a:off x="54673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500"/>
            </a:lnSpc>
            <a:defRPr sz="1000"/>
          </a:pPr>
          <a:r>
            <a:rPr lang="en-US" sz="1200" b="0" i="0" strike="noStrike">
              <a:solidFill>
                <a:srgbClr val="000000"/>
              </a:solidFill>
              <a:latin typeface="Arial"/>
              <a:cs typeface="Arial"/>
            </a:rPr>
            <a:t>Reports</a:t>
          </a:r>
          <a:endParaRPr lang="en-US" sz="1800" b="0" i="0" strike="noStrike">
            <a:solidFill>
              <a:srgbClr val="000000"/>
            </a:solidFill>
            <a:latin typeface="Arial"/>
            <a:cs typeface="Arial"/>
          </a:endParaRPr>
        </a:p>
        <a:p>
          <a:pPr algn="ctr" rtl="0">
            <a:lnSpc>
              <a:spcPts val="1800"/>
            </a:lnSpc>
            <a:defRPr sz="1000"/>
          </a:pPr>
          <a:endParaRPr lang="en-US" sz="1800" b="0" i="0" strike="noStrike">
            <a:solidFill>
              <a:srgbClr val="000000"/>
            </a:solidFill>
            <a:latin typeface="Arial"/>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165100</xdr:colOff>
      <xdr:row>1</xdr:row>
      <xdr:rowOff>63500</xdr:rowOff>
    </xdr:from>
    <xdr:to>
      <xdr:col>1</xdr:col>
      <xdr:colOff>139700</xdr:colOff>
      <xdr:row>4</xdr:row>
      <xdr:rowOff>88900</xdr:rowOff>
    </xdr:to>
    <xdr:pic>
      <xdr:nvPicPr>
        <xdr:cNvPr id="9888" name="Picture 2" descr="C:\Documents and Settings\Administrator\My Documents\My Pictures\Prueba.jpg">
          <a:extLst>
            <a:ext uri="{FF2B5EF4-FFF2-40B4-BE49-F238E27FC236}">
              <a16:creationId xmlns:a16="http://schemas.microsoft.com/office/drawing/2014/main" id="{00000000-0008-0000-0900-0000A026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65100" y="254000"/>
          <a:ext cx="850900" cy="1003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41275</xdr:colOff>
      <xdr:row>0</xdr:row>
      <xdr:rowOff>28575</xdr:rowOff>
    </xdr:from>
    <xdr:to>
      <xdr:col>1</xdr:col>
      <xdr:colOff>1326006</xdr:colOff>
      <xdr:row>1</xdr:row>
      <xdr:rowOff>0</xdr:rowOff>
    </xdr:to>
    <xdr:sp macro="" textlink="">
      <xdr:nvSpPr>
        <xdr:cNvPr id="54346" name="AutoShape 50">
          <a:hlinkClick xmlns:r="http://schemas.openxmlformats.org/officeDocument/2006/relationships" r:id="rId1"/>
          <a:extLst>
            <a:ext uri="{FF2B5EF4-FFF2-40B4-BE49-F238E27FC236}">
              <a16:creationId xmlns:a16="http://schemas.microsoft.com/office/drawing/2014/main" id="{00000000-0008-0000-0100-00004AD40000}"/>
            </a:ext>
          </a:extLst>
        </xdr:cNvPr>
        <xdr:cNvSpPr>
          <a:spLocks noChangeArrowheads="1"/>
        </xdr:cNvSpPr>
      </xdr:nvSpPr>
      <xdr:spPr bwMode="auto">
        <a:xfrm>
          <a:off x="28575" y="28575"/>
          <a:ext cx="1276350" cy="409575"/>
        </a:xfrm>
        <a:prstGeom prst="leftArrow">
          <a:avLst>
            <a:gd name="adj1" fmla="val 50000"/>
            <a:gd name="adj2" fmla="val 7790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0</xdr:rowOff>
    </xdr:from>
    <xdr:to>
      <xdr:col>1</xdr:col>
      <xdr:colOff>1078426</xdr:colOff>
      <xdr:row>1</xdr:row>
      <xdr:rowOff>9525</xdr:rowOff>
    </xdr:to>
    <xdr:sp macro="" textlink="">
      <xdr:nvSpPr>
        <xdr:cNvPr id="6445" name="AutoShape 50">
          <a:hlinkClick xmlns:r="http://schemas.openxmlformats.org/officeDocument/2006/relationships" r:id="rId1"/>
          <a:extLst>
            <a:ext uri="{FF2B5EF4-FFF2-40B4-BE49-F238E27FC236}">
              <a16:creationId xmlns:a16="http://schemas.microsoft.com/office/drawing/2014/main" id="{00000000-0008-0000-0200-00002D190000}"/>
            </a:ext>
          </a:extLst>
        </xdr:cNvPr>
        <xdr:cNvSpPr>
          <a:spLocks noChangeArrowheads="1"/>
        </xdr:cNvSpPr>
      </xdr:nvSpPr>
      <xdr:spPr bwMode="auto">
        <a:xfrm>
          <a:off x="47625" y="0"/>
          <a:ext cx="1076325" cy="381000"/>
        </a:xfrm>
        <a:prstGeom prst="leftArrow">
          <a:avLst>
            <a:gd name="adj1" fmla="val 50000"/>
            <a:gd name="adj2" fmla="val 70625"/>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1143000</xdr:colOff>
      <xdr:row>34</xdr:row>
      <xdr:rowOff>127000</xdr:rowOff>
    </xdr:from>
    <xdr:to>
      <xdr:col>6</xdr:col>
      <xdr:colOff>1143000</xdr:colOff>
      <xdr:row>48</xdr:row>
      <xdr:rowOff>165100</xdr:rowOff>
    </xdr:to>
    <xdr:cxnSp macro="">
      <xdr:nvCxnSpPr>
        <xdr:cNvPr id="4254007" name="AutoShape 100">
          <a:extLst>
            <a:ext uri="{FF2B5EF4-FFF2-40B4-BE49-F238E27FC236}">
              <a16:creationId xmlns:a16="http://schemas.microsoft.com/office/drawing/2014/main" id="{00000000-0008-0000-0200-000037E94000}"/>
            </a:ext>
          </a:extLst>
        </xdr:cNvPr>
        <xdr:cNvCxnSpPr>
          <a:cxnSpLocks noChangeShapeType="1"/>
        </xdr:cNvCxnSpPr>
      </xdr:nvCxnSpPr>
      <xdr:spPr bwMode="auto">
        <a:xfrm rot="5400000">
          <a:off x="9118600" y="6908800"/>
          <a:ext cx="3098800" cy="0"/>
        </a:xfrm>
        <a:prstGeom prst="straightConnector1">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49</xdr:row>
      <xdr:rowOff>101600</xdr:rowOff>
    </xdr:from>
    <xdr:to>
      <xdr:col>4</xdr:col>
      <xdr:colOff>1219200</xdr:colOff>
      <xdr:row>49</xdr:row>
      <xdr:rowOff>101600</xdr:rowOff>
    </xdr:to>
    <xdr:cxnSp macro="">
      <xdr:nvCxnSpPr>
        <xdr:cNvPr id="4254008" name="AutoShape 101">
          <a:extLst>
            <a:ext uri="{FF2B5EF4-FFF2-40B4-BE49-F238E27FC236}">
              <a16:creationId xmlns:a16="http://schemas.microsoft.com/office/drawing/2014/main" id="{00000000-0008-0000-0200-000038E94000}"/>
            </a:ext>
          </a:extLst>
        </xdr:cNvPr>
        <xdr:cNvCxnSpPr>
          <a:cxnSpLocks noChangeShapeType="1"/>
        </xdr:cNvCxnSpPr>
      </xdr:nvCxnSpPr>
      <xdr:spPr bwMode="auto">
        <a:xfrm rot="10800000">
          <a:off x="6934200" y="8597900"/>
          <a:ext cx="1219200" cy="0"/>
        </a:xfrm>
        <a:prstGeom prst="straightConnector1">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212725</xdr:colOff>
      <xdr:row>2</xdr:row>
      <xdr:rowOff>0</xdr:rowOff>
    </xdr:from>
    <xdr:to>
      <xdr:col>0</xdr:col>
      <xdr:colOff>1353337</xdr:colOff>
      <xdr:row>2</xdr:row>
      <xdr:rowOff>435617</xdr:rowOff>
    </xdr:to>
    <xdr:sp macro="" textlink="">
      <xdr:nvSpPr>
        <xdr:cNvPr id="3189" name="Rectangle 117">
          <a:hlinkClick xmlns:r="http://schemas.openxmlformats.org/officeDocument/2006/relationships" r:id="rId1"/>
          <a:extLst>
            <a:ext uri="{FF2B5EF4-FFF2-40B4-BE49-F238E27FC236}">
              <a16:creationId xmlns:a16="http://schemas.microsoft.com/office/drawing/2014/main" id="{00000000-0008-0000-0300-0000750C0000}"/>
            </a:ext>
          </a:extLst>
        </xdr:cNvPr>
        <xdr:cNvSpPr>
          <a:spLocks noChangeArrowheads="1"/>
        </xdr:cNvSpPr>
      </xdr:nvSpPr>
      <xdr:spPr bwMode="auto">
        <a:xfrm>
          <a:off x="200025" y="590550"/>
          <a:ext cx="981075" cy="4476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lnSpc>
              <a:spcPts val="900"/>
            </a:lnSpc>
            <a:defRPr sz="1000"/>
          </a:pPr>
          <a:r>
            <a:rPr lang="en-ZA" sz="900" b="0" i="0" strike="noStrike">
              <a:solidFill>
                <a:srgbClr val="000000"/>
              </a:solidFill>
              <a:latin typeface="Calibri"/>
            </a:rPr>
            <a:t>http://www.crwflags.com/fotw/flags/country.html</a:t>
          </a:r>
        </a:p>
      </xdr:txBody>
    </xdr:sp>
    <xdr:clientData/>
  </xdr:twoCellAnchor>
  <xdr:twoCellAnchor>
    <xdr:from>
      <xdr:col>0</xdr:col>
      <xdr:colOff>44450</xdr:colOff>
      <xdr:row>0</xdr:row>
      <xdr:rowOff>6350</xdr:rowOff>
    </xdr:from>
    <xdr:to>
      <xdr:col>0</xdr:col>
      <xdr:colOff>1264536</xdr:colOff>
      <xdr:row>1</xdr:row>
      <xdr:rowOff>76401</xdr:rowOff>
    </xdr:to>
    <xdr:sp macro="" textlink="">
      <xdr:nvSpPr>
        <xdr:cNvPr id="3455" name="AutoShape 50">
          <a:hlinkClick xmlns:r="http://schemas.openxmlformats.org/officeDocument/2006/relationships" r:id="rId2"/>
          <a:extLst>
            <a:ext uri="{FF2B5EF4-FFF2-40B4-BE49-F238E27FC236}">
              <a16:creationId xmlns:a16="http://schemas.microsoft.com/office/drawing/2014/main" id="{00000000-0008-0000-0300-00007F0D0000}"/>
            </a:ext>
          </a:extLst>
        </xdr:cNvPr>
        <xdr:cNvSpPr>
          <a:spLocks noChangeArrowheads="1"/>
        </xdr:cNvSpPr>
      </xdr:nvSpPr>
      <xdr:spPr bwMode="auto">
        <a:xfrm>
          <a:off x="38100" y="1905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25400</xdr:colOff>
      <xdr:row>9</xdr:row>
      <xdr:rowOff>101600</xdr:rowOff>
    </xdr:from>
    <xdr:to>
      <xdr:col>6</xdr:col>
      <xdr:colOff>25400</xdr:colOff>
      <xdr:row>20</xdr:row>
      <xdr:rowOff>177800</xdr:rowOff>
    </xdr:to>
    <xdr:graphicFrame macro="">
      <xdr:nvGraphicFramePr>
        <xdr:cNvPr id="5477384" name="Chart 32">
          <a:extLst>
            <a:ext uri="{FF2B5EF4-FFF2-40B4-BE49-F238E27FC236}">
              <a16:creationId xmlns:a16="http://schemas.microsoft.com/office/drawing/2014/main" id="{00000000-0008-0000-0400-000008945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44450</xdr:colOff>
      <xdr:row>0</xdr:row>
      <xdr:rowOff>28575</xdr:rowOff>
    </xdr:from>
    <xdr:to>
      <xdr:col>2</xdr:col>
      <xdr:colOff>77</xdr:colOff>
      <xdr:row>0</xdr:row>
      <xdr:rowOff>349603</xdr:rowOff>
    </xdr:to>
    <xdr:sp macro="" textlink="">
      <xdr:nvSpPr>
        <xdr:cNvPr id="7519" name="AutoShape 50">
          <a:hlinkClick xmlns:r="http://schemas.openxmlformats.org/officeDocument/2006/relationships" r:id="rId2"/>
          <a:extLst>
            <a:ext uri="{FF2B5EF4-FFF2-40B4-BE49-F238E27FC236}">
              <a16:creationId xmlns:a16="http://schemas.microsoft.com/office/drawing/2014/main" id="{00000000-0008-0000-0400-00005F1D0000}"/>
            </a:ext>
          </a:extLst>
        </xdr:cNvPr>
        <xdr:cNvSpPr>
          <a:spLocks noChangeArrowheads="1"/>
        </xdr:cNvSpPr>
      </xdr:nvSpPr>
      <xdr:spPr bwMode="auto">
        <a:xfrm>
          <a:off x="38100" y="28575"/>
          <a:ext cx="952500" cy="333375"/>
        </a:xfrm>
        <a:prstGeom prst="leftArrow">
          <a:avLst>
            <a:gd name="adj1" fmla="val 50000"/>
            <a:gd name="adj2" fmla="val 71429"/>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38100</xdr:colOff>
      <xdr:row>9</xdr:row>
      <xdr:rowOff>63500</xdr:rowOff>
    </xdr:from>
    <xdr:to>
      <xdr:col>11</xdr:col>
      <xdr:colOff>0</xdr:colOff>
      <xdr:row>20</xdr:row>
      <xdr:rowOff>174544</xdr:rowOff>
    </xdr:to>
    <xdr:grpSp>
      <xdr:nvGrpSpPr>
        <xdr:cNvPr id="5477386" name="Group 489">
          <a:extLst>
            <a:ext uri="{FF2B5EF4-FFF2-40B4-BE49-F238E27FC236}">
              <a16:creationId xmlns:a16="http://schemas.microsoft.com/office/drawing/2014/main" id="{00000000-0008-0000-0400-00000A945300}"/>
            </a:ext>
          </a:extLst>
        </xdr:cNvPr>
        <xdr:cNvGrpSpPr>
          <a:grpSpLocks/>
        </xdr:cNvGrpSpPr>
      </xdr:nvGrpSpPr>
      <xdr:grpSpPr bwMode="auto">
        <a:xfrm>
          <a:off x="3908714" y="2184977"/>
          <a:ext cx="3468831" cy="2206544"/>
          <a:chOff x="410" y="229"/>
          <a:chExt cx="366" cy="231"/>
        </a:xfrm>
      </xdr:grpSpPr>
      <xdr:graphicFrame macro="">
        <xdr:nvGraphicFramePr>
          <xdr:cNvPr id="5477390" name="Chart 31">
            <a:extLst>
              <a:ext uri="{FF2B5EF4-FFF2-40B4-BE49-F238E27FC236}">
                <a16:creationId xmlns:a16="http://schemas.microsoft.com/office/drawing/2014/main" id="{00000000-0008-0000-0400-00000E945300}"/>
              </a:ext>
            </a:extLst>
          </xdr:cNvPr>
          <xdr:cNvGraphicFramePr>
            <a:graphicFrameLocks/>
          </xdr:cNvGraphicFramePr>
        </xdr:nvGraphicFramePr>
        <xdr:xfrm>
          <a:off x="410" y="229"/>
          <a:ext cx="366" cy="231"/>
        </xdr:xfrm>
        <a:graphic>
          <a:graphicData uri="http://schemas.openxmlformats.org/drawingml/2006/chart">
            <c:chart xmlns:c="http://schemas.openxmlformats.org/drawingml/2006/chart" xmlns:r="http://schemas.openxmlformats.org/officeDocument/2006/relationships" r:id="rId3"/>
          </a:graphicData>
        </a:graphic>
      </xdr:graphicFrame>
      <xdr:pic>
        <xdr:nvPicPr>
          <xdr:cNvPr id="5477391" name="Picture 477" descr="one">
            <a:extLst>
              <a:ext uri="{FF2B5EF4-FFF2-40B4-BE49-F238E27FC236}">
                <a16:creationId xmlns:a16="http://schemas.microsoft.com/office/drawing/2014/main" id="{00000000-0008-0000-0400-00000F9453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79" y="436"/>
            <a:ext cx="239"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23</xdr:row>
      <xdr:rowOff>0</xdr:rowOff>
    </xdr:from>
    <xdr:to>
      <xdr:col>6</xdr:col>
      <xdr:colOff>0</xdr:colOff>
      <xdr:row>32</xdr:row>
      <xdr:rowOff>53949</xdr:rowOff>
    </xdr:to>
    <xdr:grpSp>
      <xdr:nvGrpSpPr>
        <xdr:cNvPr id="5477387" name="Group 490">
          <a:extLst>
            <a:ext uri="{FF2B5EF4-FFF2-40B4-BE49-F238E27FC236}">
              <a16:creationId xmlns:a16="http://schemas.microsoft.com/office/drawing/2014/main" id="{00000000-0008-0000-0400-00000B945300}"/>
            </a:ext>
          </a:extLst>
        </xdr:cNvPr>
        <xdr:cNvGrpSpPr>
          <a:grpSpLocks/>
        </xdr:cNvGrpSpPr>
      </xdr:nvGrpSpPr>
      <xdr:grpSpPr bwMode="auto">
        <a:xfrm>
          <a:off x="0" y="4814455"/>
          <a:ext cx="3870614" cy="2339949"/>
          <a:chOff x="0" y="505"/>
          <a:chExt cx="407" cy="245"/>
        </a:xfrm>
      </xdr:grpSpPr>
      <xdr:graphicFrame macro="">
        <xdr:nvGraphicFramePr>
          <xdr:cNvPr id="5477388" name="Chart 34">
            <a:extLst>
              <a:ext uri="{FF2B5EF4-FFF2-40B4-BE49-F238E27FC236}">
                <a16:creationId xmlns:a16="http://schemas.microsoft.com/office/drawing/2014/main" id="{00000000-0008-0000-0400-00000C945300}"/>
              </a:ext>
            </a:extLst>
          </xdr:cNvPr>
          <xdr:cNvGraphicFramePr>
            <a:graphicFrameLocks/>
          </xdr:cNvGraphicFramePr>
        </xdr:nvGraphicFramePr>
        <xdr:xfrm>
          <a:off x="0" y="505"/>
          <a:ext cx="407" cy="245"/>
        </xdr:xfrm>
        <a:graphic>
          <a:graphicData uri="http://schemas.openxmlformats.org/drawingml/2006/chart">
            <c:chart xmlns:c="http://schemas.openxmlformats.org/drawingml/2006/chart" xmlns:r="http://schemas.openxmlformats.org/officeDocument/2006/relationships" r:id="rId5"/>
          </a:graphicData>
        </a:graphic>
      </xdr:graphicFrame>
      <xdr:pic>
        <xdr:nvPicPr>
          <xdr:cNvPr id="5477389" name="Picture 487" descr="ok">
            <a:extLst>
              <a:ext uri="{FF2B5EF4-FFF2-40B4-BE49-F238E27FC236}">
                <a16:creationId xmlns:a16="http://schemas.microsoft.com/office/drawing/2014/main" id="{00000000-0008-0000-0400-00000D9453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10" y="723"/>
            <a:ext cx="198"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38100</xdr:colOff>
      <xdr:row>7</xdr:row>
      <xdr:rowOff>177800</xdr:rowOff>
    </xdr:from>
    <xdr:to>
      <xdr:col>12</xdr:col>
      <xdr:colOff>266700</xdr:colOff>
      <xdr:row>14</xdr:row>
      <xdr:rowOff>152400</xdr:rowOff>
    </xdr:to>
    <xdr:graphicFrame macro="">
      <xdr:nvGraphicFramePr>
        <xdr:cNvPr id="3897094" name="Chart 1034">
          <a:extLst>
            <a:ext uri="{FF2B5EF4-FFF2-40B4-BE49-F238E27FC236}">
              <a16:creationId xmlns:a16="http://schemas.microsoft.com/office/drawing/2014/main" id="{00000000-0008-0000-0500-00000677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76200</xdr:colOff>
      <xdr:row>16</xdr:row>
      <xdr:rowOff>0</xdr:rowOff>
    </xdr:from>
    <xdr:to>
      <xdr:col>5</xdr:col>
      <xdr:colOff>1104900</xdr:colOff>
      <xdr:row>25</xdr:row>
      <xdr:rowOff>25400</xdr:rowOff>
    </xdr:to>
    <xdr:graphicFrame macro="">
      <xdr:nvGraphicFramePr>
        <xdr:cNvPr id="3897095" name="Chart 1039">
          <a:extLst>
            <a:ext uri="{FF2B5EF4-FFF2-40B4-BE49-F238E27FC236}">
              <a16:creationId xmlns:a16="http://schemas.microsoft.com/office/drawing/2014/main" id="{00000000-0008-0000-0500-00000777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114300</xdr:colOff>
      <xdr:row>8</xdr:row>
      <xdr:rowOff>12700</xdr:rowOff>
    </xdr:from>
    <xdr:to>
      <xdr:col>5</xdr:col>
      <xdr:colOff>1257300</xdr:colOff>
      <xdr:row>14</xdr:row>
      <xdr:rowOff>63500</xdr:rowOff>
    </xdr:to>
    <xdr:graphicFrame macro="">
      <xdr:nvGraphicFramePr>
        <xdr:cNvPr id="3897096" name="Chart 1046">
          <a:extLst>
            <a:ext uri="{FF2B5EF4-FFF2-40B4-BE49-F238E27FC236}">
              <a16:creationId xmlns:a16="http://schemas.microsoft.com/office/drawing/2014/main" id="{00000000-0008-0000-0500-00000877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38100</xdr:colOff>
      <xdr:row>16</xdr:row>
      <xdr:rowOff>12700</xdr:rowOff>
    </xdr:from>
    <xdr:to>
      <xdr:col>12</xdr:col>
      <xdr:colOff>203200</xdr:colOff>
      <xdr:row>25</xdr:row>
      <xdr:rowOff>25400</xdr:rowOff>
    </xdr:to>
    <xdr:graphicFrame macro="">
      <xdr:nvGraphicFramePr>
        <xdr:cNvPr id="3897097" name="Chart 1054">
          <a:extLst>
            <a:ext uri="{FF2B5EF4-FFF2-40B4-BE49-F238E27FC236}">
              <a16:creationId xmlns:a16="http://schemas.microsoft.com/office/drawing/2014/main" id="{00000000-0008-0000-0500-00000977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241300</xdr:colOff>
      <xdr:row>27</xdr:row>
      <xdr:rowOff>63500</xdr:rowOff>
    </xdr:from>
    <xdr:to>
      <xdr:col>5</xdr:col>
      <xdr:colOff>749300</xdr:colOff>
      <xdr:row>33</xdr:row>
      <xdr:rowOff>254000</xdr:rowOff>
    </xdr:to>
    <xdr:graphicFrame macro="">
      <xdr:nvGraphicFramePr>
        <xdr:cNvPr id="3897098" name="Chart 1091">
          <a:extLst>
            <a:ext uri="{FF2B5EF4-FFF2-40B4-BE49-F238E27FC236}">
              <a16:creationId xmlns:a16="http://schemas.microsoft.com/office/drawing/2014/main" id="{00000000-0008-0000-0500-00000A77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47625</xdr:colOff>
      <xdr:row>0</xdr:row>
      <xdr:rowOff>6350</xdr:rowOff>
    </xdr:from>
    <xdr:to>
      <xdr:col>2</xdr:col>
      <xdr:colOff>3175</xdr:colOff>
      <xdr:row>0</xdr:row>
      <xdr:rowOff>352547</xdr:rowOff>
    </xdr:to>
    <xdr:sp macro="" textlink="">
      <xdr:nvSpPr>
        <xdr:cNvPr id="14769" name="AutoShape 50">
          <a:hlinkClick xmlns:r="http://schemas.openxmlformats.org/officeDocument/2006/relationships" r:id="rId6"/>
          <a:extLst>
            <a:ext uri="{FF2B5EF4-FFF2-40B4-BE49-F238E27FC236}">
              <a16:creationId xmlns:a16="http://schemas.microsoft.com/office/drawing/2014/main" id="{00000000-0008-0000-0500-0000B1390000}"/>
            </a:ext>
          </a:extLst>
        </xdr:cNvPr>
        <xdr:cNvSpPr>
          <a:spLocks noChangeArrowheads="1"/>
        </xdr:cNvSpPr>
      </xdr:nvSpPr>
      <xdr:spPr bwMode="auto">
        <a:xfrm>
          <a:off x="47625" y="19050"/>
          <a:ext cx="866775" cy="333375"/>
        </a:xfrm>
        <a:prstGeom prst="leftArrow">
          <a:avLst>
            <a:gd name="adj1" fmla="val 50000"/>
            <a:gd name="adj2" fmla="val 65000"/>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177800</xdr:colOff>
      <xdr:row>9</xdr:row>
      <xdr:rowOff>50800</xdr:rowOff>
    </xdr:from>
    <xdr:to>
      <xdr:col>11</xdr:col>
      <xdr:colOff>50800</xdr:colOff>
      <xdr:row>17</xdr:row>
      <xdr:rowOff>0</xdr:rowOff>
    </xdr:to>
    <xdr:graphicFrame macro="">
      <xdr:nvGraphicFramePr>
        <xdr:cNvPr id="3902980" name="Chart 33">
          <a:extLst>
            <a:ext uri="{FF2B5EF4-FFF2-40B4-BE49-F238E27FC236}">
              <a16:creationId xmlns:a16="http://schemas.microsoft.com/office/drawing/2014/main" id="{00000000-0008-0000-0600-0000048E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0</xdr:rowOff>
    </xdr:from>
    <xdr:to>
      <xdr:col>2</xdr:col>
      <xdr:colOff>8746</xdr:colOff>
      <xdr:row>1</xdr:row>
      <xdr:rowOff>0</xdr:rowOff>
    </xdr:to>
    <xdr:sp macro="" textlink="">
      <xdr:nvSpPr>
        <xdr:cNvPr id="21885" name="AutoShape 50">
          <a:hlinkClick xmlns:r="http://schemas.openxmlformats.org/officeDocument/2006/relationships" r:id="rId2"/>
          <a:extLst>
            <a:ext uri="{FF2B5EF4-FFF2-40B4-BE49-F238E27FC236}">
              <a16:creationId xmlns:a16="http://schemas.microsoft.com/office/drawing/2014/main" id="{00000000-0008-0000-0600-00007D550000}"/>
            </a:ext>
          </a:extLst>
        </xdr:cNvPr>
        <xdr:cNvSpPr>
          <a:spLocks noChangeArrowheads="1"/>
        </xdr:cNvSpPr>
      </xdr:nvSpPr>
      <xdr:spPr bwMode="auto">
        <a:xfrm>
          <a:off x="9525" y="0"/>
          <a:ext cx="771525" cy="333375"/>
        </a:xfrm>
        <a:prstGeom prst="leftArrow">
          <a:avLst>
            <a:gd name="adj1" fmla="val 50000"/>
            <a:gd name="adj2" fmla="val 5785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11</xdr:col>
      <xdr:colOff>406400</xdr:colOff>
      <xdr:row>9</xdr:row>
      <xdr:rowOff>76200</xdr:rowOff>
    </xdr:from>
    <xdr:to>
      <xdr:col>16</xdr:col>
      <xdr:colOff>863600</xdr:colOff>
      <xdr:row>17</xdr:row>
      <xdr:rowOff>12700</xdr:rowOff>
    </xdr:to>
    <xdr:graphicFrame macro="">
      <xdr:nvGraphicFramePr>
        <xdr:cNvPr id="3902982" name="Chart 488">
          <a:extLst>
            <a:ext uri="{FF2B5EF4-FFF2-40B4-BE49-F238E27FC236}">
              <a16:creationId xmlns:a16="http://schemas.microsoft.com/office/drawing/2014/main" id="{00000000-0008-0000-0600-0000068E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762000</xdr:colOff>
      <xdr:row>9</xdr:row>
      <xdr:rowOff>88900</xdr:rowOff>
    </xdr:from>
    <xdr:to>
      <xdr:col>4</xdr:col>
      <xdr:colOff>457200</xdr:colOff>
      <xdr:row>17</xdr:row>
      <xdr:rowOff>63500</xdr:rowOff>
    </xdr:to>
    <xdr:graphicFrame macro="">
      <xdr:nvGraphicFramePr>
        <xdr:cNvPr id="3902983" name="Chart 553">
          <a:extLst>
            <a:ext uri="{FF2B5EF4-FFF2-40B4-BE49-F238E27FC236}">
              <a16:creationId xmlns:a16="http://schemas.microsoft.com/office/drawing/2014/main" id="{00000000-0008-0000-0600-0000078E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20</xdr:row>
      <xdr:rowOff>0</xdr:rowOff>
    </xdr:from>
    <xdr:to>
      <xdr:col>8</xdr:col>
      <xdr:colOff>101600</xdr:colOff>
      <xdr:row>20</xdr:row>
      <xdr:rowOff>0</xdr:rowOff>
    </xdr:to>
    <xdr:grpSp>
      <xdr:nvGrpSpPr>
        <xdr:cNvPr id="4870797" name="Group 41">
          <a:extLst>
            <a:ext uri="{FF2B5EF4-FFF2-40B4-BE49-F238E27FC236}">
              <a16:creationId xmlns:a16="http://schemas.microsoft.com/office/drawing/2014/main" id="{00000000-0008-0000-0700-00008D524A00}"/>
            </a:ext>
          </a:extLst>
        </xdr:cNvPr>
        <xdr:cNvGrpSpPr>
          <a:grpSpLocks/>
        </xdr:cNvGrpSpPr>
      </xdr:nvGrpSpPr>
      <xdr:grpSpPr bwMode="auto">
        <a:xfrm>
          <a:off x="6350000" y="5021385"/>
          <a:ext cx="101600" cy="0"/>
          <a:chOff x="595" y="540"/>
          <a:chExt cx="9" cy="9"/>
        </a:xfrm>
      </xdr:grpSpPr>
      <xdr:sp macro="" textlink="">
        <xdr:nvSpPr>
          <xdr:cNvPr id="4870808" name="Rectangle 11">
            <a:extLst>
              <a:ext uri="{FF2B5EF4-FFF2-40B4-BE49-F238E27FC236}">
                <a16:creationId xmlns:a16="http://schemas.microsoft.com/office/drawing/2014/main" id="{00000000-0008-0000-0700-000098524A00}"/>
              </a:ext>
            </a:extLst>
          </xdr:cNvPr>
          <xdr:cNvSpPr>
            <a:spLocks noChangeArrowheads="1"/>
          </xdr:cNvSpPr>
        </xdr:nvSpPr>
        <xdr:spPr bwMode="auto">
          <a:xfrm>
            <a:off x="595"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sp macro="" textlink="">
        <xdr:nvSpPr>
          <xdr:cNvPr id="4870809" name="Arc 12">
            <a:extLst>
              <a:ext uri="{FF2B5EF4-FFF2-40B4-BE49-F238E27FC236}">
                <a16:creationId xmlns:a16="http://schemas.microsoft.com/office/drawing/2014/main" id="{00000000-0008-0000-0700-000099524A00}"/>
              </a:ext>
            </a:extLst>
          </xdr:cNvPr>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clientData/>
  </xdr:twoCellAnchor>
  <xdr:twoCellAnchor>
    <xdr:from>
      <xdr:col>8</xdr:col>
      <xdr:colOff>1117600</xdr:colOff>
      <xdr:row>20</xdr:row>
      <xdr:rowOff>0</xdr:rowOff>
    </xdr:from>
    <xdr:to>
      <xdr:col>9</xdr:col>
      <xdr:colOff>12700</xdr:colOff>
      <xdr:row>20</xdr:row>
      <xdr:rowOff>0</xdr:rowOff>
    </xdr:to>
    <xdr:grpSp>
      <xdr:nvGrpSpPr>
        <xdr:cNvPr id="4870798" name="Group 44">
          <a:extLst>
            <a:ext uri="{FF2B5EF4-FFF2-40B4-BE49-F238E27FC236}">
              <a16:creationId xmlns:a16="http://schemas.microsoft.com/office/drawing/2014/main" id="{00000000-0008-0000-0700-00008E524A00}"/>
            </a:ext>
          </a:extLst>
        </xdr:cNvPr>
        <xdr:cNvGrpSpPr>
          <a:grpSpLocks/>
        </xdr:cNvGrpSpPr>
      </xdr:nvGrpSpPr>
      <xdr:grpSpPr bwMode="auto">
        <a:xfrm>
          <a:off x="7467600" y="5021385"/>
          <a:ext cx="106485" cy="0"/>
          <a:chOff x="698" y="540"/>
          <a:chExt cx="9" cy="9"/>
        </a:xfrm>
      </xdr:grpSpPr>
      <xdr:sp macro="" textlink="">
        <xdr:nvSpPr>
          <xdr:cNvPr id="4870806" name="Rectangle 47">
            <a:extLst>
              <a:ext uri="{FF2B5EF4-FFF2-40B4-BE49-F238E27FC236}">
                <a16:creationId xmlns:a16="http://schemas.microsoft.com/office/drawing/2014/main" id="{00000000-0008-0000-0700-000096524A00}"/>
              </a:ext>
            </a:extLst>
          </xdr:cNvPr>
          <xdr:cNvSpPr>
            <a:spLocks noChangeArrowheads="1"/>
          </xdr:cNvSpPr>
        </xdr:nvSpPr>
        <xdr:spPr bwMode="auto">
          <a:xfrm rot="-5400000" flipH="1" flipV="1">
            <a:off x="698"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sp macro="" textlink="">
        <xdr:nvSpPr>
          <xdr:cNvPr id="4870807" name="Arc 48">
            <a:extLst>
              <a:ext uri="{FF2B5EF4-FFF2-40B4-BE49-F238E27FC236}">
                <a16:creationId xmlns:a16="http://schemas.microsoft.com/office/drawing/2014/main" id="{00000000-0008-0000-0700-000097524A00}"/>
              </a:ext>
            </a:extLst>
          </xdr:cNvPr>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clientData/>
  </xdr:twoCellAnchor>
  <xdr:twoCellAnchor>
    <xdr:from>
      <xdr:col>6</xdr:col>
      <xdr:colOff>889000</xdr:colOff>
      <xdr:row>20</xdr:row>
      <xdr:rowOff>0</xdr:rowOff>
    </xdr:from>
    <xdr:to>
      <xdr:col>7</xdr:col>
      <xdr:colOff>0</xdr:colOff>
      <xdr:row>20</xdr:row>
      <xdr:rowOff>0</xdr:rowOff>
    </xdr:to>
    <xdr:grpSp>
      <xdr:nvGrpSpPr>
        <xdr:cNvPr id="4870799" name="Group 47">
          <a:extLst>
            <a:ext uri="{FF2B5EF4-FFF2-40B4-BE49-F238E27FC236}">
              <a16:creationId xmlns:a16="http://schemas.microsoft.com/office/drawing/2014/main" id="{00000000-0008-0000-0700-00008F524A00}"/>
            </a:ext>
          </a:extLst>
        </xdr:cNvPr>
        <xdr:cNvGrpSpPr>
          <a:grpSpLocks/>
        </xdr:cNvGrpSpPr>
      </xdr:nvGrpSpPr>
      <xdr:grpSpPr bwMode="auto">
        <a:xfrm>
          <a:off x="5920154" y="5021385"/>
          <a:ext cx="97692" cy="0"/>
          <a:chOff x="698" y="540"/>
          <a:chExt cx="9" cy="9"/>
        </a:xfrm>
      </xdr:grpSpPr>
      <xdr:sp macro="" textlink="">
        <xdr:nvSpPr>
          <xdr:cNvPr id="4870804" name="Rectangle 47">
            <a:extLst>
              <a:ext uri="{FF2B5EF4-FFF2-40B4-BE49-F238E27FC236}">
                <a16:creationId xmlns:a16="http://schemas.microsoft.com/office/drawing/2014/main" id="{00000000-0008-0000-0700-000094524A00}"/>
              </a:ext>
            </a:extLst>
          </xdr:cNvPr>
          <xdr:cNvSpPr>
            <a:spLocks noChangeArrowheads="1"/>
          </xdr:cNvSpPr>
        </xdr:nvSpPr>
        <xdr:spPr bwMode="auto">
          <a:xfrm rot="-5400000" flipH="1" flipV="1">
            <a:off x="698"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sp macro="" textlink="">
        <xdr:nvSpPr>
          <xdr:cNvPr id="4870805" name="Arc 48">
            <a:extLst>
              <a:ext uri="{FF2B5EF4-FFF2-40B4-BE49-F238E27FC236}">
                <a16:creationId xmlns:a16="http://schemas.microsoft.com/office/drawing/2014/main" id="{00000000-0008-0000-0700-000095524A00}"/>
              </a:ext>
            </a:extLst>
          </xdr:cNvPr>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clientData/>
  </xdr:twoCellAnchor>
  <xdr:twoCellAnchor>
    <xdr:from>
      <xdr:col>3</xdr:col>
      <xdr:colOff>0</xdr:colOff>
      <xdr:row>20</xdr:row>
      <xdr:rowOff>0</xdr:rowOff>
    </xdr:from>
    <xdr:to>
      <xdr:col>3</xdr:col>
      <xdr:colOff>101600</xdr:colOff>
      <xdr:row>20</xdr:row>
      <xdr:rowOff>0</xdr:rowOff>
    </xdr:to>
    <xdr:grpSp>
      <xdr:nvGrpSpPr>
        <xdr:cNvPr id="4870800" name="Group 50">
          <a:extLst>
            <a:ext uri="{FF2B5EF4-FFF2-40B4-BE49-F238E27FC236}">
              <a16:creationId xmlns:a16="http://schemas.microsoft.com/office/drawing/2014/main" id="{00000000-0008-0000-0700-000090524A00}"/>
            </a:ext>
          </a:extLst>
        </xdr:cNvPr>
        <xdr:cNvGrpSpPr>
          <a:grpSpLocks/>
        </xdr:cNvGrpSpPr>
      </xdr:nvGrpSpPr>
      <xdr:grpSpPr bwMode="auto">
        <a:xfrm>
          <a:off x="1651000" y="5021385"/>
          <a:ext cx="101600" cy="0"/>
          <a:chOff x="595" y="540"/>
          <a:chExt cx="9" cy="9"/>
        </a:xfrm>
      </xdr:grpSpPr>
      <xdr:sp macro="" textlink="">
        <xdr:nvSpPr>
          <xdr:cNvPr id="4870802" name="Rectangle 11">
            <a:extLst>
              <a:ext uri="{FF2B5EF4-FFF2-40B4-BE49-F238E27FC236}">
                <a16:creationId xmlns:a16="http://schemas.microsoft.com/office/drawing/2014/main" id="{00000000-0008-0000-0700-000092524A00}"/>
              </a:ext>
            </a:extLst>
          </xdr:cNvPr>
          <xdr:cNvSpPr>
            <a:spLocks noChangeArrowheads="1"/>
          </xdr:cNvSpPr>
        </xdr:nvSpPr>
        <xdr:spPr bwMode="auto">
          <a:xfrm>
            <a:off x="595"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sp macro="" textlink="">
        <xdr:nvSpPr>
          <xdr:cNvPr id="4870803" name="Arc 12">
            <a:extLst>
              <a:ext uri="{FF2B5EF4-FFF2-40B4-BE49-F238E27FC236}">
                <a16:creationId xmlns:a16="http://schemas.microsoft.com/office/drawing/2014/main" id="{00000000-0008-0000-0700-000093524A00}"/>
              </a:ext>
            </a:extLst>
          </xdr:cNvPr>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clientData/>
  </xdr:twoCellAnchor>
  <xdr:twoCellAnchor>
    <xdr:from>
      <xdr:col>0</xdr:col>
      <xdr:colOff>9525</xdr:colOff>
      <xdr:row>0</xdr:row>
      <xdr:rowOff>76200</xdr:rowOff>
    </xdr:from>
    <xdr:to>
      <xdr:col>1</xdr:col>
      <xdr:colOff>1387168</xdr:colOff>
      <xdr:row>0</xdr:row>
      <xdr:rowOff>419100</xdr:rowOff>
    </xdr:to>
    <xdr:sp macro="" textlink="">
      <xdr:nvSpPr>
        <xdr:cNvPr id="1150121" name="AutoShape 50">
          <a:hlinkClick xmlns:r="http://schemas.openxmlformats.org/officeDocument/2006/relationships" r:id="rId1"/>
          <a:extLst>
            <a:ext uri="{FF2B5EF4-FFF2-40B4-BE49-F238E27FC236}">
              <a16:creationId xmlns:a16="http://schemas.microsoft.com/office/drawing/2014/main" id="{00000000-0008-0000-0700-0000A98C1100}"/>
            </a:ext>
          </a:extLst>
        </xdr:cNvPr>
        <xdr:cNvSpPr>
          <a:spLocks noChangeArrowheads="1"/>
        </xdr:cNvSpPr>
      </xdr:nvSpPr>
      <xdr:spPr bwMode="auto">
        <a:xfrm>
          <a:off x="9525" y="76200"/>
          <a:ext cx="1228725" cy="342900"/>
        </a:xfrm>
        <a:prstGeom prst="leftArrow">
          <a:avLst>
            <a:gd name="adj1" fmla="val 50000"/>
            <a:gd name="adj2" fmla="val 89583"/>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6</xdr:row>
      <xdr:rowOff>0</xdr:rowOff>
    </xdr:from>
    <xdr:to>
      <xdr:col>12</xdr:col>
      <xdr:colOff>0</xdr:colOff>
      <xdr:row>6</xdr:row>
      <xdr:rowOff>0</xdr:rowOff>
    </xdr:to>
    <xdr:graphicFrame macro="">
      <xdr:nvGraphicFramePr>
        <xdr:cNvPr id="33752" name="Chart 1">
          <a:extLst>
            <a:ext uri="{FF2B5EF4-FFF2-40B4-BE49-F238E27FC236}">
              <a16:creationId xmlns:a16="http://schemas.microsoft.com/office/drawing/2014/main" id="{00000000-0008-0000-0800-0000D88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38100</xdr:rowOff>
    </xdr:from>
    <xdr:to>
      <xdr:col>1</xdr:col>
      <xdr:colOff>922208</xdr:colOff>
      <xdr:row>0</xdr:row>
      <xdr:rowOff>371475</xdr:rowOff>
    </xdr:to>
    <xdr:sp macro="" textlink="">
      <xdr:nvSpPr>
        <xdr:cNvPr id="33131" name="AutoShape 50">
          <a:hlinkClick xmlns:r="http://schemas.openxmlformats.org/officeDocument/2006/relationships" r:id="rId2"/>
          <a:extLst>
            <a:ext uri="{FF2B5EF4-FFF2-40B4-BE49-F238E27FC236}">
              <a16:creationId xmlns:a16="http://schemas.microsoft.com/office/drawing/2014/main" id="{00000000-0008-0000-0800-00006B810000}"/>
            </a:ext>
          </a:extLst>
        </xdr:cNvPr>
        <xdr:cNvSpPr>
          <a:spLocks noChangeArrowheads="1"/>
        </xdr:cNvSpPr>
      </xdr:nvSpPr>
      <xdr:spPr bwMode="auto">
        <a:xfrm>
          <a:off x="19050" y="3810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tables/tableSingleCells1.xml><?xml version="1.0" encoding="utf-8"?>
<singleXmlCells xmlns="http://schemas.openxmlformats.org/spreadsheetml/2006/main">
  <singleXmlCell id="419" r="C4" connectionId="0">
    <xmlCellPr id="1" uniqueName="1">
      <xmlPr mapId="43" xpath="/ns1:Root/ns1:Country" xmlDataType="string"/>
    </xmlCellPr>
  </singleXmlCell>
  <singleXmlCell id="420" r="C6" connectionId="0">
    <xmlCellPr id="1" uniqueName="1">
      <xmlPr mapId="43" xpath="/ns1:Root/ns1:GrantNumber" xmlDataType="string"/>
    </xmlCellPr>
  </singleXmlCell>
  <singleXmlCell id="421" r="C8" connectionId="0">
    <xmlCellPr id="1" uniqueName="1">
      <xmlPr mapId="43" xpath="/ns1:Root/ns1:PR" xmlDataType="string"/>
    </xmlCellPr>
  </singleXmlCell>
  <singleXmlCell id="422" r="C10" connectionId="0">
    <xmlCellPr id="1" uniqueName="1">
      <xmlPr mapId="43" xpath="/ns1:Root/ns1:StartDate" xmlDataType="dateTime"/>
    </xmlCellPr>
  </singleXmlCell>
  <singleXmlCell id="423" r="C12" connectionId="0">
    <xmlCellPr id="1" uniqueName="1">
      <xmlPr mapId="43" xpath="/ns1:Root/ns1:LatestRating" xmlDataType="string"/>
    </xmlCellPr>
  </singleXmlCell>
  <singleXmlCell id="424" r="G4" connectionId="0">
    <xmlCellPr id="1" uniqueName="1">
      <xmlPr mapId="43" xpath="/ns1:Root/ns1:GranTitle" xmlDataType="string"/>
    </xmlCellPr>
  </singleXmlCell>
  <singleXmlCell id="425" r="G6" connectionId="0">
    <xmlCellPr id="1" uniqueName="1">
      <xmlPr mapId="43" xpath="/ns1:Root/ns1:Componenent" xmlDataType="string"/>
    </xmlCellPr>
  </singleXmlCell>
  <singleXmlCell id="426" r="I6" connectionId="0">
    <xmlCellPr id="1" uniqueName="1">
      <xmlPr mapId="43" xpath="/ns1:Root/ns1:TotalFunding" xmlDataType="double"/>
    </xmlCellPr>
  </singleXmlCell>
  <singleXmlCell id="427" r="G8" connectionId="0">
    <xmlCellPr id="1" uniqueName="1">
      <xmlPr mapId="43" xpath="/ns1:Root/ns1:Round" xmlDataType="string"/>
    </xmlCellPr>
  </singleXmlCell>
  <singleXmlCell id="428" r="I8" connectionId="0">
    <xmlCellPr id="1" uniqueName="1">
      <xmlPr mapId="43" xpath="/ns1:Root/ns1:Phase" xmlDataType="string"/>
    </xmlCellPr>
  </singleXmlCell>
  <singleXmlCell id="429" r="G10" connectionId="0">
    <xmlCellPr id="1" uniqueName="1">
      <xmlPr mapId="43" xpath="/ns1:Root/ns1:LFA" xmlDataType="string"/>
    </xmlCellPr>
  </singleXmlCell>
  <singleXmlCell id="430" r="G12" connectionId="0">
    <xmlCellPr id="1" uniqueName="1">
      <xmlPr mapId="43" xpath="/ns1:Root/ns1:FPM" xmlDataType="string"/>
    </xmlCellPr>
  </singleXmlCell>
  <singleXmlCell id="431" r="C16" connectionId="0">
    <xmlCellPr id="1" uniqueName="1">
      <xmlPr mapId="43" xpath="/ns1:Root/ns1:Period" xmlDataType="string"/>
    </xmlCellPr>
  </singleXmlCell>
  <singleXmlCell id="432" r="E16" connectionId="0">
    <xmlCellPr id="1" uniqueName="1">
      <xmlPr mapId="43" xpath="/ns1:Root/ns1:From" xmlDataType="dateTime"/>
    </xmlCellPr>
  </singleXmlCell>
  <singleXmlCell id="433" r="G16" connectionId="0">
    <xmlCellPr id="1" uniqueName="1">
      <xmlPr mapId="43" xpath="/ns1:Root/ns1:To" xmlDataType="dateTime"/>
    </xmlCellPr>
  </singleXmlCell>
  <singleXmlCell id="434" r="J16" connectionId="0">
    <xmlCellPr id="1" uniqueName="1">
      <xmlPr mapId="43" xpath="/ns1:Root/ns1:DataEntryDate" xmlDataType="dateTime"/>
    </xmlCellPr>
  </singleXmlCell>
  <singleXmlCell id="435" r="D18" connectionId="0">
    <xmlCellPr id="1" uniqueName="1">
      <xmlPr mapId="43" xpath="/ns1:Root/ns1:PreparedBy" xmlDataType="string"/>
    </xmlCellPr>
  </singleXmlCell>
  <singleXmlCell id="436" r="C31" connectionId="0">
    <xmlCellPr id="1" uniqueName="1">
      <xmlPr mapId="43" xpath="/ns1:Root/ns1:F1/ns1:Budget__in____P1" xmlDataType="double"/>
    </xmlCellPr>
  </singleXmlCell>
  <singleXmlCell id="437" r="D31" connectionId="0">
    <xmlCellPr id="1" uniqueName="1">
      <xmlPr mapId="43" xpath="/ns1:Root/ns1:F1/ns1:Budget__in____P2" xmlDataType="double"/>
    </xmlCellPr>
  </singleXmlCell>
  <singleXmlCell id="438" r="E31" connectionId="0">
    <xmlCellPr id="1" uniqueName="1">
      <xmlPr mapId="43" xpath="/ns1:Root/ns1:F1/ns1:Budget__in____P3" xmlDataType="string"/>
    </xmlCellPr>
  </singleXmlCell>
  <singleXmlCell id="439" r="F31" connectionId="0">
    <xmlCellPr id="1" uniqueName="1">
      <xmlPr mapId="43" xpath="/ns1:Root/ns1:F1/ns1:Budget__in____P4" xmlDataType="string"/>
    </xmlCellPr>
  </singleXmlCell>
  <singleXmlCell id="440" r="G31" connectionId="0">
    <xmlCellPr id="1" uniqueName="1">
      <xmlPr mapId="43" xpath="/ns1:Root/ns1:F1/ns1:Budget__in____P5" xmlDataType="string"/>
    </xmlCellPr>
  </singleXmlCell>
  <singleXmlCell id="441" r="H31" connectionId="0">
    <xmlCellPr id="1" uniqueName="1">
      <xmlPr mapId="43" xpath="/ns1:Root/ns1:F1/ns1:Budget__in____P6" xmlDataType="string"/>
    </xmlCellPr>
  </singleXmlCell>
  <singleXmlCell id="442" r="I31" connectionId="0">
    <xmlCellPr id="1" uniqueName="1">
      <xmlPr mapId="43" xpath="/ns1:Root/ns1:F1/ns1:Budget__in____P7" xmlDataType="string"/>
    </xmlCellPr>
  </singleXmlCell>
  <singleXmlCell id="443" r="J31" connectionId="0">
    <xmlCellPr id="1" uniqueName="1">
      <xmlPr mapId="43" xpath="/ns1:Root/ns1:F1/ns1:Budget__in____P8" xmlDataType="string"/>
    </xmlCellPr>
  </singleXmlCell>
  <singleXmlCell id="444" r="K31" connectionId="0">
    <xmlCellPr id="1" uniqueName="1">
      <xmlPr mapId="43" xpath="/ns1:Root/ns1:F1/ns1:Budget__in____P9" xmlDataType="string"/>
    </xmlCellPr>
  </singleXmlCell>
  <singleXmlCell id="445" r="L31" connectionId="0">
    <xmlCellPr id="1" uniqueName="1">
      <xmlPr mapId="43" xpath="/ns1:Root/ns1:F1/ns1:Budget__in____P10" xmlDataType="string"/>
    </xmlCellPr>
  </singleXmlCell>
  <singleXmlCell id="446" r="M31" connectionId="0">
    <xmlCellPr id="1" uniqueName="1">
      <xmlPr mapId="43" xpath="/ns1:Root/ns1:F1/ns1:Budget__in____P11" xmlDataType="string"/>
    </xmlCellPr>
  </singleXmlCell>
  <singleXmlCell id="447" r="N31" connectionId="0">
    <xmlCellPr id="1" uniqueName="1">
      <xmlPr mapId="43" xpath="/ns1:Root/ns1:F1/ns1:Budget__in____P12" xmlDataType="string"/>
    </xmlCellPr>
  </singleXmlCell>
  <singleXmlCell id="448" r="C32" connectionId="0">
    <xmlCellPr id="1" uniqueName="1">
      <xmlPr mapId="43" xpath="/ns1:Root/ns1:F1/ns1:Disbursements_by_GF__in____P1" xmlDataType="double"/>
    </xmlCellPr>
  </singleXmlCell>
  <singleXmlCell id="449" r="D32" connectionId="0">
    <xmlCellPr id="1" uniqueName="1">
      <xmlPr mapId="43" xpath="/ns1:Root/ns1:F1/ns1:Disbursements_by_GF__in____P2" xmlDataType="double"/>
    </xmlCellPr>
  </singleXmlCell>
  <singleXmlCell id="450" r="E32" connectionId="0">
    <xmlCellPr id="1" uniqueName="1">
      <xmlPr mapId="43" xpath="/ns1:Root/ns1:F1/ns1:Disbursements_by_GF__in____P3" xmlDataType="string"/>
    </xmlCellPr>
  </singleXmlCell>
  <singleXmlCell id="451" r="F32" connectionId="0">
    <xmlCellPr id="1" uniqueName="1">
      <xmlPr mapId="43" xpath="/ns1:Root/ns1:F1/ns1:Disbursements_by_GF__in____P4" xmlDataType="string"/>
    </xmlCellPr>
  </singleXmlCell>
  <singleXmlCell id="452" r="G32" connectionId="0">
    <xmlCellPr id="1" uniqueName="1">
      <xmlPr mapId="43" xpath="/ns1:Root/ns1:F1/ns1:Disbursements_by_GF__in____P5" xmlDataType="string"/>
    </xmlCellPr>
  </singleXmlCell>
  <singleXmlCell id="453" r="H32" connectionId="0">
    <xmlCellPr id="1" uniqueName="1">
      <xmlPr mapId="43" xpath="/ns1:Root/ns1:F1/ns1:Disbursements_by_GF__in____P6" xmlDataType="string"/>
    </xmlCellPr>
  </singleXmlCell>
  <singleXmlCell id="454" r="I32" connectionId="0">
    <xmlCellPr id="1" uniqueName="1">
      <xmlPr mapId="43" xpath="/ns1:Root/ns1:F1/ns1:Disbursements_by_GF__in____P7" xmlDataType="string"/>
    </xmlCellPr>
  </singleXmlCell>
  <singleXmlCell id="455" r="J32" connectionId="0">
    <xmlCellPr id="1" uniqueName="1">
      <xmlPr mapId="43" xpath="/ns1:Root/ns1:F1/ns1:Disbursements_by_GF__in____P8" xmlDataType="string"/>
    </xmlCellPr>
  </singleXmlCell>
  <singleXmlCell id="456" r="K32" connectionId="0">
    <xmlCellPr id="1" uniqueName="1">
      <xmlPr mapId="43" xpath="/ns1:Root/ns1:F1/ns1:Disbursements_by_GF__in____P9" xmlDataType="string"/>
    </xmlCellPr>
  </singleXmlCell>
  <singleXmlCell id="457" r="L32" connectionId="0">
    <xmlCellPr id="1" uniqueName="1">
      <xmlPr mapId="43" xpath="/ns1:Root/ns1:F1/ns1:Disbursements_by_GF__in____P10" xmlDataType="string"/>
    </xmlCellPr>
  </singleXmlCell>
  <singleXmlCell id="458" r="M32" connectionId="0">
    <xmlCellPr id="1" uniqueName="1">
      <xmlPr mapId="43" xpath="/ns1:Root/ns1:F1/ns1:Disbursements_by_GF__in____P11" xmlDataType="string"/>
    </xmlCellPr>
  </singleXmlCell>
  <singleXmlCell id="459" r="N32" connectionId="0">
    <xmlCellPr id="1" uniqueName="1">
      <xmlPr mapId="43" xpath="/ns1:Root/ns1:F1/ns1:Disbursements_by_GF__in____P12" xmlDataType="string"/>
    </xmlCellPr>
  </singleXmlCell>
  <singleXmlCell id="460" r="C39" connectionId="0">
    <xmlCellPr id="1" uniqueName="1">
      <xmlPr mapId="43" xpath="/ns1:Root/ns1:F2/ns1:TB__detect_and_treat_Cumulative_Budget__in___" xmlDataType="double"/>
    </xmlCellPr>
  </singleXmlCell>
  <singleXmlCell id="461" r="D39" connectionId="0">
    <xmlCellPr id="1" uniqueName="1">
      <xmlPr mapId="43" xpath="/ns1:Root/ns1:F2/ns1:TB__detect_and_treat_Cumulative_Expenditures__in___" xmlDataType="double"/>
    </xmlCellPr>
  </singleXmlCell>
  <singleXmlCell id="462" r="C40" connectionId="0">
    <xmlCellPr id="1" uniqueName="1">
      <xmlPr mapId="43" xpath="/ns1:Root/ns1:F2/ns1:TB__ID_cases_Cumulative_Budget__in___" xmlDataType="double"/>
    </xmlCellPr>
  </singleXmlCell>
  <singleXmlCell id="463" r="D40" connectionId="0">
    <xmlCellPr id="1" uniqueName="1">
      <xmlPr mapId="43" xpath="/ns1:Root/ns1:F2/ns1:TB__ID_cases_Cumulative_Expenditures__in___" xmlDataType="double"/>
    </xmlCellPr>
  </singleXmlCell>
  <singleXmlCell id="464" r="C41" connectionId="0">
    <xmlCellPr id="1" uniqueName="1">
      <xmlPr mapId="43" xpath="/ns1:Root/ns1:F2/ns1:TB_HIV__Cumulative_Budget__in___" xmlDataType="double"/>
    </xmlCellPr>
  </singleXmlCell>
  <singleXmlCell id="465" r="D41" connectionId="0">
    <xmlCellPr id="1" uniqueName="1">
      <xmlPr mapId="43" xpath="/ns1:Root/ns1:F2/ns1:TB_HIV__Cumulative_Expenditures__in___" xmlDataType="double"/>
    </xmlCellPr>
  </singleXmlCell>
  <singleXmlCell id="466" r="C42" connectionId="0">
    <xmlCellPr id="1" uniqueName="1">
      <xmlPr mapId="43" xpath="/ns1:Root/ns1:F2/ns1:Advocacy__Commun__SocMob_Cumulative_Budget__in___" xmlDataType="double"/>
    </xmlCellPr>
  </singleXmlCell>
  <singleXmlCell id="467" r="D42" connectionId="0">
    <xmlCellPr id="1" uniqueName="1">
      <xmlPr mapId="43" xpath="/ns1:Root/ns1:F2/ns1:Advocacy__Commun__SocMob_Cumulative_Expenditures__in___" xmlDataType="double"/>
    </xmlCellPr>
  </singleXmlCell>
  <singleXmlCell id="468" r="C43" connectionId="0">
    <xmlCellPr id="1" uniqueName="1">
      <xmlPr mapId="43" xpath="/ns1:Root/ns1:F2/ns1:Environ__Community_TB_care__Cumulative_Budget__in___" xmlDataType="double"/>
    </xmlCellPr>
  </singleXmlCell>
  <singleXmlCell id="469" r="D43" connectionId="0">
    <xmlCellPr id="1" uniqueName="1">
      <xmlPr mapId="43" xpath="/ns1:Root/ns1:F2/ns1:Environ__Community_TB_care__Cumulative_Expenditures__in___" xmlDataType="double"/>
    </xmlCellPr>
  </singleXmlCell>
  <singleXmlCell id="470" r="C44" connectionId="0">
    <xmlCellPr id="1" uniqueName="1">
      <xmlPr mapId="43" xpath="/ns1:Root/ns1:F2/ns1:_Cumulative_Budget__in____1" xmlDataType="string"/>
    </xmlCellPr>
  </singleXmlCell>
  <singleXmlCell id="471" r="D44" connectionId="0">
    <xmlCellPr id="1" uniqueName="1">
      <xmlPr mapId="43" xpath="/ns1:Root/ns1:F2/ns1:_Cumulative_Expenditures__in____1" xmlDataType="string"/>
    </xmlCellPr>
  </singleXmlCell>
  <singleXmlCell id="472" r="C45" connectionId="0">
    <xmlCellPr id="1" uniqueName="1">
      <xmlPr mapId="43" xpath="/ns1:Root/ns1:F2/ns1:_Cumulative_Budget__in____2" xmlDataType="string"/>
    </xmlCellPr>
  </singleXmlCell>
  <singleXmlCell id="473" r="D45" connectionId="0">
    <xmlCellPr id="1" uniqueName="1">
      <xmlPr mapId="43" xpath="/ns1:Root/ns1:F2/ns1:_Cumulative_Expenditures__in____2" xmlDataType="string"/>
    </xmlCellPr>
  </singleXmlCell>
  <singleXmlCell id="474" r="C49" connectionId="0">
    <xmlCellPr id="1" uniqueName="1">
      <xmlPr mapId="43" xpath="/ns1:Root/ns1:F2/ns1:_Cumulative_Budget__in___" xmlDataType="string"/>
    </xmlCellPr>
  </singleXmlCell>
  <singleXmlCell id="475" r="D49" connectionId="0">
    <xmlCellPr id="1" uniqueName="1">
      <xmlPr mapId="43" xpath="/ns1:Root/ns1:F2/ns1:_Cumulative_Expenditures__in___" xmlDataType="string"/>
    </xmlCellPr>
  </singleXmlCell>
  <singleXmlCell id="476" r="C55" connectionId="0">
    <xmlCellPr id="1" uniqueName="1">
      <xmlPr mapId="43" xpath="/ns1:Root/ns1:F3/ns1:Disbursed_by_Global_Fund_Prior_to_reporting_period__in___" xmlDataType="double"/>
    </xmlCellPr>
  </singleXmlCell>
  <singleXmlCell id="477" r="D55" connectionId="0">
    <xmlCellPr id="1" uniqueName="1">
      <xmlPr mapId="43" xpath="/ns1:Root/ns1:F3/ns1:Disbursed_by_Global_Fund_Reporting_period__in___" xmlDataType="double"/>
    </xmlCellPr>
  </singleXmlCell>
  <singleXmlCell id="478" r="C56" connectionId="0">
    <xmlCellPr id="1" uniqueName="1">
      <xmlPr mapId="43" xpath="/ns1:Root/ns1:F3/ns1:PR_expenditure_and_disbursement_Prior_to_reporting_period__in___" xmlDataType="double"/>
    </xmlCellPr>
  </singleXmlCell>
  <singleXmlCell id="479" r="D56" connectionId="0">
    <xmlCellPr id="1" uniqueName="1">
      <xmlPr mapId="43" xpath="/ns1:Root/ns1:F3/ns1:PR_expenditure_and_disbursement_Reporting_period__in___" xmlDataType="double"/>
    </xmlCellPr>
  </singleXmlCell>
  <singleXmlCell id="480" r="C57" connectionId="0">
    <xmlCellPr id="1" uniqueName="1">
      <xmlPr mapId="43" xpath="/ns1:Root/ns1:F3/ns1:Disbursed_to_SRs_Prior_to_reporting_period__in___" xmlDataType="double"/>
    </xmlCellPr>
  </singleXmlCell>
  <singleXmlCell id="481" r="D57" connectionId="0">
    <xmlCellPr id="1" uniqueName="1">
      <xmlPr mapId="43" xpath="/ns1:Root/ns1:F3/ns1:Disbursed_to_SRs_Reporting_period__in___" xmlDataType="double"/>
    </xmlCellPr>
  </singleXmlCell>
  <singleXmlCell id="482" r="C58" connectionId="0">
    <xmlCellPr id="1" uniqueName="1">
      <xmlPr mapId="43" xpath="/ns1:Root/ns1:F3/ns1:SR_expenditures_Prior_to_reporting_period__in___" xmlDataType="double"/>
    </xmlCellPr>
  </singleXmlCell>
  <singleXmlCell id="483" r="D58" connectionId="0">
    <xmlCellPr id="1" uniqueName="1">
      <xmlPr mapId="43" xpath="/ns1:Root/ns1:F3/ns1:SR_expenditures_Reporting_period__in___" xmlDataType="double"/>
    </xmlCellPr>
  </singleXmlCell>
  <singleXmlCell id="484" r="C65" connectionId="0">
    <xmlCellPr id="1" uniqueName="1">
      <xmlPr mapId="43" xpath="/ns1:Root/ns1:F4/ns1:Days_taken_to_submit_acceptable_PU_DR_to_LFA_Expected__days_" xmlDataType="double"/>
    </xmlCellPr>
  </singleXmlCell>
  <singleXmlCell id="485" r="D65" connectionId="0">
    <xmlCellPr id="1" uniqueName="1">
      <xmlPr mapId="43" xpath="/ns1:Root/ns1:F4/ns1:Days_taken_to_submit_acceptable_PU_DR_to_LFA_Actual__days_" xmlDataType="double"/>
    </xmlCellPr>
  </singleXmlCell>
  <singleXmlCell id="486" r="C66" connectionId="0">
    <xmlCellPr id="1" uniqueName="1">
      <xmlPr mapId="43" xpath="/ns1:Root/ns1:F4/ns1:Days_taken_for_disbursement_to_reach_PR_Expected__days_" xmlDataType="double"/>
    </xmlCellPr>
  </singleXmlCell>
  <singleXmlCell id="487" r="D66" connectionId="0">
    <xmlCellPr id="1" uniqueName="1">
      <xmlPr mapId="43" xpath="/ns1:Root/ns1:F4/ns1:Days_taken_for_disbursement_to_reach_PR_Actual__days_" xmlDataType="double"/>
    </xmlCellPr>
  </singleXmlCell>
  <singleXmlCell id="488" r="C67" connectionId="0">
    <xmlCellPr id="1" uniqueName="1">
      <xmlPr mapId="43" xpath="/ns1:Root/ns1:F4/ns1:Days_taken_for_disbursement_to_reach_SRs__Expected__days_" xmlDataType="double"/>
    </xmlCellPr>
  </singleXmlCell>
  <singleXmlCell id="489" r="D67" connectionId="0">
    <xmlCellPr id="1" uniqueName="1">
      <xmlPr mapId="43" xpath="/ns1:Root/ns1:F4/ns1:Days_taken_for_disbursement_to_reach_SRs__Actual__days_" xmlDataType="double"/>
    </xmlCellPr>
  </singleXmlCell>
  <singleXmlCell id="490" r="B75" connectionId="0">
    <xmlCellPr id="1" uniqueName="1">
      <xmlPr mapId="43" xpath="/ns1:Root/ns1:M1/ns1:Conditions_precedents__CPs__" xmlDataType="string"/>
    </xmlCellPr>
  </singleXmlCell>
  <singleXmlCell id="491" r="D75" connectionId="0">
    <xmlCellPr id="1" uniqueName="1">
      <xmlPr mapId="43" xpath="/ns1:Root/ns1:M1/ns1:Conditions_precedents__CPs__Fulfilled" xmlDataType="double"/>
    </xmlCellPr>
  </singleXmlCell>
  <singleXmlCell id="492" r="E75" connectionId="0">
    <xmlCellPr id="1" uniqueName="1">
      <xmlPr mapId="43" xpath="/ns1:Root/ns1:M1/ns1:Conditions_precedents__CPs__Not_fulfilled__but_within_deadline" xmlDataType="double"/>
    </xmlCellPr>
  </singleXmlCell>
  <singleXmlCell id="493" r="F75" connectionId="0">
    <xmlCellPr id="1" uniqueName="1">
      <xmlPr mapId="43" xpath="/ns1:Root/ns1:M1/ns1:Conditions_precedents__CPs__Not_fulfilled__and_past_the_deadline" xmlDataType="double"/>
    </xmlCellPr>
  </singleXmlCell>
  <singleXmlCell id="494" r="B76" connectionId="0">
    <xmlCellPr id="1" uniqueName="1">
      <xmlPr mapId="43" xpath="/ns1:Root/ns1:M1/ns1:Time_Bound_Actions__TBAs__" xmlDataType="string"/>
    </xmlCellPr>
  </singleXmlCell>
  <singleXmlCell id="495" r="D76" connectionId="0">
    <xmlCellPr id="1" uniqueName="1">
      <xmlPr mapId="43" xpath="/ns1:Root/ns1:M1/ns1:Time_Bound_Actions__TBAs__Fulfilled" xmlDataType="double"/>
    </xmlCellPr>
  </singleXmlCell>
  <singleXmlCell id="496" r="E76" connectionId="0">
    <xmlCellPr id="1" uniqueName="1">
      <xmlPr mapId="43" xpath="/ns1:Root/ns1:M1/ns1:Time_Bound_Actions__TBAs__Not_fulfilled__but_within_deadline" xmlDataType="string"/>
    </xmlCellPr>
  </singleXmlCell>
  <singleXmlCell id="497" r="F76" connectionId="0">
    <xmlCellPr id="1" uniqueName="1">
      <xmlPr mapId="43" xpath="/ns1:Root/ns1:M1/ns1:Time_Bound_Actions__TBAs__Not_fulfilled__and_past_the_deadline" xmlDataType="double"/>
    </xmlCellPr>
  </singleXmlCell>
  <singleXmlCell id="498" r="C82" connectionId="0">
    <xmlCellPr id="1" uniqueName="1">
      <xmlPr mapId="43" xpath="/ns1:Root/ns1:M2/ns1:PMU_Planned" xmlDataType="double"/>
    </xmlCellPr>
  </singleXmlCell>
  <singleXmlCell id="499" r="D82" connectionId="0">
    <xmlCellPr id="1" uniqueName="1">
      <xmlPr mapId="43" xpath="/ns1:Root/ns1:M2/ns1:PMU_Filled" xmlDataType="double"/>
    </xmlCellPr>
  </singleXmlCell>
  <singleXmlCell id="500" r="C87" connectionId="0">
    <xmlCellPr id="1" uniqueName="1">
      <xmlPr mapId="43" xpath="/ns1:Root/ns1:M3/ns1:SRs_Identified" xmlDataType="double"/>
    </xmlCellPr>
  </singleXmlCell>
  <singleXmlCell id="501" r="D87" connectionId="0">
    <xmlCellPr id="1" uniqueName="1">
      <xmlPr mapId="43" xpath="/ns1:Root/ns1:M3/ns1:SRs_Assessed" xmlDataType="double"/>
    </xmlCellPr>
  </singleXmlCell>
  <singleXmlCell id="502" r="E87" connectionId="0">
    <xmlCellPr id="1" uniqueName="1">
      <xmlPr mapId="43" xpath="/ns1:Root/ns1:M3/ns1:SRs_Approved" xmlDataType="double"/>
    </xmlCellPr>
  </singleXmlCell>
  <singleXmlCell id="503" r="F87" connectionId="0">
    <xmlCellPr id="1" uniqueName="1">
      <xmlPr mapId="43" xpath="/ns1:Root/ns1:M3/ns1:SRs_Signed" xmlDataType="double"/>
    </xmlCellPr>
  </singleXmlCell>
  <singleXmlCell id="504" r="G87" connectionId="0">
    <xmlCellPr id="1" uniqueName="1">
      <xmlPr mapId="43" xpath="/ns1:Root/ns1:M3/ns1:SRs_Receiving_Funding" xmlDataType="double"/>
    </xmlCellPr>
  </singleXmlCell>
  <singleXmlCell id="506" r="C92" connectionId="0">
    <xmlCellPr id="1" uniqueName="1">
      <xmlPr mapId="43" xpath="/ns1:Root/ns1:M4/ns1:SSR_to_SR__IR_____Expected" xmlDataType="string"/>
    </xmlCellPr>
  </singleXmlCell>
  <singleXmlCell id="507" r="D92" connectionId="0">
    <xmlCellPr id="1" uniqueName="1">
      <xmlPr mapId="43" xpath="/ns1:Root/ns1:M4/ns1:SSR_to_SR__IR____Received" xmlDataType="string"/>
    </xmlCellPr>
  </singleXmlCell>
  <singleXmlCell id="509" r="C93" connectionId="0">
    <xmlCellPr id="1" uniqueName="1">
      <xmlPr mapId="43" xpath="/ns1:Root/ns1:M4/ns1:SRs__IRs__to_PR____Expected" xmlDataType="double"/>
    </xmlCellPr>
  </singleXmlCell>
  <singleXmlCell id="510" r="D93" connectionId="0">
    <xmlCellPr id="1" uniqueName="1">
      <xmlPr mapId="43" xpath="/ns1:Root/ns1:M4/ns1:SRs__IRs__to_PR___Received" xmlDataType="double"/>
    </xmlCellPr>
  </singleXmlCell>
  <singleXmlCell id="511" r="C98" connectionId="0">
    <xmlCellPr id="1" uniqueName="1">
      <xmlPr mapId="43" xpath="/ns1:Root/ns1:M5/ns1:Budget_Approved__P1" xmlDataType="double"/>
    </xmlCellPr>
  </singleXmlCell>
  <singleXmlCell id="512" r="D98" connectionId="0">
    <xmlCellPr id="1" uniqueName="1">
      <xmlPr mapId="43" xpath="/ns1:Root/ns1:M5/ns1:Budget_Approved__P2" xmlDataType="double"/>
    </xmlCellPr>
  </singleXmlCell>
  <singleXmlCell id="513" r="E98" connectionId="0">
    <xmlCellPr id="1" uniqueName="1">
      <xmlPr mapId="43" xpath="/ns1:Root/ns1:M5/ns1:Budget_Approved__P3" xmlDataType="double"/>
    </xmlCellPr>
  </singleXmlCell>
  <singleXmlCell id="514" r="F98" connectionId="0">
    <xmlCellPr id="1" uniqueName="1">
      <xmlPr mapId="43" xpath="/ns1:Root/ns1:M5/ns1:Budget_Approved__P4" xmlDataType="double"/>
    </xmlCellPr>
  </singleXmlCell>
  <singleXmlCell id="515" r="G98" connectionId="0">
    <xmlCellPr id="1" uniqueName="1">
      <xmlPr mapId="43" xpath="/ns1:Root/ns1:M5/ns1:Budget_Approved__P5" xmlDataType="double"/>
    </xmlCellPr>
  </singleXmlCell>
  <singleXmlCell id="516" r="H98" connectionId="0">
    <xmlCellPr id="1" uniqueName="1">
      <xmlPr mapId="43" xpath="/ns1:Root/ns1:M5/ns1:Budget_Approved__P6" xmlDataType="double"/>
    </xmlCellPr>
  </singleXmlCell>
  <singleXmlCell id="517" r="I98" connectionId="0">
    <xmlCellPr id="1" uniqueName="1">
      <xmlPr mapId="43" xpath="/ns1:Root/ns1:M5/ns1:Budget_Approved__P7" xmlDataType="double"/>
    </xmlCellPr>
  </singleXmlCell>
  <singleXmlCell id="518" r="J98" connectionId="0">
    <xmlCellPr id="1" uniqueName="1">
      <xmlPr mapId="43" xpath="/ns1:Root/ns1:M5/ns1:Budget_Approved__P8" xmlDataType="double"/>
    </xmlCellPr>
  </singleXmlCell>
  <singleXmlCell id="519" r="K98" connectionId="0">
    <xmlCellPr id="1" uniqueName="1">
      <xmlPr mapId="43" xpath="/ns1:Root/ns1:M5/ns1:Budget_Approved__P9" xmlDataType="double"/>
    </xmlCellPr>
  </singleXmlCell>
  <singleXmlCell id="520" r="L98" connectionId="0">
    <xmlCellPr id="1" uniqueName="1">
      <xmlPr mapId="43" xpath="/ns1:Root/ns1:M5/ns1:Budget_Approved__P10" xmlDataType="double"/>
    </xmlCellPr>
  </singleXmlCell>
  <singleXmlCell id="521" r="M98" connectionId="0">
    <xmlCellPr id="1" uniqueName="1">
      <xmlPr mapId="43" xpath="/ns1:Root/ns1:M5/ns1:Budget_Approved__P11" xmlDataType="double"/>
    </xmlCellPr>
  </singleXmlCell>
  <singleXmlCell id="522" r="N98" connectionId="0">
    <xmlCellPr id="1" uniqueName="1">
      <xmlPr mapId="43" xpath="/ns1:Root/ns1:M5/ns1:Budget_Approved__P12" xmlDataType="double"/>
    </xmlCellPr>
  </singleXmlCell>
  <singleXmlCell id="523" r="C99" connectionId="0">
    <xmlCellPr id="1" uniqueName="1">
      <xmlPr mapId="43" xpath="/ns1:Root/ns1:M5/ns1:Obligations_P1" xmlDataType="double"/>
    </xmlCellPr>
  </singleXmlCell>
  <singleXmlCell id="524" r="D99" connectionId="0">
    <xmlCellPr id="1" uniqueName="1">
      <xmlPr mapId="43" xpath="/ns1:Root/ns1:M5/ns1:Obligations_P2" xmlDataType="double"/>
    </xmlCellPr>
  </singleXmlCell>
  <singleXmlCell id="525" r="E99" connectionId="0">
    <xmlCellPr id="1" uniqueName="1">
      <xmlPr mapId="43" xpath="/ns1:Root/ns1:M5/ns1:Obligations_P3" xmlDataType="double"/>
    </xmlCellPr>
  </singleXmlCell>
  <singleXmlCell id="526" r="F99" connectionId="0">
    <xmlCellPr id="1" uniqueName="1">
      <xmlPr mapId="43" xpath="/ns1:Root/ns1:M5/ns1:Obligations_P4" xmlDataType="double"/>
    </xmlCellPr>
  </singleXmlCell>
  <singleXmlCell id="527" r="G99" connectionId="0">
    <xmlCellPr id="1" uniqueName="1">
      <xmlPr mapId="43" xpath="/ns1:Root/ns1:M5/ns1:Obligations_P5" xmlDataType="double"/>
    </xmlCellPr>
  </singleXmlCell>
  <singleXmlCell id="528" r="H99" connectionId="0">
    <xmlCellPr id="1" uniqueName="1">
      <xmlPr mapId="43" xpath="/ns1:Root/ns1:M5/ns1:Obligations_P6" xmlDataType="double"/>
    </xmlCellPr>
  </singleXmlCell>
  <singleXmlCell id="529" r="I99" connectionId="0">
    <xmlCellPr id="1" uniqueName="1">
      <xmlPr mapId="43" xpath="/ns1:Root/ns1:M5/ns1:Obligations_P7" xmlDataType="double"/>
    </xmlCellPr>
  </singleXmlCell>
  <singleXmlCell id="530" r="J99" connectionId="0">
    <xmlCellPr id="1" uniqueName="1">
      <xmlPr mapId="43" xpath="/ns1:Root/ns1:M5/ns1:Obligations_P8" xmlDataType="double"/>
    </xmlCellPr>
  </singleXmlCell>
  <singleXmlCell id="531" r="K99" connectionId="0">
    <xmlCellPr id="1" uniqueName="1">
      <xmlPr mapId="43" xpath="/ns1:Root/ns1:M5/ns1:Obligations_P9" xmlDataType="double"/>
    </xmlCellPr>
  </singleXmlCell>
  <singleXmlCell id="532" r="L99" connectionId="0">
    <xmlCellPr id="1" uniqueName="1">
      <xmlPr mapId="43" xpath="/ns1:Root/ns1:M5/ns1:Obligations_P10" xmlDataType="double"/>
    </xmlCellPr>
  </singleXmlCell>
  <singleXmlCell id="533" r="M99" connectionId="0">
    <xmlCellPr id="1" uniqueName="1">
      <xmlPr mapId="43" xpath="/ns1:Root/ns1:M5/ns1:Obligations_P11" xmlDataType="double"/>
    </xmlCellPr>
  </singleXmlCell>
  <singleXmlCell id="534" r="N99" connectionId="0">
    <xmlCellPr id="1" uniqueName="1">
      <xmlPr mapId="43" xpath="/ns1:Root/ns1:M5/ns1:Obligations_P12" xmlDataType="double"/>
    </xmlCellPr>
  </singleXmlCell>
  <singleXmlCell id="535" r="C100" connectionId="0">
    <xmlCellPr id="1" uniqueName="1">
      <xmlPr mapId="43" xpath="/ns1:Root/ns1:M5/ns1:Expenditures_P1" xmlDataType="double"/>
    </xmlCellPr>
  </singleXmlCell>
  <singleXmlCell id="536" r="D100" connectionId="0">
    <xmlCellPr id="1" uniqueName="1">
      <xmlPr mapId="43" xpath="/ns1:Root/ns1:M5/ns1:Expenditures_P2" xmlDataType="double"/>
    </xmlCellPr>
  </singleXmlCell>
  <singleXmlCell id="537" r="E100" connectionId="0">
    <xmlCellPr id="1" uniqueName="1">
      <xmlPr mapId="43" xpath="/ns1:Root/ns1:M5/ns1:Expenditures_P3" xmlDataType="double"/>
    </xmlCellPr>
  </singleXmlCell>
  <singleXmlCell id="538" r="F100" connectionId="0">
    <xmlCellPr id="1" uniqueName="1">
      <xmlPr mapId="43" xpath="/ns1:Root/ns1:M5/ns1:Expenditures_P4" xmlDataType="double"/>
    </xmlCellPr>
  </singleXmlCell>
  <singleXmlCell id="539" r="G100" connectionId="0">
    <xmlCellPr id="1" uniqueName="1">
      <xmlPr mapId="43" xpath="/ns1:Root/ns1:M5/ns1:Expenditures_P5" xmlDataType="double"/>
    </xmlCellPr>
  </singleXmlCell>
  <singleXmlCell id="540" r="H100" connectionId="0">
    <xmlCellPr id="1" uniqueName="1">
      <xmlPr mapId="43" xpath="/ns1:Root/ns1:M5/ns1:Expenditures_P6" xmlDataType="double"/>
    </xmlCellPr>
  </singleXmlCell>
  <singleXmlCell id="541" r="I100" connectionId="0">
    <xmlCellPr id="1" uniqueName="1">
      <xmlPr mapId="43" xpath="/ns1:Root/ns1:M5/ns1:Expenditures_P7" xmlDataType="double"/>
    </xmlCellPr>
  </singleXmlCell>
  <singleXmlCell id="542" r="J100" connectionId="0">
    <xmlCellPr id="1" uniqueName="1">
      <xmlPr mapId="43" xpath="/ns1:Root/ns1:M5/ns1:Expenditures_P8" xmlDataType="double"/>
    </xmlCellPr>
  </singleXmlCell>
  <singleXmlCell id="543" r="K100" connectionId="0">
    <xmlCellPr id="1" uniqueName="1">
      <xmlPr mapId="43" xpath="/ns1:Root/ns1:M5/ns1:Expenditures_P9" xmlDataType="double"/>
    </xmlCellPr>
  </singleXmlCell>
  <singleXmlCell id="544" r="L100" connectionId="0">
    <xmlCellPr id="1" uniqueName="1">
      <xmlPr mapId="43" xpath="/ns1:Root/ns1:M5/ns1:Expenditures_P10" xmlDataType="double"/>
    </xmlCellPr>
  </singleXmlCell>
  <singleXmlCell id="545" r="M100" connectionId="0">
    <xmlCellPr id="1" uniqueName="1">
      <xmlPr mapId="43" xpath="/ns1:Root/ns1:M5/ns1:Expenditures_P11" xmlDataType="double"/>
    </xmlCellPr>
  </singleXmlCell>
  <singleXmlCell id="546" r="N100" connectionId="0">
    <xmlCellPr id="1" uniqueName="1">
      <xmlPr mapId="43" xpath="/ns1:Root/ns1:M5/ns1:Expenditures_P12" xmlDataType="double"/>
    </xmlCellPr>
  </singleXmlCell>
  <singleXmlCell id="547" r="C111" connectionId="0">
    <xmlCellPr id="1" uniqueName="1">
      <xmlPr mapId="43" xpath="/ns1:Root/ns1:M6/ns1:HIV___AIDS_Products" xmlDataType="string"/>
    </xmlCellPr>
  </singleXmlCell>
  <singleXmlCell id="548" r="D111" connectionId="0">
    <xmlCellPr id="1" uniqueName="1">
      <xmlPr mapId="43" xpath="/ns1:Root/ns1:M6/ns1:HIV___AIDS__1__Number_of_tablets_per_patient_per_day__Review_country_treatment_guidelines_" xmlDataType="double"/>
    </xmlCellPr>
  </singleXmlCell>
  <singleXmlCell id="549" r="F111" connectionId="0">
    <xmlCellPr id="1" uniqueName="1">
      <xmlPr mapId="43" xpath="/ns1:Root/ns1:M6/ns1:HIV___AIDS__3__Total_patients_in_treatment" xmlDataType="double"/>
    </xmlCellPr>
  </singleXmlCell>
  <singleXmlCell id="550" r="H111" connectionId="0">
    <xmlCellPr id="1" uniqueName="1">
      <xmlPr mapId="43" xpath="/ns1:Root/ns1:M6/ns1:HIV___AIDS__5__Current_stock_in_central_warehouse__that_does_not_expire_within_the_next_3_months_" xmlDataType="double"/>
    </xmlCellPr>
  </singleXmlCell>
  <singleXmlCell id="551" r="J111" connectionId="0">
    <xmlCellPr id="1" uniqueName="1">
      <xmlPr mapId="43" xpath="/ns1:Root/ns1:M6/ns1:HIV___AIDS__7__Level_of_safety_stock__expressed_in_months_and_defined_by_country__" xmlDataType="double"/>
    </xmlCellPr>
  </singleXmlCell>
  <singleXmlCell id="552" r="C112" connectionId="0">
    <xmlCellPr id="1" uniqueName="1">
      <xmlPr mapId="43" xpath="/ns1:Root/ns1:M6/ns1:_Products_1" xmlDataType="string"/>
    </xmlCellPr>
  </singleXmlCell>
  <singleXmlCell id="553" r="D112" connectionId="0">
    <xmlCellPr id="1" uniqueName="1">
      <xmlPr mapId="43" xpath="/ns1:Root/ns1:M6/ns1:__1__Number_of_tablets_per_patient_per_day__Review_country_treatment_guidelines__1" xmlDataType="double"/>
    </xmlCellPr>
  </singleXmlCell>
  <singleXmlCell id="554" r="F112" connectionId="0">
    <xmlCellPr id="1" uniqueName="1">
      <xmlPr mapId="43" xpath="/ns1:Root/ns1:M6/ns1:__3__Total_patients_in_treatment_1" xmlDataType="double"/>
    </xmlCellPr>
  </singleXmlCell>
  <singleXmlCell id="555" r="H112" connectionId="0">
    <xmlCellPr id="1" uniqueName="1">
      <xmlPr mapId="43" xpath="/ns1:Root/ns1:M6/ns1:__5__Current_stock_in_central_warehouse__that_does_not_expire_within_the_next_3_months__1" xmlDataType="double"/>
    </xmlCellPr>
  </singleXmlCell>
  <singleXmlCell id="556" r="J112" connectionId="0">
    <xmlCellPr id="1" uniqueName="1">
      <xmlPr mapId="43" xpath="/ns1:Root/ns1:M6/ns1:__7__Level_of_safety_stock__expressed_in_months_and_defined_by_country___1" xmlDataType="double"/>
    </xmlCellPr>
  </singleXmlCell>
  <singleXmlCell id="557" r="C113" connectionId="0">
    <xmlCellPr id="1" uniqueName="1">
      <xmlPr mapId="43" xpath="/ns1:Root/ns1:M6/ns1:_Products_2" xmlDataType="string"/>
    </xmlCellPr>
  </singleXmlCell>
  <singleXmlCell id="558" r="D113" connectionId="0">
    <xmlCellPr id="1" uniqueName="1">
      <xmlPr mapId="43" xpath="/ns1:Root/ns1:M6/ns1:__1__Number_of_tablets_per_patient_per_day__Review_country_treatment_guidelines__2" xmlDataType="double"/>
    </xmlCellPr>
  </singleXmlCell>
  <singleXmlCell id="559" r="F113" connectionId="0">
    <xmlCellPr id="1" uniqueName="1">
      <xmlPr mapId="43" xpath="/ns1:Root/ns1:M6/ns1:__3__Total_patients_in_treatment_2" xmlDataType="double"/>
    </xmlCellPr>
  </singleXmlCell>
  <singleXmlCell id="560" r="H113" connectionId="0">
    <xmlCellPr id="1" uniqueName="1">
      <xmlPr mapId="43" xpath="/ns1:Root/ns1:M6/ns1:__5__Current_stock_in_central_warehouse__that_does_not_expire_within_the_next_3_months__2" xmlDataType="double"/>
    </xmlCellPr>
  </singleXmlCell>
  <singleXmlCell id="561" r="J113" connectionId="0">
    <xmlCellPr id="1" uniqueName="1">
      <xmlPr mapId="43" xpath="/ns1:Root/ns1:M6/ns1:__7__Level_of_safety_stock__expressed_in_months_and_defined_by_country___2" xmlDataType="double"/>
    </xmlCellPr>
  </singleXmlCell>
  <singleXmlCell id="562" r="C114" connectionId="0">
    <xmlCellPr id="1" uniqueName="1">
      <xmlPr mapId="43" xpath="/ns1:Root/ns1:M6/ns1:_Products" xmlDataType="string"/>
    </xmlCellPr>
  </singleXmlCell>
  <singleXmlCell id="563" r="D114" connectionId="0">
    <xmlCellPr id="1" uniqueName="1">
      <xmlPr mapId="43" xpath="/ns1:Root/ns1:M6/ns1:__1__Number_of_tablets_per_patient_per_day__Review_country_treatment_guidelines_" xmlDataType="double"/>
    </xmlCellPr>
  </singleXmlCell>
  <singleXmlCell id="564" r="F114" connectionId="0">
    <xmlCellPr id="1" uniqueName="1">
      <xmlPr mapId="43" xpath="/ns1:Root/ns1:M6/ns1:__3__Total_patients_in_treatment" xmlDataType="double"/>
    </xmlCellPr>
  </singleXmlCell>
  <singleXmlCell id="565" r="H114" connectionId="0">
    <xmlCellPr id="1" uniqueName="1">
      <xmlPr mapId="43" xpath="/ns1:Root/ns1:M6/ns1:__5__Current_stock_in_central_warehouse__that_does_not_expire_within_the_next_3_months_" xmlDataType="double"/>
    </xmlCellPr>
  </singleXmlCell>
  <singleXmlCell id="566" r="J114" connectionId="0">
    <xmlCellPr id="1" uniqueName="1">
      <xmlPr mapId="43" xpath="/ns1:Root/ns1:M6/ns1:__7__Level_of_safety_stock__expressed_in_months_and_defined_by_country__" xmlDataType="double"/>
    </xmlCellPr>
  </singleXmlCell>
  <singleXmlCell id="567" r="H121" connectionId="0">
    <xmlCellPr id="1" uniqueName="1">
      <xmlPr mapId="43" xpath="/ns1:Root/ns1:Prog/ns1:Target_P1_1" xmlDataType="double"/>
    </xmlCellPr>
  </singleXmlCell>
  <singleXmlCell id="568" r="I121" connectionId="0">
    <xmlCellPr id="1" uniqueName="1">
      <xmlPr mapId="43" xpath="/ns1:Root/ns1:Prog/ns1:Target_P2_1" xmlDataType="double"/>
    </xmlCellPr>
  </singleXmlCell>
  <singleXmlCell id="569" r="J121" connectionId="0">
    <xmlCellPr id="1" uniqueName="1">
      <xmlPr mapId="43" xpath="/ns1:Root/ns1:Prog/ns1:Target_P3_1" xmlDataType="double"/>
    </xmlCellPr>
  </singleXmlCell>
  <singleXmlCell id="570" r="K121" connectionId="0">
    <xmlCellPr id="1" uniqueName="1">
      <xmlPr mapId="43" xpath="/ns1:Root/ns1:Prog/ns1:Target_P4_1" xmlDataType="double"/>
    </xmlCellPr>
  </singleXmlCell>
  <singleXmlCell id="571" r="L121" connectionId="0">
    <xmlCellPr id="1" uniqueName="1">
      <xmlPr mapId="43" xpath="/ns1:Root/ns1:Prog/ns1:Target_P5_1" xmlDataType="double"/>
    </xmlCellPr>
  </singleXmlCell>
  <singleXmlCell id="572" r="M121" connectionId="0">
    <xmlCellPr id="1" uniqueName="1">
      <xmlPr mapId="43" xpath="/ns1:Root/ns1:Prog/ns1:Target_P6_1" xmlDataType="double"/>
    </xmlCellPr>
  </singleXmlCell>
  <singleXmlCell id="573" r="N121" connectionId="0">
    <xmlCellPr id="1" uniqueName="1">
      <xmlPr mapId="43" xpath="/ns1:Root/ns1:Prog/ns1:Target_P7_1" xmlDataType="double"/>
    </xmlCellPr>
  </singleXmlCell>
  <singleXmlCell id="574" r="O121" connectionId="0">
    <xmlCellPr id="1" uniqueName="1">
      <xmlPr mapId="43" xpath="/ns1:Root/ns1:Prog/ns1:Target_P8_1" xmlDataType="double"/>
    </xmlCellPr>
  </singleXmlCell>
  <singleXmlCell id="575" r="P121" connectionId="0">
    <xmlCellPr id="1" uniqueName="1">
      <xmlPr mapId="43" xpath="/ns1:Root/ns1:Prog/ns1:Target_P9_1" xmlDataType="double"/>
    </xmlCellPr>
  </singleXmlCell>
  <singleXmlCell id="576" r="Q121" connectionId="0">
    <xmlCellPr id="1" uniqueName="1">
      <xmlPr mapId="43" xpath="/ns1:Root/ns1:Prog/ns1:Target_P10_1" xmlDataType="double"/>
    </xmlCellPr>
  </singleXmlCell>
  <singleXmlCell id="577" r="R121" connectionId="0">
    <xmlCellPr id="1" uniqueName="1">
      <xmlPr mapId="43" xpath="/ns1:Root/ns1:Prog/ns1:Target_P11_1" xmlDataType="double"/>
    </xmlCellPr>
  </singleXmlCell>
  <singleXmlCell id="578" r="S121" connectionId="0">
    <xmlCellPr id="1" uniqueName="1">
      <xmlPr mapId="43" xpath="/ns1:Root/ns1:Prog/ns1:Target_P12_1" xmlDataType="double"/>
    </xmlCellPr>
  </singleXmlCell>
  <singleXmlCell id="579" r="H122" connectionId="0">
    <xmlCellPr id="1" uniqueName="1">
      <xmlPr mapId="43" xpath="/ns1:Root/ns1:Prog/ns1:Achieved__P1_1" xmlDataType="double"/>
    </xmlCellPr>
  </singleXmlCell>
  <singleXmlCell id="580" r="I122" connectionId="0">
    <xmlCellPr id="1" uniqueName="1">
      <xmlPr mapId="43" xpath="/ns1:Root/ns1:Prog/ns1:Achieved__P2_1" xmlDataType="double"/>
    </xmlCellPr>
  </singleXmlCell>
  <singleXmlCell id="581" r="J122" connectionId="0">
    <xmlCellPr id="1" uniqueName="1">
      <xmlPr mapId="43" xpath="/ns1:Root/ns1:Prog/ns1:Achieved__P3_1" xmlDataType="double"/>
    </xmlCellPr>
  </singleXmlCell>
  <singleXmlCell id="582" r="K122" connectionId="0">
    <xmlCellPr id="1" uniqueName="1">
      <xmlPr mapId="43" xpath="/ns1:Root/ns1:Prog/ns1:Achieved__P4_1" xmlDataType="double"/>
    </xmlCellPr>
  </singleXmlCell>
  <singleXmlCell id="583" r="L122" connectionId="0">
    <xmlCellPr id="1" uniqueName="1">
      <xmlPr mapId="43" xpath="/ns1:Root/ns1:Prog/ns1:Achieved__P5_1" xmlDataType="string"/>
    </xmlCellPr>
  </singleXmlCell>
  <singleXmlCell id="584" r="M122" connectionId="0">
    <xmlCellPr id="1" uniqueName="1">
      <xmlPr mapId="43" xpath="/ns1:Root/ns1:Prog/ns1:Achieved__P6_1" xmlDataType="string"/>
    </xmlCellPr>
  </singleXmlCell>
  <singleXmlCell id="585" r="N122" connectionId="0">
    <xmlCellPr id="1" uniqueName="1">
      <xmlPr mapId="43" xpath="/ns1:Root/ns1:Prog/ns1:Achieved__P7_1" xmlDataType="string"/>
    </xmlCellPr>
  </singleXmlCell>
  <singleXmlCell id="586" r="O122" connectionId="0">
    <xmlCellPr id="1" uniqueName="1">
      <xmlPr mapId="43" xpath="/ns1:Root/ns1:Prog/ns1:Achieved__P8_1" xmlDataType="string"/>
    </xmlCellPr>
  </singleXmlCell>
  <singleXmlCell id="587" r="P122" connectionId="0">
    <xmlCellPr id="1" uniqueName="1">
      <xmlPr mapId="43" xpath="/ns1:Root/ns1:Prog/ns1:Achieved__P9_1" xmlDataType="string"/>
    </xmlCellPr>
  </singleXmlCell>
  <singleXmlCell id="588" r="Q122" connectionId="0">
    <xmlCellPr id="1" uniqueName="1">
      <xmlPr mapId="43" xpath="/ns1:Root/ns1:Prog/ns1:Achieved__P10_1" xmlDataType="string"/>
    </xmlCellPr>
  </singleXmlCell>
  <singleXmlCell id="589" r="R122" connectionId="0">
    <xmlCellPr id="1" uniqueName="1">
      <xmlPr mapId="43" xpath="/ns1:Root/ns1:Prog/ns1:Achieved__P11_1" xmlDataType="string"/>
    </xmlCellPr>
  </singleXmlCell>
  <singleXmlCell id="590" r="S122" connectionId="0">
    <xmlCellPr id="1" uniqueName="1">
      <xmlPr mapId="43" xpath="/ns1:Root/ns1:Prog/ns1:Achieved__P12_1" xmlDataType="string"/>
    </xmlCellPr>
  </singleXmlCell>
  <singleXmlCell id="591" r="H123" connectionId="0">
    <xmlCellPr id="1" uniqueName="1">
      <xmlPr mapId="43" xpath="/ns1:Root/ns1:Prog/ns1:Target_P1_2" xmlDataType="double"/>
    </xmlCellPr>
  </singleXmlCell>
  <singleXmlCell id="592" r="I123" connectionId="0">
    <xmlCellPr id="1" uniqueName="1">
      <xmlPr mapId="43" xpath="/ns1:Root/ns1:Prog/ns1:Target_P2_2" xmlDataType="double"/>
    </xmlCellPr>
  </singleXmlCell>
  <singleXmlCell id="593" r="J123" connectionId="0">
    <xmlCellPr id="1" uniqueName="1">
      <xmlPr mapId="43" xpath="/ns1:Root/ns1:Prog/ns1:Target_P3_2" xmlDataType="double"/>
    </xmlCellPr>
  </singleXmlCell>
  <singleXmlCell id="594" r="L123" connectionId="0">
    <xmlCellPr id="1" uniqueName="1">
      <xmlPr mapId="43" xpath="/ns1:Root/ns1:Prog/ns1:Target_P5_2" xmlDataType="double"/>
    </xmlCellPr>
  </singleXmlCell>
  <singleXmlCell id="595" r="M123" connectionId="0">
    <xmlCellPr id="1" uniqueName="1">
      <xmlPr mapId="43" xpath="/ns1:Root/ns1:Prog/ns1:Target_P6_2" xmlDataType="double"/>
    </xmlCellPr>
  </singleXmlCell>
  <singleXmlCell id="596" r="N123" connectionId="0">
    <xmlCellPr id="1" uniqueName="1">
      <xmlPr mapId="43" xpath="/ns1:Root/ns1:Prog/ns1:Target_P7_2" xmlDataType="double"/>
    </xmlCellPr>
  </singleXmlCell>
  <singleXmlCell id="597" r="O123" connectionId="0">
    <xmlCellPr id="1" uniqueName="1">
      <xmlPr mapId="43" xpath="/ns1:Root/ns1:Prog/ns1:Target_P8_2" xmlDataType="double"/>
    </xmlCellPr>
  </singleXmlCell>
  <singleXmlCell id="598" r="P123" connectionId="0">
    <xmlCellPr id="1" uniqueName="1">
      <xmlPr mapId="43" xpath="/ns1:Root/ns1:Prog/ns1:Target_P9_2" xmlDataType="double"/>
    </xmlCellPr>
  </singleXmlCell>
  <singleXmlCell id="599" r="Q123" connectionId="0">
    <xmlCellPr id="1" uniqueName="1">
      <xmlPr mapId="43" xpath="/ns1:Root/ns1:Prog/ns1:Target_P10_2" xmlDataType="double"/>
    </xmlCellPr>
  </singleXmlCell>
  <singleXmlCell id="600" r="R123" connectionId="0">
    <xmlCellPr id="1" uniqueName="1">
      <xmlPr mapId="43" xpath="/ns1:Root/ns1:Prog/ns1:Target_P11_2" xmlDataType="double"/>
    </xmlCellPr>
  </singleXmlCell>
  <singleXmlCell id="601" r="S123" connectionId="0">
    <xmlCellPr id="1" uniqueName="1">
      <xmlPr mapId="43" xpath="/ns1:Root/ns1:Prog/ns1:Target_P12_2" xmlDataType="double"/>
    </xmlCellPr>
  </singleXmlCell>
  <singleXmlCell id="602" r="H124" connectionId="0">
    <xmlCellPr id="1" uniqueName="1">
      <xmlPr mapId="43" xpath="/ns1:Root/ns1:Prog/ns1:Achieved__P1_2" xmlDataType="double"/>
    </xmlCellPr>
  </singleXmlCell>
  <singleXmlCell id="603" r="I124" connectionId="0">
    <xmlCellPr id="1" uniqueName="1">
      <xmlPr mapId="43" xpath="/ns1:Root/ns1:Prog/ns1:Achieved__P2_2" xmlDataType="double"/>
    </xmlCellPr>
  </singleXmlCell>
  <singleXmlCell id="604" r="J124" connectionId="0">
    <xmlCellPr id="1" uniqueName="1">
      <xmlPr mapId="43" xpath="/ns1:Root/ns1:Prog/ns1:Achieved__P3_2" xmlDataType="double"/>
    </xmlCellPr>
  </singleXmlCell>
  <singleXmlCell id="605" r="K124" connectionId="0">
    <xmlCellPr id="1" uniqueName="1">
      <xmlPr mapId="43" xpath="/ns1:Root/ns1:Prog/ns1:Achieved__P4_2" xmlDataType="double"/>
    </xmlCellPr>
  </singleXmlCell>
  <singleXmlCell id="606" r="L124" connectionId="0">
    <xmlCellPr id="1" uniqueName="1">
      <xmlPr mapId="43" xpath="/ns1:Root/ns1:Prog/ns1:Achieved__P5_2" xmlDataType="string"/>
    </xmlCellPr>
  </singleXmlCell>
  <singleXmlCell id="607" r="M124" connectionId="0">
    <xmlCellPr id="1" uniqueName="1">
      <xmlPr mapId="43" xpath="/ns1:Root/ns1:Prog/ns1:Achieved__P6_2" xmlDataType="string"/>
    </xmlCellPr>
  </singleXmlCell>
  <singleXmlCell id="608" r="N124" connectionId="0">
    <xmlCellPr id="1" uniqueName="1">
      <xmlPr mapId="43" xpath="/ns1:Root/ns1:Prog/ns1:Achieved__P7_2" xmlDataType="string"/>
    </xmlCellPr>
  </singleXmlCell>
  <singleXmlCell id="609" r="O124" connectionId="0">
    <xmlCellPr id="1" uniqueName="1">
      <xmlPr mapId="43" xpath="/ns1:Root/ns1:Prog/ns1:Achieved__P8_2" xmlDataType="string"/>
    </xmlCellPr>
  </singleXmlCell>
  <singleXmlCell id="610" r="P124" connectionId="0">
    <xmlCellPr id="1" uniqueName="1">
      <xmlPr mapId="43" xpath="/ns1:Root/ns1:Prog/ns1:Achieved__P9_2" xmlDataType="string"/>
    </xmlCellPr>
  </singleXmlCell>
  <singleXmlCell id="611" r="Q124" connectionId="0">
    <xmlCellPr id="1" uniqueName="1">
      <xmlPr mapId="43" xpath="/ns1:Root/ns1:Prog/ns1:Achieved__P10_2" xmlDataType="string"/>
    </xmlCellPr>
  </singleXmlCell>
  <singleXmlCell id="612" r="R124" connectionId="0">
    <xmlCellPr id="1" uniqueName="1">
      <xmlPr mapId="43" xpath="/ns1:Root/ns1:Prog/ns1:Achieved__P11_2" xmlDataType="string"/>
    </xmlCellPr>
  </singleXmlCell>
  <singleXmlCell id="613" r="S124" connectionId="0">
    <xmlCellPr id="1" uniqueName="1">
      <xmlPr mapId="43" xpath="/ns1:Root/ns1:Prog/ns1:Achieved__P12_2" xmlDataType="string"/>
    </xmlCellPr>
  </singleXmlCell>
  <singleXmlCell id="614" r="H125" connectionId="0">
    <xmlCellPr id="1" uniqueName="1">
      <xmlPr mapId="43" xpath="/ns1:Root/ns1:Prog/ns1:Target_P1_3" xmlDataType="double"/>
    </xmlCellPr>
  </singleXmlCell>
  <singleXmlCell id="615" r="I125" connectionId="0">
    <xmlCellPr id="1" uniqueName="1">
      <xmlPr mapId="43" xpath="/ns1:Root/ns1:Prog/ns1:Target_P2_3" xmlDataType="double"/>
    </xmlCellPr>
  </singleXmlCell>
  <singleXmlCell id="616" r="J125" connectionId="0">
    <xmlCellPr id="1" uniqueName="1">
      <xmlPr mapId="43" xpath="/ns1:Root/ns1:Prog/ns1:Target_P3_3" xmlDataType="double"/>
    </xmlCellPr>
  </singleXmlCell>
  <singleXmlCell id="617" r="K125" connectionId="0">
    <xmlCellPr id="1" uniqueName="1">
      <xmlPr mapId="43" xpath="/ns1:Root/ns1:Prog/ns1:Target_P4_3" xmlDataType="double"/>
    </xmlCellPr>
  </singleXmlCell>
  <singleXmlCell id="618" r="L125" connectionId="0">
    <xmlCellPr id="1" uniqueName="1">
      <xmlPr mapId="43" xpath="/ns1:Root/ns1:Prog/ns1:Target_P5_3" xmlDataType="double"/>
    </xmlCellPr>
  </singleXmlCell>
  <singleXmlCell id="619" r="M125" connectionId="0">
    <xmlCellPr id="1" uniqueName="1">
      <xmlPr mapId="43" xpath="/ns1:Root/ns1:Prog/ns1:Target_P6_3" xmlDataType="double"/>
    </xmlCellPr>
  </singleXmlCell>
  <singleXmlCell id="620" r="N125" connectionId="0">
    <xmlCellPr id="1" uniqueName="1">
      <xmlPr mapId="43" xpath="/ns1:Root/ns1:Prog/ns1:Target_P7_3" xmlDataType="double"/>
    </xmlCellPr>
  </singleXmlCell>
  <singleXmlCell id="621" r="O125" connectionId="0">
    <xmlCellPr id="1" uniqueName="1">
      <xmlPr mapId="43" xpath="/ns1:Root/ns1:Prog/ns1:Target_P8_3" xmlDataType="double"/>
    </xmlCellPr>
  </singleXmlCell>
  <singleXmlCell id="622" r="P125" connectionId="0">
    <xmlCellPr id="1" uniqueName="1">
      <xmlPr mapId="43" xpath="/ns1:Root/ns1:Prog/ns1:Target_P9_3" xmlDataType="double"/>
    </xmlCellPr>
  </singleXmlCell>
  <singleXmlCell id="623" r="Q125" connectionId="0">
    <xmlCellPr id="1" uniqueName="1">
      <xmlPr mapId="43" xpath="/ns1:Root/ns1:Prog/ns1:Target_P10_3" xmlDataType="string"/>
    </xmlCellPr>
  </singleXmlCell>
  <singleXmlCell id="624" r="R125" connectionId="0">
    <xmlCellPr id="1" uniqueName="1">
      <xmlPr mapId="43" xpath="/ns1:Root/ns1:Prog/ns1:Target_P11_3" xmlDataType="string"/>
    </xmlCellPr>
  </singleXmlCell>
  <singleXmlCell id="625" r="S125" connectionId="0">
    <xmlCellPr id="1" uniqueName="1">
      <xmlPr mapId="43" xpath="/ns1:Root/ns1:Prog/ns1:Target_P12_3" xmlDataType="double"/>
    </xmlCellPr>
  </singleXmlCell>
  <singleXmlCell id="626" r="H126" connectionId="0">
    <xmlCellPr id="1" uniqueName="1">
      <xmlPr mapId="43" xpath="/ns1:Root/ns1:Prog/ns1:Achieved__P1_3" xmlDataType="string"/>
    </xmlCellPr>
  </singleXmlCell>
  <singleXmlCell id="627" r="I126" connectionId="0">
    <xmlCellPr id="1" uniqueName="1">
      <xmlPr mapId="43" xpath="/ns1:Root/ns1:Prog/ns1:Achieved__P2_3" xmlDataType="double"/>
    </xmlCellPr>
  </singleXmlCell>
  <singleXmlCell id="628" r="J126" connectionId="0">
    <xmlCellPr id="1" uniqueName="1">
      <xmlPr mapId="43" xpath="/ns1:Root/ns1:Prog/ns1:Achieved__P3_3" xmlDataType="string"/>
    </xmlCellPr>
  </singleXmlCell>
  <singleXmlCell id="629" r="K126" connectionId="0">
    <xmlCellPr id="1" uniqueName="1">
      <xmlPr mapId="43" xpath="/ns1:Root/ns1:Prog/ns1:Achieved__P4_3" xmlDataType="double"/>
    </xmlCellPr>
  </singleXmlCell>
  <singleXmlCell id="630" r="L126" connectionId="0">
    <xmlCellPr id="1" uniqueName="1">
      <xmlPr mapId="43" xpath="/ns1:Root/ns1:Prog/ns1:Achieved__P5_3" xmlDataType="string"/>
    </xmlCellPr>
  </singleXmlCell>
  <singleXmlCell id="631" r="M126" connectionId="0">
    <xmlCellPr id="1" uniqueName="1">
      <xmlPr mapId="43" xpath="/ns1:Root/ns1:Prog/ns1:Achieved__P6_3" xmlDataType="string"/>
    </xmlCellPr>
  </singleXmlCell>
  <singleXmlCell id="632" r="N126" connectionId="0">
    <xmlCellPr id="1" uniqueName="1">
      <xmlPr mapId="43" xpath="/ns1:Root/ns1:Prog/ns1:Achieved__P7_3" xmlDataType="string"/>
    </xmlCellPr>
  </singleXmlCell>
  <singleXmlCell id="633" r="O126" connectionId="0">
    <xmlCellPr id="1" uniqueName="1">
      <xmlPr mapId="43" xpath="/ns1:Root/ns1:Prog/ns1:Achieved__P8_3" xmlDataType="string"/>
    </xmlCellPr>
  </singleXmlCell>
  <singleXmlCell id="634" r="P126" connectionId="0">
    <xmlCellPr id="1" uniqueName="1">
      <xmlPr mapId="43" xpath="/ns1:Root/ns1:Prog/ns1:Achieved__P9_3" xmlDataType="string"/>
    </xmlCellPr>
  </singleXmlCell>
  <singleXmlCell id="635" r="Q126" connectionId="0">
    <xmlCellPr id="1" uniqueName="1">
      <xmlPr mapId="43" xpath="/ns1:Root/ns1:Prog/ns1:Achieved__P10_3" xmlDataType="string"/>
    </xmlCellPr>
  </singleXmlCell>
  <singleXmlCell id="636" r="R126" connectionId="0">
    <xmlCellPr id="1" uniqueName="1">
      <xmlPr mapId="43" xpath="/ns1:Root/ns1:Prog/ns1:Achieved__P11_3" xmlDataType="string"/>
    </xmlCellPr>
  </singleXmlCell>
  <singleXmlCell id="637" r="S126" connectionId="0">
    <xmlCellPr id="1" uniqueName="1">
      <xmlPr mapId="43" xpath="/ns1:Root/ns1:Prog/ns1:Achieved__P12_3" xmlDataType="string"/>
    </xmlCellPr>
  </singleXmlCell>
  <singleXmlCell id="638" r="H127" connectionId="0">
    <xmlCellPr id="1" uniqueName="1">
      <xmlPr mapId="43" xpath="/ns1:Root/ns1:Prog/ns1:Target_P1_4" xmlDataType="string"/>
    </xmlCellPr>
  </singleXmlCell>
  <singleXmlCell id="639" r="I127" connectionId="0">
    <xmlCellPr id="1" uniqueName="1">
      <xmlPr mapId="43" xpath="/ns1:Root/ns1:Prog/ns1:Target_P2_4" xmlDataType="string"/>
    </xmlCellPr>
  </singleXmlCell>
  <singleXmlCell id="640" r="J127" connectionId="0">
    <xmlCellPr id="1" uniqueName="1">
      <xmlPr mapId="43" xpath="/ns1:Root/ns1:Prog/ns1:Target_P3_4" xmlDataType="string"/>
    </xmlCellPr>
  </singleXmlCell>
  <singleXmlCell id="641" r="K127" connectionId="0">
    <xmlCellPr id="1" uniqueName="1">
      <xmlPr mapId="43" xpath="/ns1:Root/ns1:Prog/ns1:Target_P4_4" xmlDataType="double"/>
    </xmlCellPr>
  </singleXmlCell>
  <singleXmlCell id="642" r="L127" connectionId="0">
    <xmlCellPr id="1" uniqueName="1">
      <xmlPr mapId="43" xpath="/ns1:Root/ns1:Prog/ns1:Target_P5_4" xmlDataType="string"/>
    </xmlCellPr>
  </singleXmlCell>
  <singleXmlCell id="643" r="M127" connectionId="0">
    <xmlCellPr id="1" uniqueName="1">
      <xmlPr mapId="43" xpath="/ns1:Root/ns1:Prog/ns1:Target_P6_4" xmlDataType="string"/>
    </xmlCellPr>
  </singleXmlCell>
  <singleXmlCell id="644" r="N127" connectionId="0">
    <xmlCellPr id="1" uniqueName="1">
      <xmlPr mapId="43" xpath="/ns1:Root/ns1:Prog/ns1:Target_P7_4" xmlDataType="string"/>
    </xmlCellPr>
  </singleXmlCell>
  <singleXmlCell id="645" r="O127" connectionId="0">
    <xmlCellPr id="1" uniqueName="1">
      <xmlPr mapId="43" xpath="/ns1:Root/ns1:Prog/ns1:Target_P8_4" xmlDataType="double"/>
    </xmlCellPr>
  </singleXmlCell>
  <singleXmlCell id="646" r="P127" connectionId="0">
    <xmlCellPr id="1" uniqueName="1">
      <xmlPr mapId="43" xpath="/ns1:Root/ns1:Prog/ns1:Target_P9_4" xmlDataType="string"/>
    </xmlCellPr>
  </singleXmlCell>
  <singleXmlCell id="647" r="Q127" connectionId="0">
    <xmlCellPr id="1" uniqueName="1">
      <xmlPr mapId="43" xpath="/ns1:Root/ns1:Prog/ns1:Target_P10_4" xmlDataType="string"/>
    </xmlCellPr>
  </singleXmlCell>
  <singleXmlCell id="648" r="R127" connectionId="0">
    <xmlCellPr id="1" uniqueName="1">
      <xmlPr mapId="43" xpath="/ns1:Root/ns1:Prog/ns1:Target_P11_4" xmlDataType="string"/>
    </xmlCellPr>
  </singleXmlCell>
  <singleXmlCell id="649" r="S127" connectionId="0">
    <xmlCellPr id="1" uniqueName="1">
      <xmlPr mapId="43" xpath="/ns1:Root/ns1:Prog/ns1:Target_P12_4" xmlDataType="double"/>
    </xmlCellPr>
  </singleXmlCell>
  <singleXmlCell id="650" r="H128" connectionId="0">
    <xmlCellPr id="1" uniqueName="1">
      <xmlPr mapId="43" xpath="/ns1:Root/ns1:Prog/ns1:Achieved__P1_4" xmlDataType="string"/>
    </xmlCellPr>
  </singleXmlCell>
  <singleXmlCell id="651" r="I128" connectionId="0">
    <xmlCellPr id="1" uniqueName="1">
      <xmlPr mapId="43" xpath="/ns1:Root/ns1:Prog/ns1:Achieved__P2_4" xmlDataType="string"/>
    </xmlCellPr>
  </singleXmlCell>
  <singleXmlCell id="652" r="J128" connectionId="0">
    <xmlCellPr id="1" uniqueName="1">
      <xmlPr mapId="43" xpath="/ns1:Root/ns1:Prog/ns1:Achieved__P3_4" xmlDataType="string"/>
    </xmlCellPr>
  </singleXmlCell>
  <singleXmlCell id="653" r="K128" connectionId="0">
    <xmlCellPr id="1" uniqueName="1">
      <xmlPr mapId="43" xpath="/ns1:Root/ns1:Prog/ns1:Achieved__P4_4" xmlDataType="double"/>
    </xmlCellPr>
  </singleXmlCell>
  <singleXmlCell id="654" r="L128" connectionId="0">
    <xmlCellPr id="1" uniqueName="1">
      <xmlPr mapId="43" xpath="/ns1:Root/ns1:Prog/ns1:Achieved__P5_4" xmlDataType="string"/>
    </xmlCellPr>
  </singleXmlCell>
  <singleXmlCell id="655" r="M128" connectionId="0">
    <xmlCellPr id="1" uniqueName="1">
      <xmlPr mapId="43" xpath="/ns1:Root/ns1:Prog/ns1:Achieved__P6_4" xmlDataType="string"/>
    </xmlCellPr>
  </singleXmlCell>
  <singleXmlCell id="656" r="N128" connectionId="0">
    <xmlCellPr id="1" uniqueName="1">
      <xmlPr mapId="43" xpath="/ns1:Root/ns1:Prog/ns1:Achieved__P7_4" xmlDataType="string"/>
    </xmlCellPr>
  </singleXmlCell>
  <singleXmlCell id="657" r="O128" connectionId="0">
    <xmlCellPr id="1" uniqueName="1">
      <xmlPr mapId="43" xpath="/ns1:Root/ns1:Prog/ns1:Achieved__P8_4" xmlDataType="string"/>
    </xmlCellPr>
  </singleXmlCell>
  <singleXmlCell id="658" r="P128" connectionId="0">
    <xmlCellPr id="1" uniqueName="1">
      <xmlPr mapId="43" xpath="/ns1:Root/ns1:Prog/ns1:Achieved__P9_4" xmlDataType="string"/>
    </xmlCellPr>
  </singleXmlCell>
  <singleXmlCell id="659" r="Q128" connectionId="0">
    <xmlCellPr id="1" uniqueName="1">
      <xmlPr mapId="43" xpath="/ns1:Root/ns1:Prog/ns1:Achieved__P10_4" xmlDataType="string"/>
    </xmlCellPr>
  </singleXmlCell>
  <singleXmlCell id="660" r="R128" connectionId="0">
    <xmlCellPr id="1" uniqueName="1">
      <xmlPr mapId="43" xpath="/ns1:Root/ns1:Prog/ns1:Achieved__P11_4" xmlDataType="string"/>
    </xmlCellPr>
  </singleXmlCell>
  <singleXmlCell id="661" r="S128" connectionId="0">
    <xmlCellPr id="1" uniqueName="1">
      <xmlPr mapId="43" xpath="/ns1:Root/ns1:Prog/ns1:Achieved__P12_4" xmlDataType="string"/>
    </xmlCellPr>
  </singleXmlCell>
  <singleXmlCell id="662" r="H129" connectionId="0">
    <xmlCellPr id="1" uniqueName="1">
      <xmlPr mapId="43" xpath="/ns1:Root/ns1:Prog/ns1:Target_P1_5" xmlDataType="double"/>
    </xmlCellPr>
  </singleXmlCell>
  <singleXmlCell id="663" r="I129" connectionId="0">
    <xmlCellPr id="1" uniqueName="1">
      <xmlPr mapId="43" xpath="/ns1:Root/ns1:Prog/ns1:Target_P2_5" xmlDataType="double"/>
    </xmlCellPr>
  </singleXmlCell>
  <singleXmlCell id="664" r="J129" connectionId="0">
    <xmlCellPr id="1" uniqueName="1">
      <xmlPr mapId="43" xpath="/ns1:Root/ns1:Prog/ns1:Target_P3_5" xmlDataType="double"/>
    </xmlCellPr>
  </singleXmlCell>
  <singleXmlCell id="665" r="K129" connectionId="0">
    <xmlCellPr id="1" uniqueName="1">
      <xmlPr mapId="43" xpath="/ns1:Root/ns1:Prog/ns1:Target_P4_5" xmlDataType="double"/>
    </xmlCellPr>
  </singleXmlCell>
  <singleXmlCell id="666" r="L129" connectionId="0">
    <xmlCellPr id="1" uniqueName="1">
      <xmlPr mapId="43" xpath="/ns1:Root/ns1:Prog/ns1:Target_P5_5" xmlDataType="double"/>
    </xmlCellPr>
  </singleXmlCell>
  <singleXmlCell id="667" r="M129" connectionId="0">
    <xmlCellPr id="1" uniqueName="1">
      <xmlPr mapId="43" xpath="/ns1:Root/ns1:Prog/ns1:Target_P6_5" xmlDataType="double"/>
    </xmlCellPr>
  </singleXmlCell>
  <singleXmlCell id="668" r="N129" connectionId="0">
    <xmlCellPr id="1" uniqueName="1">
      <xmlPr mapId="43" xpath="/ns1:Root/ns1:Prog/ns1:Target_P7_5" xmlDataType="double"/>
    </xmlCellPr>
  </singleXmlCell>
  <singleXmlCell id="669" r="O129" connectionId="0">
    <xmlCellPr id="1" uniqueName="1">
      <xmlPr mapId="43" xpath="/ns1:Root/ns1:Prog/ns1:Target_P8_5" xmlDataType="double"/>
    </xmlCellPr>
  </singleXmlCell>
  <singleXmlCell id="670" r="P129" connectionId="0">
    <xmlCellPr id="1" uniqueName="1">
      <xmlPr mapId="43" xpath="/ns1:Root/ns1:Prog/ns1:Target_P9_5" xmlDataType="double"/>
    </xmlCellPr>
  </singleXmlCell>
  <singleXmlCell id="671" r="Q129" connectionId="0">
    <xmlCellPr id="1" uniqueName="1">
      <xmlPr mapId="43" xpath="/ns1:Root/ns1:Prog/ns1:Target_P10_5" xmlDataType="double"/>
    </xmlCellPr>
  </singleXmlCell>
  <singleXmlCell id="672" r="R129" connectionId="0">
    <xmlCellPr id="1" uniqueName="1">
      <xmlPr mapId="43" xpath="/ns1:Root/ns1:Prog/ns1:Target_P11_5" xmlDataType="double"/>
    </xmlCellPr>
  </singleXmlCell>
  <singleXmlCell id="673" r="S129" connectionId="0">
    <xmlCellPr id="1" uniqueName="1">
      <xmlPr mapId="43" xpath="/ns1:Root/ns1:Prog/ns1:Target_P12_5" xmlDataType="double"/>
    </xmlCellPr>
  </singleXmlCell>
  <singleXmlCell id="674" r="H130" connectionId="0">
    <xmlCellPr id="1" uniqueName="1">
      <xmlPr mapId="43" xpath="/ns1:Root/ns1:Prog/ns1:Achieved__P1_5" xmlDataType="double"/>
    </xmlCellPr>
  </singleXmlCell>
  <singleXmlCell id="675" r="I130" connectionId="0">
    <xmlCellPr id="1" uniqueName="1">
      <xmlPr mapId="43" xpath="/ns1:Root/ns1:Prog/ns1:Achieved__P2_5" xmlDataType="double"/>
    </xmlCellPr>
  </singleXmlCell>
  <singleXmlCell id="676" r="J130" connectionId="0">
    <xmlCellPr id="1" uniqueName="1">
      <xmlPr mapId="43" xpath="/ns1:Root/ns1:Prog/ns1:Achieved__P3_5" xmlDataType="double"/>
    </xmlCellPr>
  </singleXmlCell>
  <singleXmlCell id="677" r="K130" connectionId="0">
    <xmlCellPr id="1" uniqueName="1">
      <xmlPr mapId="43" xpath="/ns1:Root/ns1:Prog/ns1:Achieved__P4_5" xmlDataType="double"/>
    </xmlCellPr>
  </singleXmlCell>
  <singleXmlCell id="678" r="L130" connectionId="0">
    <xmlCellPr id="1" uniqueName="1">
      <xmlPr mapId="43" xpath="/ns1:Root/ns1:Prog/ns1:Achieved__P5_5" xmlDataType="string"/>
    </xmlCellPr>
  </singleXmlCell>
  <singleXmlCell id="679" r="M130" connectionId="0">
    <xmlCellPr id="1" uniqueName="1">
      <xmlPr mapId="43" xpath="/ns1:Root/ns1:Prog/ns1:Achieved__P6_5" xmlDataType="string"/>
    </xmlCellPr>
  </singleXmlCell>
  <singleXmlCell id="680" r="N130" connectionId="0">
    <xmlCellPr id="1" uniqueName="1">
      <xmlPr mapId="43" xpath="/ns1:Root/ns1:Prog/ns1:Achieved__P7_5" xmlDataType="string"/>
    </xmlCellPr>
  </singleXmlCell>
  <singleXmlCell id="681" r="O130" connectionId="0">
    <xmlCellPr id="1" uniqueName="1">
      <xmlPr mapId="43" xpath="/ns1:Root/ns1:Prog/ns1:Achieved__P8_5" xmlDataType="string"/>
    </xmlCellPr>
  </singleXmlCell>
  <singleXmlCell id="682" r="P130" connectionId="0">
    <xmlCellPr id="1" uniqueName="1">
      <xmlPr mapId="43" xpath="/ns1:Root/ns1:Prog/ns1:Achieved__P9_5" xmlDataType="string"/>
    </xmlCellPr>
  </singleXmlCell>
  <singleXmlCell id="683" r="Q130" connectionId="0">
    <xmlCellPr id="1" uniqueName="1">
      <xmlPr mapId="43" xpath="/ns1:Root/ns1:Prog/ns1:Achieved__P10_5" xmlDataType="string"/>
    </xmlCellPr>
  </singleXmlCell>
  <singleXmlCell id="684" r="R130" connectionId="0">
    <xmlCellPr id="1" uniqueName="1">
      <xmlPr mapId="43" xpath="/ns1:Root/ns1:Prog/ns1:Achieved__P11_5" xmlDataType="string"/>
    </xmlCellPr>
  </singleXmlCell>
  <singleXmlCell id="685" r="S130" connectionId="0">
    <xmlCellPr id="1" uniqueName="1">
      <xmlPr mapId="43" xpath="/ns1:Root/ns1:Prog/ns1:Achieved__P12_5" xmlDataType="string"/>
    </xmlCellPr>
  </singleXmlCell>
  <singleXmlCell id="686" r="H131" connectionId="0">
    <xmlCellPr id="1" uniqueName="1">
      <xmlPr mapId="43" xpath="/ns1:Root/ns1:Prog/ns1:Target_P1_6" xmlDataType="double"/>
    </xmlCellPr>
  </singleXmlCell>
  <singleXmlCell id="687" r="I131" connectionId="0">
    <xmlCellPr id="1" uniqueName="1">
      <xmlPr mapId="43" xpath="/ns1:Root/ns1:Prog/ns1:Target_P2_6" xmlDataType="double"/>
    </xmlCellPr>
  </singleXmlCell>
  <singleXmlCell id="688" r="J131" connectionId="0">
    <xmlCellPr id="1" uniqueName="1">
      <xmlPr mapId="43" xpath="/ns1:Root/ns1:Prog/ns1:Target_P3_6" xmlDataType="double"/>
    </xmlCellPr>
  </singleXmlCell>
  <singleXmlCell id="689" r="K131" connectionId="0">
    <xmlCellPr id="1" uniqueName="1">
      <xmlPr mapId="43" xpath="/ns1:Root/ns1:Prog/ns1:Target_P4_6" xmlDataType="double"/>
    </xmlCellPr>
  </singleXmlCell>
  <singleXmlCell id="690" r="L131" connectionId="0">
    <xmlCellPr id="1" uniqueName="1">
      <xmlPr mapId="43" xpath="/ns1:Root/ns1:Prog/ns1:Target_P5_6" xmlDataType="double"/>
    </xmlCellPr>
  </singleXmlCell>
  <singleXmlCell id="691" r="M131" connectionId="0">
    <xmlCellPr id="1" uniqueName="1">
      <xmlPr mapId="43" xpath="/ns1:Root/ns1:Prog/ns1:Target_P6_6" xmlDataType="double"/>
    </xmlCellPr>
  </singleXmlCell>
  <singleXmlCell id="692" r="N131" connectionId="0">
    <xmlCellPr id="1" uniqueName="1">
      <xmlPr mapId="43" xpath="/ns1:Root/ns1:Prog/ns1:Target_P7_6" xmlDataType="double"/>
    </xmlCellPr>
  </singleXmlCell>
  <singleXmlCell id="693" r="O131" connectionId="0">
    <xmlCellPr id="1" uniqueName="1">
      <xmlPr mapId="43" xpath="/ns1:Root/ns1:Prog/ns1:Target_P8_6" xmlDataType="double"/>
    </xmlCellPr>
  </singleXmlCell>
  <singleXmlCell id="694" r="P131" connectionId="0">
    <xmlCellPr id="1" uniqueName="1">
      <xmlPr mapId="43" xpath="/ns1:Root/ns1:Prog/ns1:Target_P9_6" xmlDataType="double"/>
    </xmlCellPr>
  </singleXmlCell>
  <singleXmlCell id="695" r="Q131" connectionId="0">
    <xmlCellPr id="1" uniqueName="1">
      <xmlPr mapId="43" xpath="/ns1:Root/ns1:Prog/ns1:Target_P10_6" xmlDataType="double"/>
    </xmlCellPr>
  </singleXmlCell>
  <singleXmlCell id="696" r="R131" connectionId="0">
    <xmlCellPr id="1" uniqueName="1">
      <xmlPr mapId="43" xpath="/ns1:Root/ns1:Prog/ns1:Target_P11_6" xmlDataType="double"/>
    </xmlCellPr>
  </singleXmlCell>
  <singleXmlCell id="697" r="S131" connectionId="0">
    <xmlCellPr id="1" uniqueName="1">
      <xmlPr mapId="43" xpath="/ns1:Root/ns1:Prog/ns1:Target_P12_6" xmlDataType="double"/>
    </xmlCellPr>
  </singleXmlCell>
  <singleXmlCell id="698" r="H132" connectionId="0">
    <xmlCellPr id="1" uniqueName="1">
      <xmlPr mapId="43" xpath="/ns1:Root/ns1:Prog/ns1:Achieved__P1_6" xmlDataType="double"/>
    </xmlCellPr>
  </singleXmlCell>
  <singleXmlCell id="699" r="I132" connectionId="0">
    <xmlCellPr id="1" uniqueName="1">
      <xmlPr mapId="43" xpath="/ns1:Root/ns1:Prog/ns1:Achieved__P2_6" xmlDataType="double"/>
    </xmlCellPr>
  </singleXmlCell>
  <singleXmlCell id="700" r="J132" connectionId="0">
    <xmlCellPr id="1" uniqueName="1">
      <xmlPr mapId="43" xpath="/ns1:Root/ns1:Prog/ns1:Achieved__P3_6" xmlDataType="double"/>
    </xmlCellPr>
  </singleXmlCell>
  <singleXmlCell id="701" r="K132" connectionId="0">
    <xmlCellPr id="1" uniqueName="1">
      <xmlPr mapId="43" xpath="/ns1:Root/ns1:Prog/ns1:Achieved__P4_6" xmlDataType="double"/>
    </xmlCellPr>
  </singleXmlCell>
  <singleXmlCell id="702" r="L132" connectionId="0">
    <xmlCellPr id="1" uniqueName="1">
      <xmlPr mapId="43" xpath="/ns1:Root/ns1:Prog/ns1:Achieved__P5_6" xmlDataType="string"/>
    </xmlCellPr>
  </singleXmlCell>
  <singleXmlCell id="703" r="M132" connectionId="0">
    <xmlCellPr id="1" uniqueName="1">
      <xmlPr mapId="43" xpath="/ns1:Root/ns1:Prog/ns1:Achieved__P6_6" xmlDataType="string"/>
    </xmlCellPr>
  </singleXmlCell>
  <singleXmlCell id="704" r="N132" connectionId="0">
    <xmlCellPr id="1" uniqueName="1">
      <xmlPr mapId="43" xpath="/ns1:Root/ns1:Prog/ns1:Achieved__P7_6" xmlDataType="string"/>
    </xmlCellPr>
  </singleXmlCell>
  <singleXmlCell id="705" r="O132" connectionId="0">
    <xmlCellPr id="1" uniqueName="1">
      <xmlPr mapId="43" xpath="/ns1:Root/ns1:Prog/ns1:Achieved__P8_6" xmlDataType="string"/>
    </xmlCellPr>
  </singleXmlCell>
  <singleXmlCell id="706" r="P132" connectionId="0">
    <xmlCellPr id="1" uniqueName="1">
      <xmlPr mapId="43" xpath="/ns1:Root/ns1:Prog/ns1:Achieved__P9_6" xmlDataType="string"/>
    </xmlCellPr>
  </singleXmlCell>
  <singleXmlCell id="707" r="Q132" connectionId="0">
    <xmlCellPr id="1" uniqueName="1">
      <xmlPr mapId="43" xpath="/ns1:Root/ns1:Prog/ns1:Achieved__P10_6" xmlDataType="string"/>
    </xmlCellPr>
  </singleXmlCell>
  <singleXmlCell id="708" r="R132" connectionId="0">
    <xmlCellPr id="1" uniqueName="1">
      <xmlPr mapId="43" xpath="/ns1:Root/ns1:Prog/ns1:Achieved__P11_6" xmlDataType="string"/>
    </xmlCellPr>
  </singleXmlCell>
  <singleXmlCell id="709" r="S132" connectionId="0">
    <xmlCellPr id="1" uniqueName="1">
      <xmlPr mapId="43" xpath="/ns1:Root/ns1:Prog/ns1:Achieved__P12_6" xmlDataType="string"/>
    </xmlCellPr>
  </singleXmlCell>
  <singleXmlCell id="710" r="H133" connectionId="0">
    <xmlCellPr id="1" uniqueName="1">
      <xmlPr mapId="43" xpath="/ns1:Root/ns1:Prog/ns1:Target_P1_7" xmlDataType="double"/>
    </xmlCellPr>
  </singleXmlCell>
  <singleXmlCell id="711" r="I133" connectionId="0">
    <xmlCellPr id="1" uniqueName="1">
      <xmlPr mapId="43" xpath="/ns1:Root/ns1:Prog/ns1:Target_P2_7" xmlDataType="double"/>
    </xmlCellPr>
  </singleXmlCell>
  <singleXmlCell id="712" r="J133" connectionId="0">
    <xmlCellPr id="1" uniqueName="1">
      <xmlPr mapId="43" xpath="/ns1:Root/ns1:Prog/ns1:Target_P3_7" xmlDataType="double"/>
    </xmlCellPr>
  </singleXmlCell>
  <singleXmlCell id="713" r="K133" connectionId="0">
    <xmlCellPr id="1" uniqueName="1">
      <xmlPr mapId="43" xpath="/ns1:Root/ns1:Prog/ns1:Target_P4_7" xmlDataType="double"/>
    </xmlCellPr>
  </singleXmlCell>
  <singleXmlCell id="714" r="L133" connectionId="0">
    <xmlCellPr id="1" uniqueName="1">
      <xmlPr mapId="43" xpath="/ns1:Root/ns1:Prog/ns1:Target_P5_7" xmlDataType="double"/>
    </xmlCellPr>
  </singleXmlCell>
  <singleXmlCell id="715" r="M133" connectionId="0">
    <xmlCellPr id="1" uniqueName="1">
      <xmlPr mapId="43" xpath="/ns1:Root/ns1:Prog/ns1:Target_P6_7" xmlDataType="double"/>
    </xmlCellPr>
  </singleXmlCell>
  <singleXmlCell id="716" r="N133" connectionId="0">
    <xmlCellPr id="1" uniqueName="1">
      <xmlPr mapId="43" xpath="/ns1:Root/ns1:Prog/ns1:Target_P7_7" xmlDataType="double"/>
    </xmlCellPr>
  </singleXmlCell>
  <singleXmlCell id="717" r="O133" connectionId="0">
    <xmlCellPr id="1" uniqueName="1">
      <xmlPr mapId="43" xpath="/ns1:Root/ns1:Prog/ns1:Target_P8_7" xmlDataType="double"/>
    </xmlCellPr>
  </singleXmlCell>
  <singleXmlCell id="718" r="P133" connectionId="0">
    <xmlCellPr id="1" uniqueName="1">
      <xmlPr mapId="43" xpath="/ns1:Root/ns1:Prog/ns1:Target_P9_7" xmlDataType="double"/>
    </xmlCellPr>
  </singleXmlCell>
  <singleXmlCell id="719" r="Q133" connectionId="0">
    <xmlCellPr id="1" uniqueName="1">
      <xmlPr mapId="43" xpath="/ns1:Root/ns1:Prog/ns1:Target_P10_7" xmlDataType="double"/>
    </xmlCellPr>
  </singleXmlCell>
  <singleXmlCell id="720" r="R133" connectionId="0">
    <xmlCellPr id="1" uniqueName="1">
      <xmlPr mapId="43" xpath="/ns1:Root/ns1:Prog/ns1:Target_P11_7" xmlDataType="double"/>
    </xmlCellPr>
  </singleXmlCell>
  <singleXmlCell id="721" r="S133" connectionId="0">
    <xmlCellPr id="1" uniqueName="1">
      <xmlPr mapId="43" xpath="/ns1:Root/ns1:Prog/ns1:Target_P12_7" xmlDataType="double"/>
    </xmlCellPr>
  </singleXmlCell>
  <singleXmlCell id="722" r="H134" connectionId="0">
    <xmlCellPr id="1" uniqueName="1">
      <xmlPr mapId="43" xpath="/ns1:Root/ns1:Prog/ns1:Achieved__P1_7" xmlDataType="double"/>
    </xmlCellPr>
  </singleXmlCell>
  <singleXmlCell id="723" r="I134" connectionId="0">
    <xmlCellPr id="1" uniqueName="1">
      <xmlPr mapId="43" xpath="/ns1:Root/ns1:Prog/ns1:Achieved__P2_7" xmlDataType="double"/>
    </xmlCellPr>
  </singleXmlCell>
  <singleXmlCell id="724" r="J134" connectionId="0">
    <xmlCellPr id="1" uniqueName="1">
      <xmlPr mapId="43" xpath="/ns1:Root/ns1:Prog/ns1:Achieved__P3_7" xmlDataType="double"/>
    </xmlCellPr>
  </singleXmlCell>
  <singleXmlCell id="725" r="K134" connectionId="0">
    <xmlCellPr id="1" uniqueName="1">
      <xmlPr mapId="43" xpath="/ns1:Root/ns1:Prog/ns1:Achieved__P4_7" xmlDataType="double"/>
    </xmlCellPr>
  </singleXmlCell>
  <singleXmlCell id="726" r="L134" connectionId="0">
    <xmlCellPr id="1" uniqueName="1">
      <xmlPr mapId="43" xpath="/ns1:Root/ns1:Prog/ns1:Achieved__P5_7" xmlDataType="string"/>
    </xmlCellPr>
  </singleXmlCell>
  <singleXmlCell id="727" r="M134" connectionId="0">
    <xmlCellPr id="1" uniqueName="1">
      <xmlPr mapId="43" xpath="/ns1:Root/ns1:Prog/ns1:Achieved__P6_7" xmlDataType="string"/>
    </xmlCellPr>
  </singleXmlCell>
  <singleXmlCell id="728" r="N134" connectionId="0">
    <xmlCellPr id="1" uniqueName="1">
      <xmlPr mapId="43" xpath="/ns1:Root/ns1:Prog/ns1:Achieved__P7_7" xmlDataType="string"/>
    </xmlCellPr>
  </singleXmlCell>
  <singleXmlCell id="729" r="O134" connectionId="0">
    <xmlCellPr id="1" uniqueName="1">
      <xmlPr mapId="43" xpath="/ns1:Root/ns1:Prog/ns1:Achieved__P8_7" xmlDataType="string"/>
    </xmlCellPr>
  </singleXmlCell>
  <singleXmlCell id="730" r="P134" connectionId="0">
    <xmlCellPr id="1" uniqueName="1">
      <xmlPr mapId="43" xpath="/ns1:Root/ns1:Prog/ns1:Achieved__P9_7" xmlDataType="string"/>
    </xmlCellPr>
  </singleXmlCell>
  <singleXmlCell id="731" r="Q134" connectionId="0">
    <xmlCellPr id="1" uniqueName="1">
      <xmlPr mapId="43" xpath="/ns1:Root/ns1:Prog/ns1:Achieved__P10_7" xmlDataType="string"/>
    </xmlCellPr>
  </singleXmlCell>
  <singleXmlCell id="732" r="R134" connectionId="0">
    <xmlCellPr id="1" uniqueName="1">
      <xmlPr mapId="43" xpath="/ns1:Root/ns1:Prog/ns1:Achieved__P11_7" xmlDataType="string"/>
    </xmlCellPr>
  </singleXmlCell>
  <singleXmlCell id="733" r="S134" connectionId="0">
    <xmlCellPr id="1" uniqueName="1">
      <xmlPr mapId="43" xpath="/ns1:Root/ns1:Prog/ns1:Achieved__P12_7" xmlDataType="string"/>
    </xmlCellPr>
  </singleXmlCell>
  <singleXmlCell id="734" r="H135" connectionId="0">
    <xmlCellPr id="1" uniqueName="1">
      <xmlPr mapId="43" xpath="/ns1:Root/ns1:Prog/ns1:Target_P1_8" xmlDataType="string"/>
    </xmlCellPr>
  </singleXmlCell>
  <singleXmlCell id="735" r="I135" connectionId="0">
    <xmlCellPr id="1" uniqueName="1">
      <xmlPr mapId="43" xpath="/ns1:Root/ns1:Prog/ns1:Target_P2_8" xmlDataType="double"/>
    </xmlCellPr>
  </singleXmlCell>
  <singleXmlCell id="736" r="J135" connectionId="0">
    <xmlCellPr id="1" uniqueName="1">
      <xmlPr mapId="43" xpath="/ns1:Root/ns1:Prog/ns1:Target_P3_8" xmlDataType="string"/>
    </xmlCellPr>
  </singleXmlCell>
  <singleXmlCell id="737" r="K135" connectionId="0">
    <xmlCellPr id="1" uniqueName="1">
      <xmlPr mapId="43" xpath="/ns1:Root/ns1:Prog/ns1:Target_P4_8" xmlDataType="double"/>
    </xmlCellPr>
  </singleXmlCell>
  <singleXmlCell id="738" r="L135" connectionId="0">
    <xmlCellPr id="1" uniqueName="1">
      <xmlPr mapId="43" xpath="/ns1:Root/ns1:Prog/ns1:Target_P5_8" xmlDataType="string"/>
    </xmlCellPr>
  </singleXmlCell>
  <singleXmlCell id="739" r="M135" connectionId="0">
    <xmlCellPr id="1" uniqueName="1">
      <xmlPr mapId="43" xpath="/ns1:Root/ns1:Prog/ns1:Target_P6_8" xmlDataType="double"/>
    </xmlCellPr>
  </singleXmlCell>
  <singleXmlCell id="740" r="N135" connectionId="0">
    <xmlCellPr id="1" uniqueName="1">
      <xmlPr mapId="43" xpath="/ns1:Root/ns1:Prog/ns1:Target_P7_8" xmlDataType="string"/>
    </xmlCellPr>
  </singleXmlCell>
  <singleXmlCell id="741" r="O135" connectionId="0">
    <xmlCellPr id="1" uniqueName="1">
      <xmlPr mapId="43" xpath="/ns1:Root/ns1:Prog/ns1:Target_P8_8" xmlDataType="double"/>
    </xmlCellPr>
  </singleXmlCell>
  <singleXmlCell id="742" r="P135" connectionId="0">
    <xmlCellPr id="1" uniqueName="1">
      <xmlPr mapId="43" xpath="/ns1:Root/ns1:Prog/ns1:Target_P9_8" xmlDataType="double"/>
    </xmlCellPr>
  </singleXmlCell>
  <singleXmlCell id="743" r="Q135" connectionId="0">
    <xmlCellPr id="1" uniqueName="1">
      <xmlPr mapId="43" xpath="/ns1:Root/ns1:Prog/ns1:Target_P10_8" xmlDataType="double"/>
    </xmlCellPr>
  </singleXmlCell>
  <singleXmlCell id="744" r="R135" connectionId="0">
    <xmlCellPr id="1" uniqueName="1">
      <xmlPr mapId="43" xpath="/ns1:Root/ns1:Prog/ns1:Target_P11_8" xmlDataType="double"/>
    </xmlCellPr>
  </singleXmlCell>
  <singleXmlCell id="745" r="S135" connectionId="0">
    <xmlCellPr id="1" uniqueName="1">
      <xmlPr mapId="43" xpath="/ns1:Root/ns1:Prog/ns1:Target_P12_8" xmlDataType="double"/>
    </xmlCellPr>
  </singleXmlCell>
  <singleXmlCell id="746" r="H136" connectionId="0">
    <xmlCellPr id="1" uniqueName="1">
      <xmlPr mapId="43" xpath="/ns1:Root/ns1:Prog/ns1:Achieved__P1_8" xmlDataType="string"/>
    </xmlCellPr>
  </singleXmlCell>
  <singleXmlCell id="747" r="I136" connectionId="0">
    <xmlCellPr id="1" uniqueName="1">
      <xmlPr mapId="43" xpath="/ns1:Root/ns1:Prog/ns1:Achieved__P2_8" xmlDataType="string"/>
    </xmlCellPr>
  </singleXmlCell>
  <singleXmlCell id="748" r="J136" connectionId="0">
    <xmlCellPr id="1" uniqueName="1">
      <xmlPr mapId="43" xpath="/ns1:Root/ns1:Prog/ns1:Achieved__P3_8" xmlDataType="string"/>
    </xmlCellPr>
  </singleXmlCell>
  <singleXmlCell id="749" r="K136" connectionId="0">
    <xmlCellPr id="1" uniqueName="1">
      <xmlPr mapId="43" xpath="/ns1:Root/ns1:Prog/ns1:Achieved__P4_8" xmlDataType="string"/>
    </xmlCellPr>
  </singleXmlCell>
  <singleXmlCell id="750" r="L136" connectionId="0">
    <xmlCellPr id="1" uniqueName="1">
      <xmlPr mapId="43" xpath="/ns1:Root/ns1:Prog/ns1:Achieved__P5_8" xmlDataType="string"/>
    </xmlCellPr>
  </singleXmlCell>
  <singleXmlCell id="751" r="M136" connectionId="0">
    <xmlCellPr id="1" uniqueName="1">
      <xmlPr mapId="43" xpath="/ns1:Root/ns1:Prog/ns1:Achieved__P6_8" xmlDataType="string"/>
    </xmlCellPr>
  </singleXmlCell>
  <singleXmlCell id="752" r="N136" connectionId="0">
    <xmlCellPr id="1" uniqueName="1">
      <xmlPr mapId="43" xpath="/ns1:Root/ns1:Prog/ns1:Achieved__P7_8" xmlDataType="string"/>
    </xmlCellPr>
  </singleXmlCell>
  <singleXmlCell id="753" r="O136" connectionId="0">
    <xmlCellPr id="1" uniqueName="1">
      <xmlPr mapId="43" xpath="/ns1:Root/ns1:Prog/ns1:Achieved__P8_8" xmlDataType="string"/>
    </xmlCellPr>
  </singleXmlCell>
  <singleXmlCell id="754" r="P136" connectionId="0">
    <xmlCellPr id="1" uniqueName="1">
      <xmlPr mapId="43" xpath="/ns1:Root/ns1:Prog/ns1:Achieved__P9_8" xmlDataType="string"/>
    </xmlCellPr>
  </singleXmlCell>
  <singleXmlCell id="755" r="Q136" connectionId="0">
    <xmlCellPr id="1" uniqueName="1">
      <xmlPr mapId="43" xpath="/ns1:Root/ns1:Prog/ns1:Achieved__P10_8" xmlDataType="string"/>
    </xmlCellPr>
  </singleXmlCell>
  <singleXmlCell id="756" r="R136" connectionId="0">
    <xmlCellPr id="1" uniqueName="1">
      <xmlPr mapId="43" xpath="/ns1:Root/ns1:Prog/ns1:Achieved__P11_8" xmlDataType="string"/>
    </xmlCellPr>
  </singleXmlCell>
  <singleXmlCell id="757" r="S136" connectionId="0">
    <xmlCellPr id="1" uniqueName="1">
      <xmlPr mapId="43" xpath="/ns1:Root/ns1:Prog/ns1:Achieved__P12_8" xmlDataType="string"/>
    </xmlCellPr>
  </singleXmlCell>
  <singleXmlCell id="758" r="H137" connectionId="0">
    <xmlCellPr id="1" uniqueName="1">
      <xmlPr mapId="43" xpath="/ns1:Root/ns1:Prog/ns1:Target_P1_9" xmlDataType="double"/>
    </xmlCellPr>
  </singleXmlCell>
  <singleXmlCell id="759" r="I137" connectionId="0">
    <xmlCellPr id="1" uniqueName="1">
      <xmlPr mapId="43" xpath="/ns1:Root/ns1:Prog/ns1:Target_P2_9" xmlDataType="double"/>
    </xmlCellPr>
  </singleXmlCell>
  <singleXmlCell id="760" r="J137" connectionId="0">
    <xmlCellPr id="1" uniqueName="1">
      <xmlPr mapId="43" xpath="/ns1:Root/ns1:Prog/ns1:Target_P3_9" xmlDataType="double"/>
    </xmlCellPr>
  </singleXmlCell>
  <singleXmlCell id="761" r="K137" connectionId="0">
    <xmlCellPr id="1" uniqueName="1">
      <xmlPr mapId="43" xpath="/ns1:Root/ns1:Prog/ns1:Target_P4_9" xmlDataType="double"/>
    </xmlCellPr>
  </singleXmlCell>
  <singleXmlCell id="762" r="L137" connectionId="0">
    <xmlCellPr id="1" uniqueName="1">
      <xmlPr mapId="43" xpath="/ns1:Root/ns1:Prog/ns1:Target_P5_9" xmlDataType="double"/>
    </xmlCellPr>
  </singleXmlCell>
  <singleXmlCell id="763" r="M137" connectionId="0">
    <xmlCellPr id="1" uniqueName="1">
      <xmlPr mapId="43" xpath="/ns1:Root/ns1:Prog/ns1:Target_P6_9" xmlDataType="double"/>
    </xmlCellPr>
  </singleXmlCell>
  <singleXmlCell id="764" r="N137" connectionId="0">
    <xmlCellPr id="1" uniqueName="1">
      <xmlPr mapId="43" xpath="/ns1:Root/ns1:Prog/ns1:Target_P7_9" xmlDataType="double"/>
    </xmlCellPr>
  </singleXmlCell>
  <singleXmlCell id="765" r="O137" connectionId="0">
    <xmlCellPr id="1" uniqueName="1">
      <xmlPr mapId="43" xpath="/ns1:Root/ns1:Prog/ns1:Target_P8_9" xmlDataType="double"/>
    </xmlCellPr>
  </singleXmlCell>
  <singleXmlCell id="766" r="P137" connectionId="0">
    <xmlCellPr id="1" uniqueName="1">
      <xmlPr mapId="43" xpath="/ns1:Root/ns1:Prog/ns1:Target_P9_9" xmlDataType="double"/>
    </xmlCellPr>
  </singleXmlCell>
  <singleXmlCell id="767" r="Q137" connectionId="0">
    <xmlCellPr id="1" uniqueName="1">
      <xmlPr mapId="43" xpath="/ns1:Root/ns1:Prog/ns1:Target_P10_9" xmlDataType="double"/>
    </xmlCellPr>
  </singleXmlCell>
  <singleXmlCell id="768" r="R137" connectionId="0">
    <xmlCellPr id="1" uniqueName="1">
      <xmlPr mapId="43" xpath="/ns1:Root/ns1:Prog/ns1:Target_P11_9" xmlDataType="double"/>
    </xmlCellPr>
  </singleXmlCell>
  <singleXmlCell id="769" r="S137" connectionId="0">
    <xmlCellPr id="1" uniqueName="1">
      <xmlPr mapId="43" xpath="/ns1:Root/ns1:Prog/ns1:Target_P12_9" xmlDataType="double"/>
    </xmlCellPr>
  </singleXmlCell>
  <singleXmlCell id="770" r="H138" connectionId="0">
    <xmlCellPr id="1" uniqueName="1">
      <xmlPr mapId="43" xpath="/ns1:Root/ns1:Prog/ns1:Achieved__P1_9" xmlDataType="string"/>
    </xmlCellPr>
  </singleXmlCell>
  <singleXmlCell id="771" r="I138" connectionId="0">
    <xmlCellPr id="1" uniqueName="1">
      <xmlPr mapId="43" xpath="/ns1:Root/ns1:Prog/ns1:Achieved__P2_9" xmlDataType="double"/>
    </xmlCellPr>
  </singleXmlCell>
  <singleXmlCell id="772" r="J138" connectionId="0">
    <xmlCellPr id="1" uniqueName="1">
      <xmlPr mapId="43" xpath="/ns1:Root/ns1:Prog/ns1:Achieved__P3_9" xmlDataType="string"/>
    </xmlCellPr>
  </singleXmlCell>
  <singleXmlCell id="773" r="K138" connectionId="0">
    <xmlCellPr id="1" uniqueName="1">
      <xmlPr mapId="43" xpath="/ns1:Root/ns1:Prog/ns1:Achieved__P4_9" xmlDataType="double"/>
    </xmlCellPr>
  </singleXmlCell>
  <singleXmlCell id="774" r="L138" connectionId="0">
    <xmlCellPr id="1" uniqueName="1">
      <xmlPr mapId="43" xpath="/ns1:Root/ns1:Prog/ns1:Achieved__P5_9" xmlDataType="string"/>
    </xmlCellPr>
  </singleXmlCell>
  <singleXmlCell id="775" r="M138" connectionId="0">
    <xmlCellPr id="1" uniqueName="1">
      <xmlPr mapId="43" xpath="/ns1:Root/ns1:Prog/ns1:Achieved__P6_9" xmlDataType="string"/>
    </xmlCellPr>
  </singleXmlCell>
  <singleXmlCell id="776" r="N138" connectionId="0">
    <xmlCellPr id="1" uniqueName="1">
      <xmlPr mapId="43" xpath="/ns1:Root/ns1:Prog/ns1:Achieved__P7_9" xmlDataType="string"/>
    </xmlCellPr>
  </singleXmlCell>
  <singleXmlCell id="777" r="O138" connectionId="0">
    <xmlCellPr id="1" uniqueName="1">
      <xmlPr mapId="43" xpath="/ns1:Root/ns1:Prog/ns1:Achieved__P8_9" xmlDataType="string"/>
    </xmlCellPr>
  </singleXmlCell>
  <singleXmlCell id="778" r="P138" connectionId="0">
    <xmlCellPr id="1" uniqueName="1">
      <xmlPr mapId="43" xpath="/ns1:Root/ns1:Prog/ns1:Achieved__P9_9" xmlDataType="string"/>
    </xmlCellPr>
  </singleXmlCell>
  <singleXmlCell id="779" r="Q138" connectionId="0">
    <xmlCellPr id="1" uniqueName="1">
      <xmlPr mapId="43" xpath="/ns1:Root/ns1:Prog/ns1:Achieved__P10_9" xmlDataType="string"/>
    </xmlCellPr>
  </singleXmlCell>
  <singleXmlCell id="780" r="R138" connectionId="0">
    <xmlCellPr id="1" uniqueName="1">
      <xmlPr mapId="43" xpath="/ns1:Root/ns1:Prog/ns1:Achieved__P11_9" xmlDataType="string"/>
    </xmlCellPr>
  </singleXmlCell>
  <singleXmlCell id="781" r="S138" connectionId="0">
    <xmlCellPr id="1" uniqueName="1">
      <xmlPr mapId="43" xpath="/ns1:Root/ns1:Prog/ns1:Achieved__P12_9" xmlDataType="string"/>
    </xmlCellPr>
  </singleXmlCell>
  <singleXmlCell id="782" r="H139" connectionId="0">
    <xmlCellPr id="1" uniqueName="1">
      <xmlPr mapId="43" xpath="/ns1:Root/ns1:Prog/ns1:Target_P1" xmlDataType="string"/>
    </xmlCellPr>
  </singleXmlCell>
  <singleXmlCell id="783" r="I139" connectionId="0">
    <xmlCellPr id="1" uniqueName="1">
      <xmlPr mapId="43" xpath="/ns1:Root/ns1:Prog/ns1:Target_P2" xmlDataType="string"/>
    </xmlCellPr>
  </singleXmlCell>
  <singleXmlCell id="784" r="J139" connectionId="0">
    <xmlCellPr id="1" uniqueName="1">
      <xmlPr mapId="43" xpath="/ns1:Root/ns1:Prog/ns1:Target_P3" xmlDataType="string"/>
    </xmlCellPr>
  </singleXmlCell>
  <singleXmlCell id="785" r="K139" connectionId="0">
    <xmlCellPr id="1" uniqueName="1">
      <xmlPr mapId="43" xpath="/ns1:Root/ns1:Prog/ns1:Target_P4" xmlDataType="double"/>
    </xmlCellPr>
  </singleXmlCell>
  <singleXmlCell id="786" r="L139" connectionId="0">
    <xmlCellPr id="1" uniqueName="1">
      <xmlPr mapId="43" xpath="/ns1:Root/ns1:Prog/ns1:Target_P5" xmlDataType="string"/>
    </xmlCellPr>
  </singleXmlCell>
  <singleXmlCell id="787" r="M139" connectionId="0">
    <xmlCellPr id="1" uniqueName="1">
      <xmlPr mapId="43" xpath="/ns1:Root/ns1:Prog/ns1:Target_P6" xmlDataType="string"/>
    </xmlCellPr>
  </singleXmlCell>
  <singleXmlCell id="788" r="N139" connectionId="0">
    <xmlCellPr id="1" uniqueName="1">
      <xmlPr mapId="43" xpath="/ns1:Root/ns1:Prog/ns1:Target_P7" xmlDataType="string"/>
    </xmlCellPr>
  </singleXmlCell>
  <singleXmlCell id="789" r="O139" connectionId="0">
    <xmlCellPr id="1" uniqueName="1">
      <xmlPr mapId="43" xpath="/ns1:Root/ns1:Prog/ns1:Target_P8" xmlDataType="string"/>
    </xmlCellPr>
  </singleXmlCell>
  <singleXmlCell id="790" r="P139" connectionId="0">
    <xmlCellPr id="1" uniqueName="1">
      <xmlPr mapId="43" xpath="/ns1:Root/ns1:Prog/ns1:Target_P9" xmlDataType="string"/>
    </xmlCellPr>
  </singleXmlCell>
  <singleXmlCell id="791" r="Q139" connectionId="0">
    <xmlCellPr id="1" uniqueName="1">
      <xmlPr mapId="43" xpath="/ns1:Root/ns1:Prog/ns1:Target_P10" xmlDataType="string"/>
    </xmlCellPr>
  </singleXmlCell>
  <singleXmlCell id="792" r="R139" connectionId="0">
    <xmlCellPr id="1" uniqueName="1">
      <xmlPr mapId="43" xpath="/ns1:Root/ns1:Prog/ns1:Target_P11" xmlDataType="string"/>
    </xmlCellPr>
  </singleXmlCell>
  <singleXmlCell id="793" r="S139" connectionId="0">
    <xmlCellPr id="1" uniqueName="1">
      <xmlPr mapId="43" xpath="/ns1:Root/ns1:Prog/ns1:Target_P12" xmlDataType="string"/>
    </xmlCellPr>
  </singleXmlCell>
  <singleXmlCell id="794" r="H140" connectionId="0">
    <xmlCellPr id="1" uniqueName="1">
      <xmlPr mapId="43" xpath="/ns1:Root/ns1:Prog/ns1:Achieved__P1" xmlDataType="string"/>
    </xmlCellPr>
  </singleXmlCell>
  <singleXmlCell id="795" r="I140" connectionId="0">
    <xmlCellPr id="1" uniqueName="1">
      <xmlPr mapId="43" xpath="/ns1:Root/ns1:Prog/ns1:Achieved__P2" xmlDataType="string"/>
    </xmlCellPr>
  </singleXmlCell>
  <singleXmlCell id="796" r="J140" connectionId="0">
    <xmlCellPr id="1" uniqueName="1">
      <xmlPr mapId="43" xpath="/ns1:Root/ns1:Prog/ns1:Achieved__P3" xmlDataType="string"/>
    </xmlCellPr>
  </singleXmlCell>
  <singleXmlCell id="797" r="K140" connectionId="0">
    <xmlCellPr id="1" uniqueName="1">
      <xmlPr mapId="43" xpath="/ns1:Root/ns1:Prog/ns1:Achieved__P4" xmlDataType="string"/>
    </xmlCellPr>
  </singleXmlCell>
  <singleXmlCell id="798" r="L140" connectionId="0">
    <xmlCellPr id="1" uniqueName="1">
      <xmlPr mapId="43" xpath="/ns1:Root/ns1:Prog/ns1:Achieved__P5" xmlDataType="string"/>
    </xmlCellPr>
  </singleXmlCell>
  <singleXmlCell id="799" r="M140" connectionId="0">
    <xmlCellPr id="1" uniqueName="1">
      <xmlPr mapId="43" xpath="/ns1:Root/ns1:Prog/ns1:Achieved__P6" xmlDataType="string"/>
    </xmlCellPr>
  </singleXmlCell>
  <singleXmlCell id="800" r="N140" connectionId="0">
    <xmlCellPr id="1" uniqueName="1">
      <xmlPr mapId="43" xpath="/ns1:Root/ns1:Prog/ns1:Achieved__P7" xmlDataType="string"/>
    </xmlCellPr>
  </singleXmlCell>
  <singleXmlCell id="801" r="O140" connectionId="0">
    <xmlCellPr id="1" uniqueName="1">
      <xmlPr mapId="43" xpath="/ns1:Root/ns1:Prog/ns1:Achieved__P8" xmlDataType="string"/>
    </xmlCellPr>
  </singleXmlCell>
  <singleXmlCell id="802" r="P140" connectionId="0">
    <xmlCellPr id="1" uniqueName="1">
      <xmlPr mapId="43" xpath="/ns1:Root/ns1:Prog/ns1:Achieved__P9" xmlDataType="string"/>
    </xmlCellPr>
  </singleXmlCell>
  <singleXmlCell id="803" r="Q140" connectionId="0">
    <xmlCellPr id="1" uniqueName="1">
      <xmlPr mapId="43" xpath="/ns1:Root/ns1:Prog/ns1:Achieved__P10" xmlDataType="string"/>
    </xmlCellPr>
  </singleXmlCell>
  <singleXmlCell id="804" r="R140" connectionId="0">
    <xmlCellPr id="1" uniqueName="1">
      <xmlPr mapId="43" xpath="/ns1:Root/ns1:Prog/ns1:Achieved__P11" xmlDataType="string"/>
    </xmlCellPr>
  </singleXmlCell>
  <singleXmlCell id="805" r="S140" connectionId="0">
    <xmlCellPr id="1" uniqueName="1">
      <xmlPr mapId="43" xpath="/ns1:Root/ns1:Prog/ns1:Achieved__P12" xmlDataType="string"/>
    </xmlCellPr>
  </singleXmlCell>
  <singleXmlCell id="806" r="K123" connectionId="0">
    <xmlCellPr id="1" uniqueName="1">
      <xmlPr mapId="43" xpath="/ns1:Root/ns1:Prog/ns1:Target_P4_2" xmlDataType="double"/>
    </xmlCellPr>
  </singleXmlCell>
  <singleXmlCell id="807" r="B121" connectionId="0">
    <xmlCellPr id="1" uniqueName="1">
      <xmlPr mapId="43" xpath="/ns1:Root/ns1:P1" xmlDataType="string"/>
    </xmlCellPr>
  </singleXmlCell>
  <singleXmlCell id="808" r="E121" connectionId="0">
    <xmlCellPr id="1" uniqueName="1">
      <xmlPr mapId="43" xpath="/ns1:Root/ns1:P1_Code" xmlDataType="double"/>
    </xmlCellPr>
  </singleXmlCell>
  <singleXmlCell id="809" r="F121" connectionId="0">
    <xmlCellPr id="1" uniqueName="1">
      <xmlPr mapId="43" xpath="/ns1:Root/ns1:P1_Tied" xmlDataType="string"/>
    </xmlCellPr>
  </singleXmlCell>
  <singleXmlCell id="810" r="B123" connectionId="0">
    <xmlCellPr id="1" uniqueName="1">
      <xmlPr mapId="43" xpath="/ns1:Root/ns1:P2" xmlDataType="string"/>
    </xmlCellPr>
  </singleXmlCell>
  <singleXmlCell id="811" r="E123" connectionId="0">
    <xmlCellPr id="1" uniqueName="1">
      <xmlPr mapId="43" xpath="/ns1:Root/ns1:P2_Code" xmlDataType="double"/>
    </xmlCellPr>
  </singleXmlCell>
  <singleXmlCell id="812" r="F123" connectionId="0">
    <xmlCellPr id="1" uniqueName="1">
      <xmlPr mapId="43" xpath="/ns1:Root/ns1:P2_Tied" xmlDataType="string"/>
    </xmlCellPr>
  </singleXmlCell>
  <singleXmlCell id="813" r="B125" connectionId="0">
    <xmlCellPr id="1" uniqueName="1">
      <xmlPr mapId="43" xpath="/ns1:Root/ns1:P3" xmlDataType="string"/>
    </xmlCellPr>
  </singleXmlCell>
  <singleXmlCell id="814" r="E125" connectionId="0">
    <xmlCellPr id="1" uniqueName="1">
      <xmlPr mapId="43" xpath="/ns1:Root/ns1:P3_Code" xmlDataType="double"/>
    </xmlCellPr>
  </singleXmlCell>
  <singleXmlCell id="815" r="F125" connectionId="0">
    <xmlCellPr id="1" uniqueName="1">
      <xmlPr mapId="43" xpath="/ns1:Root/ns1:P3_Tied" xmlDataType="string"/>
    </xmlCellPr>
  </singleXmlCell>
  <singleXmlCell id="816" r="B127" connectionId="0">
    <xmlCellPr id="1" uniqueName="1">
      <xmlPr mapId="43" xpath="/ns1:Root/ns1:P4" xmlDataType="string"/>
    </xmlCellPr>
  </singleXmlCell>
  <singleXmlCell id="817" r="E127" connectionId="0">
    <xmlCellPr id="1" uniqueName="1">
      <xmlPr mapId="43" xpath="/ns1:Root/ns1:P4_Code" xmlDataType="double"/>
    </xmlCellPr>
  </singleXmlCell>
  <singleXmlCell id="818" r="F127" connectionId="0">
    <xmlCellPr id="1" uniqueName="1">
      <xmlPr mapId="43" xpath="/ns1:Root/ns1:P4_Tied" xmlDataType="string"/>
    </xmlCellPr>
  </singleXmlCell>
  <singleXmlCell id="819" r="B129" connectionId="0">
    <xmlCellPr id="1" uniqueName="1">
      <xmlPr mapId="43" xpath="/ns1:Root/ns1:P5" xmlDataType="string"/>
    </xmlCellPr>
  </singleXmlCell>
  <singleXmlCell id="820" r="E129" connectionId="0">
    <xmlCellPr id="1" uniqueName="1">
      <xmlPr mapId="43" xpath="/ns1:Root/ns1:P5_Code" xmlDataType="double"/>
    </xmlCellPr>
  </singleXmlCell>
  <singleXmlCell id="821" r="F129" connectionId="0">
    <xmlCellPr id="1" uniqueName="1">
      <xmlPr mapId="43" xpath="/ns1:Root/ns1:P5_Tied" xmlDataType="string"/>
    </xmlCellPr>
  </singleXmlCell>
  <singleXmlCell id="822" r="B131" connectionId="0">
    <xmlCellPr id="1" uniqueName="1">
      <xmlPr mapId="43" xpath="/ns1:Root/ns1:P6" xmlDataType="string"/>
    </xmlCellPr>
  </singleXmlCell>
  <singleXmlCell id="823" r="E131" connectionId="0">
    <xmlCellPr id="1" uniqueName="1">
      <xmlPr mapId="43" xpath="/ns1:Root/ns1:P6_Code" xmlDataType="double"/>
    </xmlCellPr>
  </singleXmlCell>
  <singleXmlCell id="824" r="F131" connectionId="0">
    <xmlCellPr id="1" uniqueName="1">
      <xmlPr mapId="43" xpath="/ns1:Root/ns1:P6_Tied" xmlDataType="string"/>
    </xmlCellPr>
  </singleXmlCell>
  <singleXmlCell id="825" r="B133" connectionId="0">
    <xmlCellPr id="1" uniqueName="1">
      <xmlPr mapId="43" xpath="/ns1:Root/ns1:P7" xmlDataType="string"/>
    </xmlCellPr>
  </singleXmlCell>
  <singleXmlCell id="826" r="E133" connectionId="0">
    <xmlCellPr id="1" uniqueName="1">
      <xmlPr mapId="43" xpath="/ns1:Root/ns1:P7_Code" xmlDataType="double"/>
    </xmlCellPr>
  </singleXmlCell>
  <singleXmlCell id="827" r="F133" connectionId="0">
    <xmlCellPr id="1" uniqueName="1">
      <xmlPr mapId="43" xpath="/ns1:Root/ns1:P7_Tied" xmlDataType="string"/>
    </xmlCellPr>
  </singleXmlCell>
  <singleXmlCell id="828" r="B135" connectionId="0">
    <xmlCellPr id="1" uniqueName="1">
      <xmlPr mapId="43" xpath="/ns1:Root/ns1:P8" xmlDataType="string"/>
    </xmlCellPr>
  </singleXmlCell>
  <singleXmlCell id="829" r="E135" connectionId="0">
    <xmlCellPr id="1" uniqueName="1">
      <xmlPr mapId="43" xpath="/ns1:Root/ns1:P8_Code" xmlDataType="double"/>
    </xmlCellPr>
  </singleXmlCell>
  <singleXmlCell id="830" r="F135" connectionId="0">
    <xmlCellPr id="1" uniqueName="1">
      <xmlPr mapId="43" xpath="/ns1:Root/ns1:P8_Tied" xmlDataType="string"/>
    </xmlCellPr>
  </singleXmlCell>
  <singleXmlCell id="831" r="B137" connectionId="0">
    <xmlCellPr id="1" uniqueName="1">
      <xmlPr mapId="43" xpath="/ns1:Root/ns1:P9" xmlDataType="string"/>
    </xmlCellPr>
  </singleXmlCell>
  <singleXmlCell id="832" r="E137" connectionId="0">
    <xmlCellPr id="1" uniqueName="1">
      <xmlPr mapId="43" xpath="/ns1:Root/ns1:P9_Code" xmlDataType="double"/>
    </xmlCellPr>
  </singleXmlCell>
  <singleXmlCell id="833" r="F137" connectionId="0">
    <xmlCellPr id="1" uniqueName="1">
      <xmlPr mapId="43" xpath="/ns1:Root/ns1:P9_Tied" xmlDataType="double"/>
    </xmlCellPr>
  </singleXmlCell>
  <singleXmlCell id="834" r="B139" connectionId="0">
    <xmlCellPr id="1" uniqueName="1">
      <xmlPr mapId="43" xpath="/ns1:Root/ns1:P10" xmlDataType="string"/>
    </xmlCellPr>
  </singleXmlCell>
  <singleXmlCell id="835" r="E139" connectionId="0">
    <xmlCellPr id="1" uniqueName="1">
      <xmlPr mapId="43" xpath="/ns1:Root/ns1:P10_Code" xmlDataType="double"/>
    </xmlCellPr>
  </singleXmlCell>
  <singleXmlCell id="836" r="F139" connectionId="0">
    <xmlCellPr id="1" uniqueName="1">
      <xmlPr mapId="43" xpath="/ns1:Root/ns1:P10_Tied" xmlDataType="string"/>
    </xmlCellPr>
  </singleXmlCell>
  <singleXmlCell id="837" r="D26" connectionId="0">
    <xmlCellPr id="1" uniqueName="1">
      <xmlPr mapId="43" xpath="/ns1:Root/ns1:Currency"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SingleCells" Target="../tables/tableSingleCell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51"/>
  </sheetPr>
  <dimension ref="B1:O22"/>
  <sheetViews>
    <sheetView showGridLines="0" showRowColHeaders="0" zoomScale="120" workbookViewId="0"/>
  </sheetViews>
  <sheetFormatPr defaultColWidth="11" defaultRowHeight="14.5"/>
  <cols>
    <col min="1" max="1" width="1.1796875" customWidth="1"/>
    <col min="2" max="10" width="11.453125" customWidth="1"/>
    <col min="11" max="11" width="1.6328125" customWidth="1"/>
  </cols>
  <sheetData>
    <row r="1" spans="2:15" ht="25.5" customHeight="1"/>
    <row r="2" spans="2:15" ht="36">
      <c r="B2" s="539" t="str">
        <f>+'Grant Detail'!B3:J3</f>
        <v>Dashboard:  Georgia - HIV / AIDS</v>
      </c>
      <c r="C2" s="539"/>
      <c r="D2" s="539"/>
      <c r="E2" s="539"/>
      <c r="F2" s="539"/>
      <c r="G2" s="539"/>
      <c r="H2" s="539"/>
      <c r="I2" s="539"/>
      <c r="J2" s="539"/>
      <c r="K2" s="539"/>
      <c r="L2" s="539"/>
      <c r="M2" s="1"/>
      <c r="N2" s="1"/>
      <c r="O2" s="1"/>
    </row>
    <row r="4" spans="2:15" ht="21">
      <c r="B4" s="540" t="str">
        <f>+IF('Data Entry'!G6="Please Select", "",'Data Entry'!G6) &amp;"  "&amp;+IF('Data Entry'!G8="Please Select", "", 'Data Entry'!G8&amp;",  ")&amp;+IF('Data Entry'!I8="Please Select","",'Data Entry'!I8)</f>
        <v>HIV / AIDS  NFM,  N/A</v>
      </c>
      <c r="C4" s="540"/>
      <c r="D4" s="540"/>
      <c r="E4" s="541"/>
      <c r="F4" s="229"/>
      <c r="G4" s="229"/>
      <c r="H4" s="347" t="str">
        <f>+'Data Entry'!B6&amp;" "&amp;+'Data Entry'!C6</f>
        <v>Grant No.: GEO-H-NCDC</v>
      </c>
      <c r="I4" s="347"/>
      <c r="J4" s="228"/>
      <c r="K4" s="229"/>
      <c r="L4" s="229"/>
    </row>
    <row r="22" spans="2:12" ht="26">
      <c r="B22" s="542" t="s">
        <v>405</v>
      </c>
      <c r="C22" s="543"/>
      <c r="D22" s="543"/>
      <c r="E22" s="543"/>
      <c r="F22" s="543"/>
      <c r="G22" s="543"/>
      <c r="H22" s="543"/>
      <c r="I22" s="543"/>
      <c r="J22" s="543"/>
      <c r="K22" s="543"/>
      <c r="L22" s="543"/>
    </row>
  </sheetData>
  <sheetProtection password="CFC9" sheet="1"/>
  <mergeCells count="3">
    <mergeCell ref="B2:L2"/>
    <mergeCell ref="B4:E4"/>
    <mergeCell ref="B22:L22"/>
  </mergeCells>
  <phoneticPr fontId="30" type="noConversion"/>
  <pageMargins left="0.70866141732283472" right="0.70866141732283472" top="0.74803149606299213" bottom="0.74803149606299213" header="0.31496062992125984" footer="0.31496062992125984"/>
  <pageSetup paperSize="9" orientation="landscape"/>
  <headerFooter>
    <oddFooter>&amp;L&amp;F&amp;C&amp;A&amp;R&amp;D</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O144"/>
  <sheetViews>
    <sheetView showGridLines="0" topLeftCell="C1" zoomScale="80" zoomScaleNormal="80" zoomScalePageLayoutView="80" workbookViewId="0">
      <selection activeCell="G24" sqref="G24"/>
    </sheetView>
  </sheetViews>
  <sheetFormatPr defaultColWidth="11" defaultRowHeight="14.5"/>
  <cols>
    <col min="1" max="1" width="11.453125" customWidth="1"/>
    <col min="2" max="2" width="16.1796875" customWidth="1"/>
    <col min="3" max="3" width="14.6328125" customWidth="1"/>
    <col min="4" max="4" width="15.453125" customWidth="1"/>
    <col min="5" max="6" width="11.453125" customWidth="1"/>
    <col min="7" max="7" width="14.453125" customWidth="1"/>
    <col min="8" max="8" width="35.453125" customWidth="1"/>
    <col min="9" max="9" width="45.6328125" customWidth="1"/>
    <col min="10" max="10" width="33.453125" customWidth="1"/>
    <col min="11" max="12" width="11.453125" customWidth="1"/>
    <col min="13" max="13" width="28.453125" customWidth="1"/>
    <col min="14" max="14" width="46.453125" customWidth="1"/>
  </cols>
  <sheetData>
    <row r="2" spans="2:15" ht="25.5" customHeight="1"/>
    <row r="3" spans="2:15" ht="36">
      <c r="B3" s="973" t="str">
        <f>'Grant Detail'!B3:J3</f>
        <v>Dashboard:  Georgia - HIV / AIDS</v>
      </c>
      <c r="C3" s="973"/>
      <c r="D3" s="973"/>
      <c r="E3" s="973"/>
      <c r="F3" s="973"/>
      <c r="G3" s="973"/>
      <c r="H3" s="973"/>
      <c r="I3" s="1"/>
    </row>
    <row r="6" spans="2:15" ht="18.5">
      <c r="B6" s="926" t="s">
        <v>319</v>
      </c>
      <c r="C6" s="926"/>
      <c r="D6" s="926"/>
      <c r="E6" s="926"/>
      <c r="F6" s="926"/>
      <c r="G6" s="926"/>
      <c r="H6" s="926"/>
    </row>
    <row r="8" spans="2:15" ht="18.5">
      <c r="B8" s="62" t="s">
        <v>32</v>
      </c>
      <c r="C8" s="62" t="s">
        <v>35</v>
      </c>
      <c r="D8" s="62" t="s">
        <v>36</v>
      </c>
      <c r="E8" s="62" t="s">
        <v>41</v>
      </c>
      <c r="F8" s="62" t="s">
        <v>286</v>
      </c>
      <c r="G8" s="62" t="s">
        <v>265</v>
      </c>
      <c r="H8" s="62" t="s">
        <v>293</v>
      </c>
      <c r="I8" s="63" t="s">
        <v>87</v>
      </c>
      <c r="J8" s="63" t="s">
        <v>129</v>
      </c>
      <c r="M8" s="19"/>
      <c r="N8" s="19"/>
      <c r="O8" s="19"/>
    </row>
    <row r="9" spans="2:15">
      <c r="B9" s="86" t="s">
        <v>372</v>
      </c>
      <c r="C9" s="86" t="s">
        <v>372</v>
      </c>
      <c r="D9" s="86" t="s">
        <v>372</v>
      </c>
      <c r="E9" s="86" t="s">
        <v>372</v>
      </c>
      <c r="F9" s="86" t="s">
        <v>372</v>
      </c>
      <c r="G9" s="86" t="s">
        <v>372</v>
      </c>
      <c r="H9" s="86" t="s">
        <v>372</v>
      </c>
      <c r="I9" s="403" t="s">
        <v>372</v>
      </c>
      <c r="J9" s="86" t="s">
        <v>372</v>
      </c>
      <c r="M9" s="19"/>
      <c r="N9" s="19"/>
      <c r="O9" s="19"/>
    </row>
    <row r="10" spans="2:15">
      <c r="B10" s="57" t="s">
        <v>27</v>
      </c>
      <c r="C10" s="57" t="s">
        <v>18</v>
      </c>
      <c r="D10" s="57" t="s">
        <v>16</v>
      </c>
      <c r="E10" s="57" t="s">
        <v>17</v>
      </c>
      <c r="F10" s="57" t="s">
        <v>105</v>
      </c>
      <c r="G10" s="408" t="s">
        <v>43</v>
      </c>
      <c r="H10" s="60" t="s">
        <v>48</v>
      </c>
      <c r="I10" s="27" t="s">
        <v>299</v>
      </c>
      <c r="J10" s="86" t="s">
        <v>130</v>
      </c>
      <c r="M10" s="19"/>
      <c r="N10" s="19"/>
      <c r="O10" s="19"/>
    </row>
    <row r="11" spans="2:15">
      <c r="B11" s="57" t="s">
        <v>33</v>
      </c>
      <c r="C11" s="57" t="s">
        <v>13</v>
      </c>
      <c r="D11" s="57" t="s">
        <v>19</v>
      </c>
      <c r="E11" s="57" t="s">
        <v>15</v>
      </c>
      <c r="F11" s="57" t="s">
        <v>106</v>
      </c>
      <c r="G11" s="408" t="s">
        <v>44</v>
      </c>
      <c r="H11" s="60" t="s">
        <v>49</v>
      </c>
      <c r="I11" s="27" t="s">
        <v>300</v>
      </c>
      <c r="J11" s="86" t="s">
        <v>131</v>
      </c>
      <c r="M11" s="19"/>
      <c r="N11" s="19"/>
      <c r="O11" s="19"/>
    </row>
    <row r="12" spans="2:15">
      <c r="B12" s="57" t="s">
        <v>34</v>
      </c>
      <c r="D12" s="57" t="s">
        <v>22</v>
      </c>
      <c r="E12" s="57" t="s">
        <v>23</v>
      </c>
      <c r="F12" s="57" t="s">
        <v>107</v>
      </c>
      <c r="G12" s="408" t="s">
        <v>45</v>
      </c>
      <c r="H12" s="60" t="s">
        <v>50</v>
      </c>
      <c r="I12" s="27" t="s">
        <v>301</v>
      </c>
      <c r="J12" s="86" t="s">
        <v>132</v>
      </c>
      <c r="M12" s="195"/>
      <c r="N12" s="19"/>
      <c r="O12" s="19"/>
    </row>
    <row r="13" spans="2:15">
      <c r="B13" s="57" t="s">
        <v>83</v>
      </c>
      <c r="D13" s="57" t="s">
        <v>24</v>
      </c>
      <c r="E13" s="58"/>
      <c r="F13" s="57" t="s">
        <v>108</v>
      </c>
      <c r="G13" s="408" t="s">
        <v>46</v>
      </c>
      <c r="H13" s="60" t="s">
        <v>51</v>
      </c>
      <c r="I13" s="27" t="s">
        <v>302</v>
      </c>
      <c r="J13" s="86" t="s">
        <v>133</v>
      </c>
      <c r="M13" s="195"/>
      <c r="N13" s="19"/>
      <c r="O13" s="19"/>
    </row>
    <row r="14" spans="2:15">
      <c r="B14" s="57" t="s">
        <v>84</v>
      </c>
      <c r="D14" s="57" t="s">
        <v>37</v>
      </c>
      <c r="F14" s="57" t="s">
        <v>120</v>
      </c>
      <c r="G14" s="408" t="s">
        <v>47</v>
      </c>
      <c r="H14" s="60" t="s">
        <v>52</v>
      </c>
      <c r="I14" s="27" t="s">
        <v>271</v>
      </c>
      <c r="J14" s="86" t="s">
        <v>134</v>
      </c>
      <c r="M14" s="195"/>
      <c r="N14" s="19"/>
      <c r="O14" s="19"/>
    </row>
    <row r="15" spans="2:15">
      <c r="D15" s="57" t="s">
        <v>38</v>
      </c>
      <c r="F15" s="57" t="s">
        <v>121</v>
      </c>
      <c r="H15" s="60" t="s">
        <v>53</v>
      </c>
      <c r="I15" s="27" t="s">
        <v>70</v>
      </c>
      <c r="J15" s="86" t="s">
        <v>135</v>
      </c>
      <c r="M15" s="195"/>
      <c r="N15" s="19"/>
      <c r="O15" s="19"/>
    </row>
    <row r="16" spans="2:15">
      <c r="D16" s="57" t="s">
        <v>39</v>
      </c>
      <c r="F16" s="57" t="s">
        <v>122</v>
      </c>
      <c r="H16" s="60" t="s">
        <v>54</v>
      </c>
      <c r="I16" s="27" t="s">
        <v>71</v>
      </c>
      <c r="J16" s="86" t="s">
        <v>136</v>
      </c>
      <c r="M16" s="195"/>
      <c r="N16" s="19"/>
      <c r="O16" s="19"/>
    </row>
    <row r="17" spans="4:15">
      <c r="D17" s="57" t="s">
        <v>40</v>
      </c>
      <c r="F17" s="57" t="s">
        <v>123</v>
      </c>
      <c r="H17" s="60" t="s">
        <v>55</v>
      </c>
      <c r="I17" s="27" t="s">
        <v>72</v>
      </c>
      <c r="J17" s="86" t="s">
        <v>137</v>
      </c>
      <c r="M17" s="195"/>
      <c r="N17" s="19"/>
      <c r="O17" s="19"/>
    </row>
    <row r="18" spans="4:15">
      <c r="D18" s="57" t="s">
        <v>14</v>
      </c>
      <c r="F18" s="57" t="s">
        <v>124</v>
      </c>
      <c r="H18" s="60" t="s">
        <v>56</v>
      </c>
      <c r="I18" s="27" t="s">
        <v>73</v>
      </c>
      <c r="J18" s="86" t="s">
        <v>138</v>
      </c>
      <c r="M18" s="195"/>
      <c r="N18" s="19"/>
      <c r="O18" s="19"/>
    </row>
    <row r="19" spans="4:15">
      <c r="D19" s="407" t="s">
        <v>368</v>
      </c>
      <c r="F19" s="57" t="s">
        <v>125</v>
      </c>
      <c r="H19" s="60" t="s">
        <v>57</v>
      </c>
      <c r="I19" s="27" t="s">
        <v>74</v>
      </c>
      <c r="J19" s="86" t="s">
        <v>139</v>
      </c>
      <c r="M19" s="195"/>
      <c r="N19" s="19"/>
      <c r="O19" s="19"/>
    </row>
    <row r="20" spans="4:15">
      <c r="D20" s="59"/>
      <c r="F20" s="57" t="s">
        <v>126</v>
      </c>
      <c r="H20" s="60" t="s">
        <v>262</v>
      </c>
      <c r="I20" s="27" t="s">
        <v>75</v>
      </c>
      <c r="J20" s="86" t="s">
        <v>140</v>
      </c>
      <c r="M20" s="19"/>
      <c r="N20" s="19"/>
      <c r="O20" s="19"/>
    </row>
    <row r="21" spans="4:15">
      <c r="D21" s="61"/>
      <c r="F21" s="57" t="s">
        <v>287</v>
      </c>
      <c r="H21" s="61"/>
      <c r="I21" s="27" t="s">
        <v>77</v>
      </c>
      <c r="J21" s="86" t="s">
        <v>141</v>
      </c>
      <c r="M21" s="19"/>
      <c r="N21" s="19"/>
      <c r="O21" s="19"/>
    </row>
    <row r="22" spans="4:15">
      <c r="H22" s="61"/>
      <c r="I22" s="27" t="s">
        <v>78</v>
      </c>
      <c r="J22" s="86" t="s">
        <v>142</v>
      </c>
      <c r="M22" s="19"/>
      <c r="N22" s="19"/>
      <c r="O22" s="19"/>
    </row>
    <row r="23" spans="4:15">
      <c r="I23" s="27" t="s">
        <v>76</v>
      </c>
      <c r="J23" s="86" t="s">
        <v>143</v>
      </c>
      <c r="M23" s="19"/>
      <c r="N23" s="19"/>
      <c r="O23" s="19"/>
    </row>
    <row r="24" spans="4:15">
      <c r="I24" s="27" t="s">
        <v>310</v>
      </c>
      <c r="J24" s="86" t="s">
        <v>144</v>
      </c>
      <c r="M24" s="19"/>
      <c r="N24" s="19"/>
      <c r="O24" s="19"/>
    </row>
    <row r="25" spans="4:15">
      <c r="I25" s="45"/>
      <c r="J25" s="86" t="s">
        <v>145</v>
      </c>
    </row>
    <row r="26" spans="4:15">
      <c r="I26" s="27" t="s">
        <v>314</v>
      </c>
      <c r="J26" s="86" t="s">
        <v>146</v>
      </c>
    </row>
    <row r="27" spans="4:15">
      <c r="I27" s="27" t="s">
        <v>309</v>
      </c>
      <c r="J27" s="86" t="s">
        <v>147</v>
      </c>
    </row>
    <row r="28" spans="4:15">
      <c r="I28" s="45"/>
      <c r="J28" s="86" t="s">
        <v>148</v>
      </c>
    </row>
    <row r="29" spans="4:15">
      <c r="I29" s="45"/>
      <c r="J29" s="86" t="s">
        <v>149</v>
      </c>
    </row>
    <row r="30" spans="4:15">
      <c r="I30" s="45"/>
      <c r="J30" s="86" t="s">
        <v>150</v>
      </c>
    </row>
    <row r="31" spans="4:15">
      <c r="J31" s="86" t="s">
        <v>151</v>
      </c>
    </row>
    <row r="32" spans="4:15">
      <c r="J32" s="86" t="s">
        <v>152</v>
      </c>
    </row>
    <row r="33" spans="10:10">
      <c r="J33" s="86" t="s">
        <v>153</v>
      </c>
    </row>
    <row r="34" spans="10:10">
      <c r="J34" s="86" t="s">
        <v>154</v>
      </c>
    </row>
    <row r="35" spans="10:10">
      <c r="J35" s="86" t="s">
        <v>155</v>
      </c>
    </row>
    <row r="36" spans="10:10">
      <c r="J36" s="86" t="s">
        <v>155</v>
      </c>
    </row>
    <row r="37" spans="10:10">
      <c r="J37" s="86" t="s">
        <v>156</v>
      </c>
    </row>
    <row r="38" spans="10:10">
      <c r="J38" s="86" t="s">
        <v>157</v>
      </c>
    </row>
    <row r="39" spans="10:10">
      <c r="J39" s="86" t="s">
        <v>158</v>
      </c>
    </row>
    <row r="40" spans="10:10">
      <c r="J40" s="86" t="s">
        <v>159</v>
      </c>
    </row>
    <row r="41" spans="10:10">
      <c r="J41" s="86" t="s">
        <v>160</v>
      </c>
    </row>
    <row r="42" spans="10:10">
      <c r="J42" s="86" t="s">
        <v>161</v>
      </c>
    </row>
    <row r="43" spans="10:10">
      <c r="J43" s="86" t="s">
        <v>162</v>
      </c>
    </row>
    <row r="44" spans="10:10">
      <c r="J44" s="86" t="s">
        <v>163</v>
      </c>
    </row>
    <row r="45" spans="10:10">
      <c r="J45" s="86" t="s">
        <v>164</v>
      </c>
    </row>
    <row r="46" spans="10:10">
      <c r="J46" s="86" t="s">
        <v>165</v>
      </c>
    </row>
    <row r="47" spans="10:10">
      <c r="J47" s="86" t="s">
        <v>166</v>
      </c>
    </row>
    <row r="48" spans="10:10">
      <c r="J48" s="86" t="s">
        <v>167</v>
      </c>
    </row>
    <row r="49" spans="10:10">
      <c r="J49" s="86" t="s">
        <v>168</v>
      </c>
    </row>
    <row r="50" spans="10:10">
      <c r="J50" s="86" t="s">
        <v>169</v>
      </c>
    </row>
    <row r="51" spans="10:10">
      <c r="J51" s="86" t="s">
        <v>170</v>
      </c>
    </row>
    <row r="52" spans="10:10">
      <c r="J52" s="86" t="s">
        <v>171</v>
      </c>
    </row>
    <row r="53" spans="10:10">
      <c r="J53" s="86" t="s">
        <v>172</v>
      </c>
    </row>
    <row r="54" spans="10:10">
      <c r="J54" s="86" t="s">
        <v>173</v>
      </c>
    </row>
    <row r="55" spans="10:10">
      <c r="J55" s="86" t="s">
        <v>174</v>
      </c>
    </row>
    <row r="56" spans="10:10">
      <c r="J56" s="86" t="s">
        <v>175</v>
      </c>
    </row>
    <row r="57" spans="10:10">
      <c r="J57" s="86" t="s">
        <v>176</v>
      </c>
    </row>
    <row r="58" spans="10:10">
      <c r="J58" s="86" t="s">
        <v>177</v>
      </c>
    </row>
    <row r="59" spans="10:10">
      <c r="J59" s="86" t="s">
        <v>178</v>
      </c>
    </row>
    <row r="60" spans="10:10">
      <c r="J60" s="86" t="s">
        <v>179</v>
      </c>
    </row>
    <row r="61" spans="10:10">
      <c r="J61" s="86" t="s">
        <v>180</v>
      </c>
    </row>
    <row r="62" spans="10:10">
      <c r="J62" s="86" t="s">
        <v>181</v>
      </c>
    </row>
    <row r="63" spans="10:10">
      <c r="J63" s="86" t="s">
        <v>182</v>
      </c>
    </row>
    <row r="64" spans="10:10">
      <c r="J64" s="86" t="s">
        <v>183</v>
      </c>
    </row>
    <row r="65" spans="10:10">
      <c r="J65" s="86" t="s">
        <v>184</v>
      </c>
    </row>
    <row r="66" spans="10:10">
      <c r="J66" s="86" t="s">
        <v>185</v>
      </c>
    </row>
    <row r="67" spans="10:10">
      <c r="J67" s="86" t="s">
        <v>186</v>
      </c>
    </row>
    <row r="68" spans="10:10">
      <c r="J68" s="86" t="s">
        <v>187</v>
      </c>
    </row>
    <row r="69" spans="10:10">
      <c r="J69" s="86" t="s">
        <v>188</v>
      </c>
    </row>
    <row r="70" spans="10:10">
      <c r="J70" s="86" t="s">
        <v>189</v>
      </c>
    </row>
    <row r="71" spans="10:10">
      <c r="J71" s="86" t="s">
        <v>190</v>
      </c>
    </row>
    <row r="72" spans="10:10">
      <c r="J72" s="86" t="s">
        <v>191</v>
      </c>
    </row>
    <row r="73" spans="10:10">
      <c r="J73" s="86" t="s">
        <v>192</v>
      </c>
    </row>
    <row r="74" spans="10:10">
      <c r="J74" s="86" t="s">
        <v>193</v>
      </c>
    </row>
    <row r="75" spans="10:10">
      <c r="J75" s="86" t="s">
        <v>194</v>
      </c>
    </row>
    <row r="76" spans="10:10">
      <c r="J76" s="86" t="s">
        <v>195</v>
      </c>
    </row>
    <row r="77" spans="10:10">
      <c r="J77" s="86" t="s">
        <v>196</v>
      </c>
    </row>
    <row r="78" spans="10:10">
      <c r="J78" s="86" t="s">
        <v>197</v>
      </c>
    </row>
    <row r="79" spans="10:10">
      <c r="J79" s="86" t="s">
        <v>198</v>
      </c>
    </row>
    <row r="80" spans="10:10">
      <c r="J80" s="86" t="s">
        <v>199</v>
      </c>
    </row>
    <row r="81" spans="10:10">
      <c r="J81" s="86" t="s">
        <v>200</v>
      </c>
    </row>
    <row r="82" spans="10:10">
      <c r="J82" s="86" t="s">
        <v>201</v>
      </c>
    </row>
    <row r="83" spans="10:10">
      <c r="J83" s="86" t="s">
        <v>202</v>
      </c>
    </row>
    <row r="84" spans="10:10">
      <c r="J84" s="86" t="s">
        <v>203</v>
      </c>
    </row>
    <row r="85" spans="10:10">
      <c r="J85" s="86" t="s">
        <v>204</v>
      </c>
    </row>
    <row r="86" spans="10:10">
      <c r="J86" s="86" t="s">
        <v>205</v>
      </c>
    </row>
    <row r="87" spans="10:10">
      <c r="J87" s="86" t="s">
        <v>206</v>
      </c>
    </row>
    <row r="88" spans="10:10">
      <c r="J88" s="86" t="s">
        <v>207</v>
      </c>
    </row>
    <row r="89" spans="10:10">
      <c r="J89" s="86" t="s">
        <v>208</v>
      </c>
    </row>
    <row r="90" spans="10:10">
      <c r="J90" s="86" t="s">
        <v>209</v>
      </c>
    </row>
    <row r="91" spans="10:10">
      <c r="J91" s="86" t="s">
        <v>210</v>
      </c>
    </row>
    <row r="92" spans="10:10">
      <c r="J92" s="86" t="s">
        <v>211</v>
      </c>
    </row>
    <row r="93" spans="10:10">
      <c r="J93" s="86" t="s">
        <v>212</v>
      </c>
    </row>
    <row r="94" spans="10:10">
      <c r="J94" s="86" t="s">
        <v>213</v>
      </c>
    </row>
    <row r="95" spans="10:10">
      <c r="J95" s="86" t="s">
        <v>214</v>
      </c>
    </row>
    <row r="96" spans="10:10">
      <c r="J96" s="86" t="s">
        <v>215</v>
      </c>
    </row>
    <row r="97" spans="10:10">
      <c r="J97" s="86" t="s">
        <v>216</v>
      </c>
    </row>
    <row r="98" spans="10:10">
      <c r="J98" s="86" t="s">
        <v>217</v>
      </c>
    </row>
    <row r="99" spans="10:10">
      <c r="J99" s="86" t="s">
        <v>218</v>
      </c>
    </row>
    <row r="100" spans="10:10">
      <c r="J100" s="86" t="s">
        <v>219</v>
      </c>
    </row>
    <row r="101" spans="10:10">
      <c r="J101" s="86" t="s">
        <v>220</v>
      </c>
    </row>
    <row r="102" spans="10:10">
      <c r="J102" s="86" t="s">
        <v>221</v>
      </c>
    </row>
    <row r="103" spans="10:10">
      <c r="J103" s="86" t="s">
        <v>222</v>
      </c>
    </row>
    <row r="104" spans="10:10">
      <c r="J104" s="86" t="s">
        <v>223</v>
      </c>
    </row>
    <row r="105" spans="10:10">
      <c r="J105" s="86" t="s">
        <v>224</v>
      </c>
    </row>
    <row r="106" spans="10:10">
      <c r="J106" s="86" t="s">
        <v>225</v>
      </c>
    </row>
    <row r="107" spans="10:10">
      <c r="J107" s="86" t="s">
        <v>226</v>
      </c>
    </row>
    <row r="108" spans="10:10">
      <c r="J108" s="86" t="s">
        <v>227</v>
      </c>
    </row>
    <row r="109" spans="10:10">
      <c r="J109" s="86" t="s">
        <v>228</v>
      </c>
    </row>
    <row r="110" spans="10:10">
      <c r="J110" s="86" t="s">
        <v>229</v>
      </c>
    </row>
    <row r="111" spans="10:10">
      <c r="J111" s="86" t="s">
        <v>80</v>
      </c>
    </row>
    <row r="112" spans="10:10">
      <c r="J112" s="86" t="s">
        <v>230</v>
      </c>
    </row>
    <row r="113" spans="10:10">
      <c r="J113" s="86" t="s">
        <v>231</v>
      </c>
    </row>
    <row r="114" spans="10:10">
      <c r="J114" s="86" t="s">
        <v>232</v>
      </c>
    </row>
    <row r="115" spans="10:10">
      <c r="J115" s="86" t="s">
        <v>233</v>
      </c>
    </row>
    <row r="116" spans="10:10">
      <c r="J116" s="86" t="s">
        <v>234</v>
      </c>
    </row>
    <row r="117" spans="10:10">
      <c r="J117" s="86" t="s">
        <v>235</v>
      </c>
    </row>
    <row r="118" spans="10:10">
      <c r="J118" s="86" t="s">
        <v>236</v>
      </c>
    </row>
    <row r="119" spans="10:10">
      <c r="J119" s="86" t="s">
        <v>237</v>
      </c>
    </row>
    <row r="120" spans="10:10">
      <c r="J120" s="86" t="s">
        <v>238</v>
      </c>
    </row>
    <row r="121" spans="10:10">
      <c r="J121" s="86" t="s">
        <v>239</v>
      </c>
    </row>
    <row r="122" spans="10:10">
      <c r="J122" s="86" t="s">
        <v>240</v>
      </c>
    </row>
    <row r="123" spans="10:10">
      <c r="J123" s="86" t="s">
        <v>241</v>
      </c>
    </row>
    <row r="124" spans="10:10">
      <c r="J124" s="86" t="s">
        <v>242</v>
      </c>
    </row>
    <row r="125" spans="10:10">
      <c r="J125" s="86" t="s">
        <v>243</v>
      </c>
    </row>
    <row r="126" spans="10:10">
      <c r="J126" s="86" t="s">
        <v>244</v>
      </c>
    </row>
    <row r="127" spans="10:10">
      <c r="J127" s="86" t="s">
        <v>245</v>
      </c>
    </row>
    <row r="128" spans="10:10">
      <c r="J128" s="86" t="s">
        <v>246</v>
      </c>
    </row>
    <row r="129" spans="10:10">
      <c r="J129" s="86" t="s">
        <v>247</v>
      </c>
    </row>
    <row r="130" spans="10:10">
      <c r="J130" s="86" t="s">
        <v>248</v>
      </c>
    </row>
    <row r="131" spans="10:10">
      <c r="J131" s="86" t="s">
        <v>249</v>
      </c>
    </row>
    <row r="132" spans="10:10">
      <c r="J132" s="86" t="s">
        <v>250</v>
      </c>
    </row>
    <row r="133" spans="10:10">
      <c r="J133" s="86" t="s">
        <v>251</v>
      </c>
    </row>
    <row r="134" spans="10:10">
      <c r="J134" s="86" t="s">
        <v>252</v>
      </c>
    </row>
    <row r="135" spans="10:10">
      <c r="J135" s="86" t="s">
        <v>253</v>
      </c>
    </row>
    <row r="136" spans="10:10">
      <c r="J136" s="86" t="s">
        <v>254</v>
      </c>
    </row>
    <row r="137" spans="10:10">
      <c r="J137" s="86" t="s">
        <v>255</v>
      </c>
    </row>
    <row r="138" spans="10:10">
      <c r="J138" s="86" t="s">
        <v>256</v>
      </c>
    </row>
    <row r="139" spans="10:10">
      <c r="J139" s="86" t="s">
        <v>257</v>
      </c>
    </row>
    <row r="140" spans="10:10">
      <c r="J140" s="86" t="s">
        <v>258</v>
      </c>
    </row>
    <row r="141" spans="10:10">
      <c r="J141" s="86" t="s">
        <v>259</v>
      </c>
    </row>
    <row r="142" spans="10:10">
      <c r="J142" s="86" t="s">
        <v>260</v>
      </c>
    </row>
    <row r="143" spans="10:10">
      <c r="J143" s="86" t="s">
        <v>261</v>
      </c>
    </row>
    <row r="144" spans="10:10">
      <c r="J144" s="401"/>
    </row>
  </sheetData>
  <mergeCells count="2">
    <mergeCell ref="B3:H3"/>
    <mergeCell ref="B6:H6"/>
  </mergeCells>
  <phoneticPr fontId="30" type="noConversion"/>
  <dataValidations count="1">
    <dataValidation type="list" allowBlank="1" showInputMessage="1" showErrorMessage="1" sqref="M28">
      <formula1>$J$10:$J$143</formula1>
    </dataValidation>
  </dataValidations>
  <pageMargins left="0.7" right="0.7" top="0.75" bottom="0.75" header="0.3" footer="0.3"/>
  <pageSetup orientation="landscape" horizontalDpi="4294967293"/>
  <headerFooter>
    <oddFooter>&amp;L&amp;"Calibri,Italic"&amp;8&amp;F: &amp;A</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sheetPr>
  <dimension ref="A1:V78"/>
  <sheetViews>
    <sheetView showGridLines="0" zoomScale="70" zoomScaleNormal="70" zoomScalePageLayoutView="70" workbookViewId="0">
      <pane ySplit="2" topLeftCell="A36" activePane="bottomLeft" state="frozen"/>
      <selection activeCell="E22" sqref="E22"/>
      <selection pane="bottomLeft" activeCell="M42" sqref="M42"/>
    </sheetView>
  </sheetViews>
  <sheetFormatPr defaultColWidth="11" defaultRowHeight="14.5"/>
  <cols>
    <col min="1" max="1" width="2.6328125" customWidth="1"/>
    <col min="2" max="2" width="21.453125" customWidth="1"/>
    <col min="3" max="3" width="11.453125" customWidth="1"/>
    <col min="4" max="4" width="11.1796875" customWidth="1"/>
    <col min="5" max="5" width="16.453125" customWidth="1"/>
    <col min="6" max="6" width="15.6328125" customWidth="1"/>
    <col min="7" max="7" width="37.36328125" customWidth="1"/>
    <col min="8" max="8" width="17.36328125" customWidth="1"/>
    <col min="9" max="9" width="71" customWidth="1"/>
    <col min="10" max="10" width="14.1796875" customWidth="1"/>
    <col min="11" max="11" width="16" customWidth="1"/>
    <col min="12" max="12" width="13.1796875" customWidth="1"/>
    <col min="13" max="13" width="49.453125" customWidth="1"/>
    <col min="14" max="14" width="2.453125" style="36" customWidth="1"/>
    <col min="15" max="15" width="3" style="36" customWidth="1"/>
    <col min="16" max="16" width="2.453125" customWidth="1"/>
    <col min="17" max="17" width="16.1796875" customWidth="1"/>
    <col min="18" max="18" width="13.6328125" customWidth="1"/>
    <col min="19" max="19" width="11.453125" customWidth="1"/>
    <col min="20" max="20" width="14.81640625" customWidth="1"/>
    <col min="21" max="21" width="16" customWidth="1"/>
    <col min="22" max="22" width="11.453125" hidden="1" customWidth="1"/>
    <col min="23" max="23" width="15.453125" customWidth="1"/>
    <col min="24" max="24" width="11.453125" customWidth="1"/>
    <col min="25" max="25" width="2.36328125" customWidth="1"/>
    <col min="26" max="26" width="1.1796875" customWidth="1"/>
    <col min="27" max="27" width="3.36328125" customWidth="1"/>
    <col min="28" max="28" width="17" customWidth="1"/>
    <col min="29" max="29" width="15" customWidth="1"/>
    <col min="30" max="30" width="11.453125" customWidth="1"/>
    <col min="31" max="31" width="13.453125" customWidth="1"/>
    <col min="32" max="32" width="16.81640625" customWidth="1"/>
    <col min="33" max="33" width="11.453125" customWidth="1"/>
    <col min="34" max="34" width="2" customWidth="1"/>
    <col min="35" max="35" width="3.36328125" customWidth="1"/>
    <col min="36" max="36" width="2.36328125" customWidth="1"/>
    <col min="37" max="37" width="40.6328125" customWidth="1"/>
    <col min="38" max="38" width="15.453125" customWidth="1"/>
  </cols>
  <sheetData>
    <row r="1" spans="1:15" ht="34.5" customHeight="1">
      <c r="A1" s="3"/>
      <c r="B1" s="3"/>
      <c r="C1" s="3"/>
      <c r="D1" s="3"/>
      <c r="E1" s="3"/>
      <c r="F1" s="3"/>
      <c r="G1" s="3"/>
      <c r="H1" s="3"/>
      <c r="I1" s="3"/>
      <c r="J1" s="3"/>
      <c r="K1" s="3"/>
      <c r="L1" s="3"/>
      <c r="M1" s="3"/>
    </row>
    <row r="2" spans="1:15" ht="36" customHeight="1">
      <c r="A2" s="3"/>
      <c r="B2" s="558" t="str">
        <f>+"Dashboard: "&amp;" "&amp;+IF('Data Entry'!C4="Please Select","",'Data Entry'!C4&amp;" - ")&amp;+IF('Data Entry'!G6="Please Select","",'Data Entry'!G6)</f>
        <v>Dashboard:  Georgia - HIV / AIDS</v>
      </c>
      <c r="C2" s="558"/>
      <c r="D2" s="558"/>
      <c r="E2" s="558"/>
      <c r="F2" s="558"/>
      <c r="G2" s="558"/>
      <c r="H2" s="558"/>
      <c r="I2" s="558"/>
      <c r="J2" s="558"/>
      <c r="K2" s="558"/>
      <c r="L2" s="558"/>
      <c r="M2" s="558"/>
    </row>
    <row r="3" spans="1:15" ht="15.75" customHeight="1">
      <c r="A3" s="3"/>
      <c r="B3" s="220"/>
      <c r="C3" s="220"/>
      <c r="D3" s="220"/>
      <c r="E3" s="220"/>
      <c r="F3" s="220"/>
      <c r="G3" s="220"/>
      <c r="H3" s="220"/>
      <c r="I3" s="220"/>
      <c r="J3" s="220"/>
      <c r="K3" s="221"/>
      <c r="L3" s="221"/>
      <c r="M3" s="3"/>
    </row>
    <row r="5" spans="1:15" ht="23.5">
      <c r="B5" s="557" t="s">
        <v>283</v>
      </c>
      <c r="C5" s="557"/>
      <c r="D5" s="557"/>
      <c r="E5" s="557"/>
      <c r="F5" s="557"/>
      <c r="G5" s="557"/>
      <c r="H5" s="557"/>
      <c r="I5" s="557"/>
      <c r="J5" s="557"/>
      <c r="K5" s="557"/>
      <c r="L5" s="557"/>
      <c r="M5" s="557"/>
      <c r="N5" s="557"/>
      <c r="O5" s="557"/>
    </row>
    <row r="7" spans="1:15" ht="21">
      <c r="B7" s="559" t="s">
        <v>272</v>
      </c>
      <c r="C7" s="560"/>
      <c r="D7" s="561"/>
      <c r="E7" s="559" t="s">
        <v>273</v>
      </c>
      <c r="F7" s="560"/>
      <c r="G7" s="560"/>
      <c r="H7" s="560"/>
      <c r="I7" s="561"/>
      <c r="J7" s="559" t="s">
        <v>274</v>
      </c>
      <c r="K7" s="560"/>
      <c r="L7" s="561"/>
      <c r="M7" s="559" t="s">
        <v>347</v>
      </c>
      <c r="N7" s="560"/>
      <c r="O7" s="561"/>
    </row>
    <row r="8" spans="1:15" ht="92.25" customHeight="1">
      <c r="B8" s="570" t="str">
        <f>+'Data Entry'!B27</f>
        <v>F1: Budget and disbursements by Global Fund</v>
      </c>
      <c r="C8" s="571"/>
      <c r="D8" s="572"/>
      <c r="E8" s="562" t="s">
        <v>393</v>
      </c>
      <c r="F8" s="563"/>
      <c r="G8" s="563"/>
      <c r="H8" s="563"/>
      <c r="I8" s="564"/>
      <c r="J8" s="545" t="s">
        <v>348</v>
      </c>
      <c r="K8" s="546"/>
      <c r="L8" s="547"/>
      <c r="M8" s="545" t="s">
        <v>394</v>
      </c>
      <c r="N8" s="546"/>
      <c r="O8" s="547"/>
    </row>
    <row r="9" spans="1:15" ht="117.75" customHeight="1">
      <c r="B9" s="570" t="str">
        <f>+'Data Entry'!B36</f>
        <v>F2: Budget and actual expenditures by Grant Objective</v>
      </c>
      <c r="C9" s="571"/>
      <c r="D9" s="572"/>
      <c r="E9" s="553" t="s">
        <v>356</v>
      </c>
      <c r="F9" s="554"/>
      <c r="G9" s="554"/>
      <c r="H9" s="554"/>
      <c r="I9" s="555"/>
      <c r="J9" s="545" t="s">
        <v>350</v>
      </c>
      <c r="K9" s="546"/>
      <c r="L9" s="547"/>
      <c r="M9" s="545" t="s">
        <v>394</v>
      </c>
      <c r="N9" s="546"/>
      <c r="O9" s="547"/>
    </row>
    <row r="10" spans="1:15" ht="152.25" customHeight="1">
      <c r="B10" s="565" t="str">
        <f>+'Data Entry'!B52</f>
        <v>F3: Disbursements and expenditures</v>
      </c>
      <c r="C10" s="568"/>
      <c r="D10" s="569"/>
      <c r="E10" s="553" t="s">
        <v>395</v>
      </c>
      <c r="F10" s="554"/>
      <c r="G10" s="554"/>
      <c r="H10" s="554"/>
      <c r="I10" s="555"/>
      <c r="J10" s="545" t="s">
        <v>357</v>
      </c>
      <c r="K10" s="546"/>
      <c r="L10" s="547"/>
      <c r="M10" s="545" t="s">
        <v>349</v>
      </c>
      <c r="N10" s="546"/>
      <c r="O10" s="547"/>
    </row>
    <row r="11" spans="1:15" ht="279.75" customHeight="1">
      <c r="B11" s="565" t="str">
        <f>+'Data Entry'!B61</f>
        <v>F4: Latest PR reporting and disbursement cycle</v>
      </c>
      <c r="C11" s="566"/>
      <c r="D11" s="567"/>
      <c r="E11" s="553" t="s">
        <v>406</v>
      </c>
      <c r="F11" s="554"/>
      <c r="G11" s="554"/>
      <c r="H11" s="554"/>
      <c r="I11" s="555"/>
      <c r="J11" s="545" t="s">
        <v>358</v>
      </c>
      <c r="K11" s="546"/>
      <c r="L11" s="547"/>
      <c r="M11" s="545" t="s">
        <v>277</v>
      </c>
      <c r="N11" s="546"/>
      <c r="O11" s="547"/>
    </row>
    <row r="12" spans="1:15" s="19" customFormat="1">
      <c r="B12" s="544"/>
      <c r="C12" s="544"/>
      <c r="D12" s="544"/>
      <c r="E12" s="548"/>
      <c r="F12" s="548"/>
      <c r="G12" s="548"/>
      <c r="H12" s="548"/>
      <c r="I12" s="548"/>
      <c r="J12" s="548"/>
      <c r="K12" s="548"/>
      <c r="L12" s="548"/>
      <c r="M12" s="548"/>
      <c r="N12" s="548"/>
      <c r="O12" s="548"/>
    </row>
    <row r="13" spans="1:15" s="19" customFormat="1">
      <c r="B13" s="556"/>
      <c r="C13" s="556"/>
      <c r="D13" s="556"/>
      <c r="E13" s="549"/>
      <c r="F13" s="549"/>
      <c r="G13" s="549"/>
      <c r="H13" s="549"/>
      <c r="I13" s="549"/>
      <c r="J13" s="549"/>
      <c r="K13" s="549"/>
      <c r="L13" s="549"/>
      <c r="M13" s="549"/>
      <c r="N13" s="549"/>
      <c r="O13" s="549"/>
    </row>
    <row r="14" spans="1:15" s="19" customFormat="1">
      <c r="B14" s="556"/>
      <c r="C14" s="556"/>
      <c r="D14" s="556"/>
      <c r="E14" s="549"/>
      <c r="F14" s="549"/>
      <c r="G14" s="549"/>
      <c r="H14" s="549"/>
      <c r="I14" s="549"/>
      <c r="J14" s="549"/>
      <c r="K14" s="549"/>
      <c r="L14" s="549"/>
      <c r="M14" s="549"/>
      <c r="N14" s="549"/>
      <c r="O14" s="549"/>
    </row>
    <row r="15" spans="1:15" s="19" customFormat="1">
      <c r="B15" s="556"/>
      <c r="C15" s="556"/>
      <c r="D15" s="556"/>
      <c r="E15" s="549"/>
      <c r="F15" s="549"/>
      <c r="G15" s="549"/>
      <c r="H15" s="549"/>
      <c r="I15" s="549"/>
      <c r="J15" s="549"/>
      <c r="K15" s="549"/>
      <c r="L15" s="549"/>
      <c r="M15" s="549"/>
      <c r="N15" s="549"/>
      <c r="O15" s="549"/>
    </row>
    <row r="16" spans="1:15" ht="23.5">
      <c r="B16" s="557" t="s">
        <v>284</v>
      </c>
      <c r="C16" s="557"/>
      <c r="D16" s="557"/>
      <c r="E16" s="557"/>
      <c r="F16" s="557"/>
      <c r="G16" s="557"/>
      <c r="H16" s="557"/>
      <c r="I16" s="557"/>
      <c r="J16" s="557"/>
      <c r="K16" s="557"/>
      <c r="L16" s="557"/>
      <c r="M16" s="557"/>
      <c r="N16" s="557"/>
      <c r="O16" s="557"/>
    </row>
    <row r="18" spans="1:15" ht="21">
      <c r="B18" s="550" t="s">
        <v>272</v>
      </c>
      <c r="C18" s="551"/>
      <c r="D18" s="552"/>
      <c r="E18" s="550" t="s">
        <v>273</v>
      </c>
      <c r="F18" s="551"/>
      <c r="G18" s="551"/>
      <c r="H18" s="551"/>
      <c r="I18" s="552"/>
      <c r="J18" s="550" t="s">
        <v>274</v>
      </c>
      <c r="K18" s="551"/>
      <c r="L18" s="552"/>
      <c r="M18" s="550" t="s">
        <v>275</v>
      </c>
      <c r="N18" s="551"/>
      <c r="O18" s="552"/>
    </row>
    <row r="19" spans="1:15" ht="114" customHeight="1">
      <c r="B19" s="570" t="str">
        <f>+'Data Entry'!B72</f>
        <v>M1: Status of Conditions Precedent (CPs) and Time Bound Actions (TBAs)</v>
      </c>
      <c r="C19" s="603"/>
      <c r="D19" s="604"/>
      <c r="E19" s="553" t="s">
        <v>282</v>
      </c>
      <c r="F19" s="554"/>
      <c r="G19" s="554"/>
      <c r="H19" s="554"/>
      <c r="I19" s="555"/>
      <c r="J19" s="545" t="s">
        <v>351</v>
      </c>
      <c r="K19" s="546"/>
      <c r="L19" s="547"/>
      <c r="M19" s="545" t="s">
        <v>352</v>
      </c>
      <c r="N19" s="546"/>
      <c r="O19" s="547"/>
    </row>
    <row r="20" spans="1:15" ht="102.75" customHeight="1">
      <c r="B20" s="570" t="str">
        <f>+'Data Entry'!B79</f>
        <v>M2: Status of key PR management positions</v>
      </c>
      <c r="C20" s="603"/>
      <c r="D20" s="604"/>
      <c r="E20" s="553" t="s">
        <v>396</v>
      </c>
      <c r="F20" s="554"/>
      <c r="G20" s="554"/>
      <c r="H20" s="554"/>
      <c r="I20" s="555"/>
      <c r="J20" s="545" t="s">
        <v>279</v>
      </c>
      <c r="K20" s="546"/>
      <c r="L20" s="547"/>
      <c r="M20" s="545" t="s">
        <v>278</v>
      </c>
      <c r="N20" s="546"/>
      <c r="O20" s="547"/>
    </row>
    <row r="21" spans="1:15" ht="111.75" customHeight="1">
      <c r="B21" s="570" t="str">
        <f>+'Data Entry'!B84</f>
        <v xml:space="preserve">M3: Contractual arrangements (SRs) </v>
      </c>
      <c r="C21" s="603"/>
      <c r="D21" s="604"/>
      <c r="E21" s="605" t="s">
        <v>0</v>
      </c>
      <c r="F21" s="554"/>
      <c r="G21" s="554"/>
      <c r="H21" s="554"/>
      <c r="I21" s="555"/>
      <c r="J21" s="545" t="s">
        <v>353</v>
      </c>
      <c r="K21" s="546"/>
      <c r="L21" s="547"/>
      <c r="M21" s="545" t="s">
        <v>354</v>
      </c>
      <c r="N21" s="546"/>
      <c r="O21" s="547"/>
    </row>
    <row r="22" spans="1:15" ht="74.25" customHeight="1">
      <c r="B22" s="570" t="str">
        <f>+'Data Entry'!B89</f>
        <v>M4: Number of complete reports received on time</v>
      </c>
      <c r="C22" s="603"/>
      <c r="D22" s="604"/>
      <c r="E22" s="605" t="s">
        <v>407</v>
      </c>
      <c r="F22" s="612"/>
      <c r="G22" s="612"/>
      <c r="H22" s="612"/>
      <c r="I22" s="613"/>
      <c r="J22" s="545" t="s">
        <v>359</v>
      </c>
      <c r="K22" s="546"/>
      <c r="L22" s="547"/>
      <c r="M22" s="545" t="s">
        <v>280</v>
      </c>
      <c r="N22" s="546"/>
      <c r="O22" s="547"/>
    </row>
    <row r="23" spans="1:15" ht="207.75" customHeight="1">
      <c r="B23" s="606" t="str">
        <f>+'Data Entry'!B95</f>
        <v>M5: Budget and Procurement of health products, health equipment, medicines and pharmaceuticals</v>
      </c>
      <c r="C23" s="607"/>
      <c r="D23" s="608"/>
      <c r="E23" s="614" t="s">
        <v>360</v>
      </c>
      <c r="F23" s="615"/>
      <c r="G23" s="615"/>
      <c r="H23" s="615"/>
      <c r="I23" s="616"/>
      <c r="J23" s="626" t="s">
        <v>276</v>
      </c>
      <c r="K23" s="627"/>
      <c r="L23" s="628"/>
      <c r="M23" s="626" t="s">
        <v>281</v>
      </c>
      <c r="N23" s="627"/>
      <c r="O23" s="628"/>
    </row>
    <row r="24" spans="1:15" ht="114.75" customHeight="1">
      <c r="B24" s="609"/>
      <c r="C24" s="610"/>
      <c r="D24" s="611"/>
      <c r="E24" s="617" t="s">
        <v>355</v>
      </c>
      <c r="F24" s="618"/>
      <c r="G24" s="618"/>
      <c r="H24" s="618"/>
      <c r="I24" s="619"/>
      <c r="J24" s="629"/>
      <c r="K24" s="630"/>
      <c r="L24" s="631"/>
      <c r="M24" s="629"/>
      <c r="N24" s="630"/>
      <c r="O24" s="631"/>
    </row>
    <row r="25" spans="1:15" ht="409.5" customHeight="1">
      <c r="B25" s="570" t="str">
        <f>+'Data Entry'!B108</f>
        <v>M6: Difference between current and safety stock</v>
      </c>
      <c r="C25" s="603"/>
      <c r="D25" s="604"/>
      <c r="E25" s="637" t="s">
        <v>408</v>
      </c>
      <c r="F25" s="638"/>
      <c r="G25" s="638"/>
      <c r="H25" s="638"/>
      <c r="I25" s="639"/>
      <c r="J25" s="623" t="s">
        <v>361</v>
      </c>
      <c r="K25" s="624"/>
      <c r="L25" s="625"/>
      <c r="M25" s="620" t="s">
        <v>366</v>
      </c>
      <c r="N25" s="621"/>
      <c r="O25" s="622"/>
    </row>
    <row r="29" spans="1:15" ht="18.5">
      <c r="B29" s="255"/>
    </row>
    <row r="30" spans="1:15" ht="23.5">
      <c r="B30" s="557" t="s">
        <v>297</v>
      </c>
      <c r="C30" s="557"/>
      <c r="D30" s="557"/>
      <c r="E30" s="557"/>
      <c r="F30" s="557"/>
      <c r="G30" s="557"/>
      <c r="H30" s="557"/>
      <c r="I30" s="557"/>
      <c r="J30" s="557"/>
      <c r="K30" s="557"/>
      <c r="L30" s="557"/>
      <c r="M30" s="557"/>
      <c r="N30" s="557"/>
      <c r="O30" s="557"/>
    </row>
    <row r="32" spans="1:15" ht="28.5" customHeight="1">
      <c r="A32" s="246"/>
      <c r="B32" s="576" t="s">
        <v>345</v>
      </c>
      <c r="C32" s="577"/>
      <c r="D32" s="578"/>
      <c r="E32" s="579" t="s">
        <v>303</v>
      </c>
      <c r="F32" s="580"/>
      <c r="G32" s="580"/>
      <c r="H32" s="580"/>
      <c r="I32" s="581"/>
      <c r="J32" s="579" t="s">
        <v>274</v>
      </c>
      <c r="K32" s="580"/>
      <c r="L32" s="581"/>
      <c r="M32" s="579" t="s">
        <v>275</v>
      </c>
      <c r="N32" s="580"/>
      <c r="O32" s="581"/>
    </row>
    <row r="33" spans="1:15" ht="122.25" customHeight="1">
      <c r="A33" s="247"/>
      <c r="B33" s="594" t="s">
        <v>473</v>
      </c>
      <c r="C33" s="595"/>
      <c r="D33" s="596"/>
      <c r="E33" s="597" t="s">
        <v>481</v>
      </c>
      <c r="F33" s="598"/>
      <c r="G33" s="598"/>
      <c r="H33" s="598"/>
      <c r="I33" s="599"/>
      <c r="J33" s="591" t="s">
        <v>493</v>
      </c>
      <c r="K33" s="592"/>
      <c r="L33" s="593"/>
      <c r="M33" s="591" t="s">
        <v>490</v>
      </c>
      <c r="N33" s="592"/>
      <c r="O33" s="593"/>
    </row>
    <row r="34" spans="1:15" ht="88.5" customHeight="1">
      <c r="A34" s="247"/>
      <c r="B34" s="594" t="s">
        <v>474</v>
      </c>
      <c r="C34" s="595"/>
      <c r="D34" s="596"/>
      <c r="E34" s="597" t="s">
        <v>482</v>
      </c>
      <c r="F34" s="598"/>
      <c r="G34" s="598"/>
      <c r="H34" s="598"/>
      <c r="I34" s="599"/>
      <c r="J34" s="591" t="s">
        <v>493</v>
      </c>
      <c r="K34" s="592"/>
      <c r="L34" s="593"/>
      <c r="M34" s="591" t="s">
        <v>490</v>
      </c>
      <c r="N34" s="592"/>
      <c r="O34" s="593"/>
    </row>
    <row r="35" spans="1:15" ht="103.5" customHeight="1">
      <c r="A35" s="247"/>
      <c r="B35" s="594" t="s">
        <v>475</v>
      </c>
      <c r="C35" s="595"/>
      <c r="D35" s="596"/>
      <c r="E35" s="591" t="s">
        <v>483</v>
      </c>
      <c r="F35" s="592"/>
      <c r="G35" s="592"/>
      <c r="H35" s="592"/>
      <c r="I35" s="593"/>
      <c r="J35" s="591" t="s">
        <v>493</v>
      </c>
      <c r="K35" s="592"/>
      <c r="L35" s="593"/>
      <c r="M35" s="591" t="s">
        <v>490</v>
      </c>
      <c r="N35" s="592"/>
      <c r="O35" s="593"/>
    </row>
    <row r="36" spans="1:15" ht="9.75" customHeight="1">
      <c r="A36" s="247"/>
      <c r="B36" s="634"/>
      <c r="C36" s="635"/>
      <c r="D36" s="636"/>
      <c r="E36" s="248"/>
      <c r="F36" s="249"/>
      <c r="G36" s="249"/>
      <c r="H36" s="249"/>
      <c r="I36" s="250"/>
      <c r="J36" s="266"/>
      <c r="K36" s="267"/>
      <c r="L36" s="268"/>
      <c r="M36" s="266"/>
      <c r="N36" s="267"/>
      <c r="O36" s="268"/>
    </row>
    <row r="37" spans="1:15" ht="94.5" customHeight="1">
      <c r="A37" s="247"/>
      <c r="B37" s="594" t="s">
        <v>476</v>
      </c>
      <c r="C37" s="595"/>
      <c r="D37" s="596"/>
      <c r="E37" s="591" t="s">
        <v>484</v>
      </c>
      <c r="F37" s="632"/>
      <c r="G37" s="632"/>
      <c r="H37" s="632"/>
      <c r="I37" s="633"/>
      <c r="J37" s="591" t="s">
        <v>493</v>
      </c>
      <c r="K37" s="592"/>
      <c r="L37" s="593"/>
      <c r="M37" s="591" t="s">
        <v>490</v>
      </c>
      <c r="N37" s="592"/>
      <c r="O37" s="593"/>
    </row>
    <row r="38" spans="1:15" ht="130.5" customHeight="1">
      <c r="A38" s="247"/>
      <c r="B38" s="594" t="s">
        <v>477</v>
      </c>
      <c r="C38" s="595"/>
      <c r="D38" s="596"/>
      <c r="E38" s="597" t="s">
        <v>485</v>
      </c>
      <c r="F38" s="598"/>
      <c r="G38" s="598"/>
      <c r="H38" s="598"/>
      <c r="I38" s="599"/>
      <c r="J38" s="591" t="s">
        <v>493</v>
      </c>
      <c r="K38" s="592"/>
      <c r="L38" s="593"/>
      <c r="M38" s="591" t="s">
        <v>492</v>
      </c>
      <c r="N38" s="592"/>
      <c r="O38" s="593"/>
    </row>
    <row r="39" spans="1:15" ht="102.75" customHeight="1">
      <c r="A39" s="247"/>
      <c r="B39" s="594" t="s">
        <v>478</v>
      </c>
      <c r="C39" s="595"/>
      <c r="D39" s="596"/>
      <c r="E39" s="591" t="s">
        <v>486</v>
      </c>
      <c r="F39" s="592"/>
      <c r="G39" s="592"/>
      <c r="H39" s="592"/>
      <c r="I39" s="593"/>
      <c r="J39" s="591" t="s">
        <v>493</v>
      </c>
      <c r="K39" s="592"/>
      <c r="L39" s="593"/>
      <c r="M39" s="591" t="s">
        <v>490</v>
      </c>
      <c r="N39" s="592"/>
      <c r="O39" s="593"/>
    </row>
    <row r="40" spans="1:15" ht="81.75" customHeight="1">
      <c r="A40" s="247"/>
      <c r="B40" s="643" t="s">
        <v>479</v>
      </c>
      <c r="C40" s="644"/>
      <c r="D40" s="645"/>
      <c r="E40" s="640" t="s">
        <v>487</v>
      </c>
      <c r="F40" s="641"/>
      <c r="G40" s="641"/>
      <c r="H40" s="641"/>
      <c r="I40" s="642"/>
      <c r="J40" s="591" t="s">
        <v>493</v>
      </c>
      <c r="K40" s="592"/>
      <c r="L40" s="593"/>
      <c r="M40" s="591" t="s">
        <v>490</v>
      </c>
      <c r="N40" s="592"/>
      <c r="O40" s="593"/>
    </row>
    <row r="41" spans="1:15" ht="102.75" customHeight="1">
      <c r="A41" s="247"/>
      <c r="B41" s="600" t="s">
        <v>480</v>
      </c>
      <c r="C41" s="601"/>
      <c r="D41" s="602"/>
      <c r="E41" s="597" t="s">
        <v>488</v>
      </c>
      <c r="F41" s="598"/>
      <c r="G41" s="598"/>
      <c r="H41" s="598"/>
      <c r="I41" s="599"/>
      <c r="J41" s="591" t="s">
        <v>489</v>
      </c>
      <c r="K41" s="592"/>
      <c r="L41" s="593"/>
      <c r="M41" s="591" t="s">
        <v>491</v>
      </c>
      <c r="N41" s="592"/>
      <c r="O41" s="593"/>
    </row>
    <row r="42" spans="1:15" ht="84" customHeight="1">
      <c r="A42" s="247"/>
      <c r="B42" s="600"/>
      <c r="C42" s="601"/>
      <c r="D42" s="602"/>
      <c r="E42" s="591"/>
      <c r="F42" s="592"/>
      <c r="G42" s="592"/>
      <c r="H42" s="592"/>
      <c r="I42" s="593"/>
      <c r="J42" s="261"/>
      <c r="K42" s="262"/>
      <c r="L42" s="263"/>
      <c r="M42" s="261"/>
      <c r="N42" s="262"/>
      <c r="O42" s="263"/>
    </row>
    <row r="43" spans="1:15" ht="45" customHeight="1">
      <c r="A43" s="247"/>
      <c r="B43" s="600"/>
      <c r="C43" s="601"/>
      <c r="D43" s="602"/>
      <c r="E43" s="597"/>
      <c r="F43" s="598"/>
      <c r="G43" s="598"/>
      <c r="H43" s="598"/>
      <c r="I43" s="599"/>
      <c r="J43" s="591"/>
      <c r="K43" s="592"/>
      <c r="L43" s="593"/>
      <c r="M43" s="261"/>
      <c r="N43" s="262"/>
      <c r="O43" s="263"/>
    </row>
    <row r="44" spans="1:15" ht="64.5" customHeight="1">
      <c r="A44" s="247"/>
      <c r="B44" s="643"/>
      <c r="C44" s="644"/>
      <c r="D44" s="645"/>
      <c r="E44" s="597"/>
      <c r="F44" s="598"/>
      <c r="G44" s="598"/>
      <c r="H44" s="598"/>
      <c r="I44" s="599"/>
      <c r="J44" s="591"/>
      <c r="K44" s="592"/>
      <c r="L44" s="593"/>
      <c r="M44" s="261"/>
      <c r="N44" s="262"/>
      <c r="O44" s="263"/>
    </row>
    <row r="45" spans="1:15" ht="49.5" customHeight="1">
      <c r="B45" s="643"/>
      <c r="C45" s="644"/>
      <c r="D45" s="645"/>
      <c r="E45" s="597"/>
      <c r="F45" s="598"/>
      <c r="G45" s="598"/>
      <c r="H45" s="598"/>
      <c r="I45" s="599"/>
      <c r="J45" s="591"/>
      <c r="K45" s="592"/>
      <c r="L45" s="593"/>
      <c r="M45" s="261"/>
      <c r="N45" s="262"/>
      <c r="O45" s="263"/>
    </row>
    <row r="46" spans="1:15" ht="30" customHeight="1">
      <c r="B46" s="646"/>
      <c r="C46" s="647"/>
      <c r="D46" s="648"/>
      <c r="E46" s="251"/>
      <c r="F46" s="252"/>
      <c r="G46" s="252"/>
      <c r="H46" s="252"/>
      <c r="I46" s="253"/>
      <c r="J46" s="261"/>
      <c r="K46" s="262"/>
      <c r="L46" s="263"/>
      <c r="M46" s="261"/>
      <c r="N46" s="262"/>
      <c r="O46" s="263"/>
    </row>
    <row r="47" spans="1:15" ht="44.25" customHeight="1">
      <c r="B47" s="585" t="s">
        <v>298</v>
      </c>
      <c r="C47" s="586"/>
      <c r="D47" s="587"/>
      <c r="E47" s="588" t="s">
        <v>273</v>
      </c>
      <c r="F47" s="589"/>
      <c r="G47" s="589"/>
      <c r="H47" s="589"/>
      <c r="I47" s="590"/>
      <c r="J47" s="588" t="s">
        <v>274</v>
      </c>
      <c r="K47" s="589"/>
      <c r="L47" s="590"/>
      <c r="M47" s="588" t="s">
        <v>275</v>
      </c>
      <c r="N47" s="589"/>
      <c r="O47" s="590"/>
    </row>
    <row r="48" spans="1:15" ht="33.75" customHeight="1">
      <c r="B48" s="242"/>
      <c r="C48" s="243"/>
      <c r="D48" s="243"/>
      <c r="E48" s="236"/>
      <c r="F48" s="238"/>
      <c r="G48" s="238"/>
      <c r="H48" s="238"/>
      <c r="I48" s="238"/>
      <c r="J48" s="236"/>
      <c r="K48" s="236"/>
      <c r="L48" s="237"/>
      <c r="M48" s="235"/>
      <c r="N48" s="236"/>
      <c r="O48" s="237"/>
    </row>
    <row r="49" spans="2:15" ht="15.75" customHeight="1">
      <c r="B49" s="582" t="s">
        <v>295</v>
      </c>
      <c r="C49" s="583"/>
      <c r="D49" s="583"/>
      <c r="E49" s="583"/>
      <c r="F49" s="583"/>
      <c r="G49" s="583"/>
      <c r="H49" s="583"/>
      <c r="I49" s="583"/>
      <c r="J49" s="583"/>
      <c r="K49" s="583"/>
      <c r="L49" s="584"/>
      <c r="M49" s="573" t="s">
        <v>285</v>
      </c>
      <c r="N49" s="574"/>
      <c r="O49" s="575"/>
    </row>
    <row r="50" spans="2:15">
      <c r="D50" s="222"/>
    </row>
    <row r="52" spans="2:15">
      <c r="D52" s="222"/>
    </row>
    <row r="53" spans="2:15">
      <c r="D53" s="222"/>
    </row>
    <row r="71" spans="6:6">
      <c r="F71" s="533"/>
    </row>
    <row r="72" spans="6:6">
      <c r="F72" s="533"/>
    </row>
    <row r="73" spans="6:6">
      <c r="F73" s="533"/>
    </row>
    <row r="74" spans="6:6">
      <c r="F74" s="533"/>
    </row>
    <row r="75" spans="6:6">
      <c r="F75" s="533"/>
    </row>
    <row r="76" spans="6:6">
      <c r="F76" s="533"/>
    </row>
    <row r="77" spans="6:6">
      <c r="F77" s="533"/>
    </row>
    <row r="78" spans="6:6">
      <c r="F78" s="533"/>
    </row>
  </sheetData>
  <mergeCells count="124">
    <mergeCell ref="B41:D41"/>
    <mergeCell ref="B40:D40"/>
    <mergeCell ref="E41:I41"/>
    <mergeCell ref="B46:D46"/>
    <mergeCell ref="J43:L43"/>
    <mergeCell ref="J44:L44"/>
    <mergeCell ref="J45:L45"/>
    <mergeCell ref="E44:I44"/>
    <mergeCell ref="B44:D44"/>
    <mergeCell ref="B45:D45"/>
    <mergeCell ref="E45:I45"/>
    <mergeCell ref="B43:D43"/>
    <mergeCell ref="B25:D25"/>
    <mergeCell ref="B33:D33"/>
    <mergeCell ref="B34:D34"/>
    <mergeCell ref="E37:I37"/>
    <mergeCell ref="E35:I35"/>
    <mergeCell ref="J40:L40"/>
    <mergeCell ref="M40:O40"/>
    <mergeCell ref="B39:D39"/>
    <mergeCell ref="M38:O38"/>
    <mergeCell ref="E39:I39"/>
    <mergeCell ref="B37:D37"/>
    <mergeCell ref="E38:I38"/>
    <mergeCell ref="J38:L38"/>
    <mergeCell ref="B36:D36"/>
    <mergeCell ref="E33:I33"/>
    <mergeCell ref="E34:I34"/>
    <mergeCell ref="E25:I25"/>
    <mergeCell ref="E40:I40"/>
    <mergeCell ref="J37:L37"/>
    <mergeCell ref="J39:L39"/>
    <mergeCell ref="M37:O37"/>
    <mergeCell ref="M39:O39"/>
    <mergeCell ref="J20:L20"/>
    <mergeCell ref="M20:O20"/>
    <mergeCell ref="M25:O25"/>
    <mergeCell ref="J25:L25"/>
    <mergeCell ref="J21:L21"/>
    <mergeCell ref="M21:O21"/>
    <mergeCell ref="J23:L24"/>
    <mergeCell ref="M22:O22"/>
    <mergeCell ref="M23:O24"/>
    <mergeCell ref="J22:L22"/>
    <mergeCell ref="B20:D20"/>
    <mergeCell ref="E20:I20"/>
    <mergeCell ref="B21:D21"/>
    <mergeCell ref="E21:I21"/>
    <mergeCell ref="B22:D22"/>
    <mergeCell ref="B23:D24"/>
    <mergeCell ref="B14:D14"/>
    <mergeCell ref="E14:I14"/>
    <mergeCell ref="B19:D19"/>
    <mergeCell ref="E22:I22"/>
    <mergeCell ref="E23:I23"/>
    <mergeCell ref="E24:I24"/>
    <mergeCell ref="M49:O49"/>
    <mergeCell ref="B30:O30"/>
    <mergeCell ref="B32:D32"/>
    <mergeCell ref="E32:I32"/>
    <mergeCell ref="J32:L32"/>
    <mergeCell ref="M32:O32"/>
    <mergeCell ref="B49:L49"/>
    <mergeCell ref="B47:D47"/>
    <mergeCell ref="E47:I47"/>
    <mergeCell ref="J47:L47"/>
    <mergeCell ref="M47:O47"/>
    <mergeCell ref="J41:L41"/>
    <mergeCell ref="M41:O41"/>
    <mergeCell ref="M35:O35"/>
    <mergeCell ref="M33:O33"/>
    <mergeCell ref="M34:O34"/>
    <mergeCell ref="J33:L33"/>
    <mergeCell ref="J34:L34"/>
    <mergeCell ref="B35:D35"/>
    <mergeCell ref="J35:L35"/>
    <mergeCell ref="B38:D38"/>
    <mergeCell ref="E42:I42"/>
    <mergeCell ref="E43:I43"/>
    <mergeCell ref="B42:D42"/>
    <mergeCell ref="B2:M2"/>
    <mergeCell ref="B5:O5"/>
    <mergeCell ref="M8:O8"/>
    <mergeCell ref="J8:L8"/>
    <mergeCell ref="E7:I7"/>
    <mergeCell ref="B7:D7"/>
    <mergeCell ref="E8:I8"/>
    <mergeCell ref="B11:D11"/>
    <mergeCell ref="B10:D10"/>
    <mergeCell ref="E11:I11"/>
    <mergeCell ref="E10:I10"/>
    <mergeCell ref="J10:L10"/>
    <mergeCell ref="J7:L7"/>
    <mergeCell ref="M7:O7"/>
    <mergeCell ref="M10:O10"/>
    <mergeCell ref="B8:D8"/>
    <mergeCell ref="M9:O9"/>
    <mergeCell ref="B9:D9"/>
    <mergeCell ref="E9:I9"/>
    <mergeCell ref="J9:L9"/>
    <mergeCell ref="B12:D12"/>
    <mergeCell ref="J11:L11"/>
    <mergeCell ref="M11:O11"/>
    <mergeCell ref="J12:L12"/>
    <mergeCell ref="M12:O12"/>
    <mergeCell ref="E12:I12"/>
    <mergeCell ref="M19:O19"/>
    <mergeCell ref="M15:O15"/>
    <mergeCell ref="M13:O13"/>
    <mergeCell ref="M18:O18"/>
    <mergeCell ref="J14:L14"/>
    <mergeCell ref="E15:I15"/>
    <mergeCell ref="E19:I19"/>
    <mergeCell ref="J19:L19"/>
    <mergeCell ref="E18:I18"/>
    <mergeCell ref="J18:L18"/>
    <mergeCell ref="B18:D18"/>
    <mergeCell ref="B15:D15"/>
    <mergeCell ref="B13:D13"/>
    <mergeCell ref="B16:O16"/>
    <mergeCell ref="J15:L15"/>
    <mergeCell ref="E13:I13"/>
    <mergeCell ref="J13:L13"/>
    <mergeCell ref="M14:O14"/>
  </mergeCells>
  <phoneticPr fontId="30" type="noConversion"/>
  <pageMargins left="0.70866141732283472" right="0.70866141732283472" top="0.74803149606299213" bottom="0.74803149606299213" header="0.31496062992125984" footer="0.31496062992125984"/>
  <pageSetup paperSize="9" orientation="landscape"/>
  <headerFooter>
    <oddFooter>&amp;L&amp;F&amp;C&amp;A&amp;RV1.0          &amp;D</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C000"/>
  </sheetPr>
  <dimension ref="A1:AJ155"/>
  <sheetViews>
    <sheetView showGridLines="0" topLeftCell="K110" zoomScale="84" zoomScaleNormal="80" zoomScalePageLayoutView="90" workbookViewId="0">
      <selection activeCell="S136" sqref="S136"/>
    </sheetView>
  </sheetViews>
  <sheetFormatPr defaultColWidth="11" defaultRowHeight="14.5"/>
  <cols>
    <col min="1" max="1" width="2.6328125" customWidth="1"/>
    <col min="2" max="2" width="46.1796875" customWidth="1"/>
    <col min="3" max="3" width="36" customWidth="1"/>
    <col min="4" max="4" width="19.1796875" customWidth="1"/>
    <col min="5" max="5" width="22.1796875" customWidth="1"/>
    <col min="6" max="6" width="17.453125" customWidth="1"/>
    <col min="7" max="7" width="16.453125" customWidth="1"/>
    <col min="8" max="8" width="17.453125" customWidth="1"/>
    <col min="9" max="9" width="16.36328125" customWidth="1"/>
    <col min="10" max="10" width="16.81640625" customWidth="1"/>
    <col min="11" max="11" width="16" customWidth="1"/>
    <col min="12" max="12" width="15.36328125" customWidth="1"/>
    <col min="13" max="13" width="15.453125" customWidth="1"/>
    <col min="14" max="14" width="14.36328125" style="36" customWidth="1"/>
    <col min="15" max="15" width="15.453125" style="36" customWidth="1"/>
    <col min="16" max="16" width="19.453125" customWidth="1"/>
    <col min="17" max="17" width="16.1796875" customWidth="1"/>
    <col min="18" max="18" width="13.6328125" customWidth="1"/>
    <col min="19" max="19" width="13.453125" customWidth="1"/>
    <col min="20" max="20" width="14.81640625" customWidth="1"/>
    <col min="21" max="21" width="16" customWidth="1"/>
    <col min="22" max="22" width="11.453125" hidden="1" customWidth="1"/>
    <col min="23" max="23" width="15.453125" customWidth="1"/>
    <col min="24" max="24" width="11.453125" customWidth="1"/>
    <col min="25" max="25" width="2.36328125" customWidth="1"/>
    <col min="26" max="26" width="1.1796875" customWidth="1"/>
    <col min="27" max="27" width="3.36328125" customWidth="1"/>
    <col min="28" max="28" width="17" customWidth="1"/>
    <col min="29" max="29" width="15" customWidth="1"/>
    <col min="30" max="30" width="11.453125" customWidth="1"/>
    <col min="31" max="31" width="13.453125" customWidth="1"/>
    <col min="32" max="32" width="16.81640625" customWidth="1"/>
    <col min="33" max="33" width="11.453125" customWidth="1"/>
    <col min="34" max="34" width="2" style="36" customWidth="1"/>
    <col min="35" max="35" width="3.36328125" style="36" customWidth="1"/>
    <col min="36" max="36" width="2.36328125" style="36" customWidth="1"/>
    <col min="37" max="37" width="40.6328125" customWidth="1"/>
    <col min="38" max="38" width="15.453125" customWidth="1"/>
  </cols>
  <sheetData>
    <row r="1" spans="1:13" ht="29.25" customHeight="1">
      <c r="A1" s="3"/>
      <c r="B1" s="3"/>
      <c r="C1" s="3"/>
      <c r="D1" s="3"/>
      <c r="E1" s="3"/>
      <c r="F1" s="3"/>
      <c r="G1" s="3"/>
      <c r="H1" s="3"/>
      <c r="I1" s="3"/>
      <c r="J1" s="3"/>
      <c r="K1" s="3"/>
      <c r="L1" s="3"/>
      <c r="M1" s="3"/>
    </row>
    <row r="2" spans="1:13" ht="15.75" customHeight="1">
      <c r="A2" s="3"/>
      <c r="B2" s="696" t="s">
        <v>373</v>
      </c>
      <c r="C2" s="696"/>
      <c r="D2" s="696"/>
      <c r="E2" s="696"/>
      <c r="F2" s="696"/>
      <c r="G2" s="696"/>
      <c r="H2" s="696"/>
      <c r="I2" s="696"/>
      <c r="J2" s="696"/>
      <c r="K2" s="283"/>
      <c r="L2" s="283"/>
      <c r="M2" s="283"/>
    </row>
    <row r="3" spans="1:13" ht="4.5" customHeight="1">
      <c r="A3" s="3"/>
      <c r="B3" s="3"/>
      <c r="C3" s="3"/>
      <c r="D3" s="3"/>
      <c r="E3" s="3"/>
      <c r="F3" s="3"/>
      <c r="G3" s="3"/>
      <c r="H3" s="3"/>
      <c r="I3" s="3"/>
      <c r="J3" s="3"/>
      <c r="K3" s="3"/>
      <c r="L3" s="3"/>
      <c r="M3" s="3"/>
    </row>
    <row r="4" spans="1:13">
      <c r="A4" s="3"/>
      <c r="B4" s="281" t="s">
        <v>25</v>
      </c>
      <c r="C4" s="729" t="s">
        <v>176</v>
      </c>
      <c r="D4" s="730"/>
      <c r="E4" s="702" t="s">
        <v>11</v>
      </c>
      <c r="F4" s="702"/>
      <c r="G4" s="731" t="s">
        <v>439</v>
      </c>
      <c r="H4" s="732"/>
      <c r="I4" s="732"/>
      <c r="J4" s="733"/>
      <c r="K4" s="3"/>
      <c r="L4" s="3"/>
      <c r="M4" s="3"/>
    </row>
    <row r="5" spans="1:13" ht="3" customHeight="1">
      <c r="A5" s="3"/>
      <c r="B5" s="281"/>
      <c r="C5" s="3"/>
      <c r="D5" s="3"/>
      <c r="E5" s="284"/>
      <c r="F5" s="284"/>
      <c r="G5" s="3"/>
      <c r="H5" s="3"/>
      <c r="I5" s="3"/>
      <c r="J5" s="3"/>
      <c r="K5" s="3"/>
      <c r="L5" s="3"/>
      <c r="M5" s="3"/>
    </row>
    <row r="6" spans="1:13">
      <c r="A6" s="3"/>
      <c r="B6" s="281" t="s">
        <v>116</v>
      </c>
      <c r="C6" s="729" t="s">
        <v>413</v>
      </c>
      <c r="D6" s="730"/>
      <c r="E6" s="702" t="s">
        <v>26</v>
      </c>
      <c r="F6" s="702"/>
      <c r="G6" s="311" t="s">
        <v>27</v>
      </c>
      <c r="H6" s="281" t="s">
        <v>321</v>
      </c>
      <c r="I6" s="736">
        <v>17962183.992709801</v>
      </c>
      <c r="J6" s="737"/>
      <c r="K6" s="3"/>
      <c r="L6" s="3"/>
      <c r="M6" s="3"/>
    </row>
    <row r="7" spans="1:13" ht="3" customHeight="1">
      <c r="A7" s="3"/>
      <c r="B7" s="281"/>
      <c r="C7" s="3"/>
      <c r="D7" s="3"/>
      <c r="E7" s="284"/>
      <c r="F7" s="284"/>
      <c r="G7" s="3"/>
      <c r="H7" s="281"/>
      <c r="I7" s="3"/>
      <c r="J7" s="3"/>
      <c r="K7" s="3"/>
      <c r="L7" s="3"/>
      <c r="M7" s="3"/>
    </row>
    <row r="8" spans="1:13">
      <c r="A8" s="3"/>
      <c r="B8" s="281" t="s">
        <v>268</v>
      </c>
      <c r="C8" s="729" t="s">
        <v>414</v>
      </c>
      <c r="D8" s="730"/>
      <c r="E8" s="285"/>
      <c r="F8" s="280" t="s">
        <v>323</v>
      </c>
      <c r="G8" s="311" t="s">
        <v>438</v>
      </c>
      <c r="H8" s="280" t="s">
        <v>322</v>
      </c>
      <c r="I8" s="736" t="s">
        <v>437</v>
      </c>
      <c r="J8" s="737"/>
      <c r="K8" s="3"/>
      <c r="L8" s="3"/>
      <c r="M8" s="3"/>
    </row>
    <row r="9" spans="1:13" ht="3" customHeight="1">
      <c r="A9" s="3"/>
      <c r="B9" s="284"/>
      <c r="C9" s="3"/>
      <c r="D9" s="3"/>
      <c r="E9" s="284"/>
      <c r="F9" s="284"/>
      <c r="G9" s="3"/>
      <c r="H9" s="3"/>
      <c r="I9" s="3"/>
      <c r="J9" s="3"/>
      <c r="K9" s="3"/>
      <c r="L9" s="3"/>
      <c r="M9" s="3"/>
    </row>
    <row r="10" spans="1:13">
      <c r="A10" s="3"/>
      <c r="B10" s="281" t="s">
        <v>402</v>
      </c>
      <c r="C10" s="740">
        <v>42552</v>
      </c>
      <c r="D10" s="741"/>
      <c r="E10" s="734" t="s">
        <v>30</v>
      </c>
      <c r="F10" s="735"/>
      <c r="G10" s="729" t="s">
        <v>262</v>
      </c>
      <c r="H10" s="739"/>
      <c r="I10" s="739"/>
      <c r="J10" s="730"/>
      <c r="K10" s="3"/>
      <c r="L10" s="3"/>
      <c r="M10" s="3"/>
    </row>
    <row r="11" spans="1:13" ht="5.25" customHeight="1">
      <c r="A11" s="3"/>
      <c r="B11" s="3"/>
      <c r="C11" s="3"/>
      <c r="D11" s="3"/>
      <c r="E11" s="3"/>
      <c r="F11" s="3"/>
      <c r="G11" s="3"/>
      <c r="H11" s="3"/>
      <c r="I11" s="3"/>
      <c r="J11" s="3"/>
      <c r="K11" s="3"/>
      <c r="L11" s="3"/>
      <c r="M11" s="3"/>
    </row>
    <row r="12" spans="1:13" ht="15" customHeight="1">
      <c r="A12" s="3"/>
      <c r="B12" s="281" t="s">
        <v>28</v>
      </c>
      <c r="C12" s="742" t="s">
        <v>45</v>
      </c>
      <c r="D12" s="742"/>
      <c r="E12" s="734" t="s">
        <v>289</v>
      </c>
      <c r="F12" s="702"/>
      <c r="G12" s="738" t="s">
        <v>472</v>
      </c>
      <c r="H12" s="738"/>
      <c r="I12" s="738"/>
      <c r="J12" s="738"/>
      <c r="K12" s="3"/>
      <c r="L12" s="3"/>
      <c r="M12" s="3"/>
    </row>
    <row r="13" spans="1:13" ht="5.25" customHeight="1">
      <c r="A13" s="3"/>
      <c r="B13" s="3"/>
      <c r="C13" s="3"/>
      <c r="D13" s="3"/>
      <c r="E13" s="3"/>
      <c r="F13" s="3"/>
      <c r="G13" s="3"/>
      <c r="H13" s="3"/>
      <c r="I13" s="3"/>
      <c r="J13" s="3"/>
      <c r="K13" s="3"/>
      <c r="L13" s="3"/>
      <c r="M13" s="3"/>
    </row>
    <row r="14" spans="1:13" ht="15.75" customHeight="1">
      <c r="A14" s="3"/>
      <c r="B14" s="696" t="s">
        <v>2</v>
      </c>
      <c r="C14" s="696"/>
      <c r="D14" s="696"/>
      <c r="E14" s="696"/>
      <c r="F14" s="696"/>
      <c r="G14" s="696"/>
      <c r="H14" s="696"/>
      <c r="I14" s="696"/>
      <c r="J14" s="696"/>
      <c r="K14" s="3"/>
      <c r="L14" s="3"/>
      <c r="M14" s="3"/>
    </row>
    <row r="15" spans="1:13" ht="3" customHeight="1">
      <c r="A15" s="3"/>
      <c r="B15" s="3"/>
      <c r="C15" s="3"/>
      <c r="D15" s="3"/>
      <c r="E15" s="3"/>
      <c r="F15" s="3"/>
      <c r="G15" s="3"/>
      <c r="H15" s="3"/>
      <c r="I15" s="3"/>
      <c r="J15" s="3"/>
      <c r="K15" s="3"/>
      <c r="L15" s="3"/>
      <c r="M15" s="3"/>
    </row>
    <row r="16" spans="1:13">
      <c r="A16" s="3"/>
      <c r="B16" s="281" t="s">
        <v>20</v>
      </c>
      <c r="C16" s="395" t="s">
        <v>287</v>
      </c>
      <c r="D16" s="280" t="s">
        <v>324</v>
      </c>
      <c r="E16" s="286">
        <v>43556</v>
      </c>
      <c r="F16" s="282" t="s">
        <v>8</v>
      </c>
      <c r="G16" s="286">
        <v>43646</v>
      </c>
      <c r="H16" s="734" t="s">
        <v>325</v>
      </c>
      <c r="I16" s="735"/>
      <c r="J16" s="286">
        <v>43697</v>
      </c>
      <c r="K16" s="3"/>
      <c r="L16" s="3"/>
      <c r="M16" s="3"/>
    </row>
    <row r="17" spans="1:35" ht="3" customHeight="1">
      <c r="A17" s="3"/>
      <c r="B17" s="3"/>
      <c r="C17" s="3"/>
      <c r="D17" s="3"/>
      <c r="E17" s="3"/>
      <c r="F17" s="3"/>
      <c r="G17" s="3"/>
      <c r="H17" s="3"/>
      <c r="I17" s="3"/>
      <c r="J17" s="3"/>
      <c r="K17" s="3"/>
      <c r="L17" s="3"/>
      <c r="M17" s="3"/>
    </row>
    <row r="18" spans="1:35">
      <c r="A18" s="3"/>
      <c r="B18" s="745" t="s">
        <v>31</v>
      </c>
      <c r="C18" s="735"/>
      <c r="D18" s="746" t="s">
        <v>415</v>
      </c>
      <c r="E18" s="746"/>
      <c r="F18" s="746"/>
      <c r="G18" s="287"/>
      <c r="H18" s="287"/>
      <c r="I18" s="287"/>
      <c r="J18" s="287"/>
      <c r="K18" s="3"/>
      <c r="L18" s="3"/>
      <c r="M18" s="3"/>
    </row>
    <row r="19" spans="1:35" ht="3" customHeight="1">
      <c r="A19" s="3"/>
      <c r="B19" s="3"/>
      <c r="C19" s="3"/>
      <c r="D19" s="3"/>
      <c r="E19" s="3"/>
      <c r="F19" s="3"/>
      <c r="G19" s="3"/>
      <c r="H19" s="3"/>
      <c r="I19" s="3"/>
      <c r="J19" s="3"/>
      <c r="K19" s="3"/>
      <c r="L19" s="3"/>
      <c r="M19" s="3"/>
    </row>
    <row r="20" spans="1:35" ht="5.25" customHeight="1">
      <c r="A20" s="3"/>
      <c r="B20" s="3"/>
      <c r="C20" s="3"/>
      <c r="D20" s="3"/>
      <c r="E20" s="3"/>
      <c r="F20" s="3"/>
      <c r="G20" s="3"/>
      <c r="H20" s="3"/>
      <c r="I20" s="3"/>
      <c r="J20" s="3"/>
      <c r="K20" s="3"/>
      <c r="L20" s="3"/>
      <c r="M20" s="3"/>
    </row>
    <row r="21" spans="1:35" ht="15.75" customHeight="1">
      <c r="A21" s="3"/>
      <c r="B21" s="696" t="s">
        <v>362</v>
      </c>
      <c r="C21" s="696"/>
      <c r="D21" s="696"/>
      <c r="E21" s="696"/>
      <c r="F21" s="696"/>
      <c r="G21" s="696"/>
      <c r="H21" s="696"/>
      <c r="I21" s="696"/>
      <c r="J21" s="696"/>
      <c r="K21" s="3"/>
      <c r="L21" s="3"/>
      <c r="M21" s="3"/>
    </row>
    <row r="22" spans="1:35">
      <c r="A22" s="3"/>
      <c r="B22" s="284" t="s">
        <v>3</v>
      </c>
      <c r="C22" s="3"/>
      <c r="D22" s="3"/>
      <c r="E22" s="288"/>
      <c r="F22" s="288"/>
      <c r="G22" s="3"/>
      <c r="H22" s="3"/>
      <c r="I22" s="288"/>
      <c r="J22" s="288"/>
      <c r="K22" s="3"/>
      <c r="L22" s="3"/>
      <c r="M22" s="3"/>
    </row>
    <row r="23" spans="1:35" ht="3" customHeight="1">
      <c r="A23" s="3"/>
      <c r="B23" s="3"/>
      <c r="C23" s="3"/>
      <c r="D23" s="3"/>
      <c r="E23" s="3"/>
      <c r="F23" s="3"/>
      <c r="G23" s="3"/>
      <c r="H23" s="3"/>
      <c r="I23" s="3"/>
      <c r="J23" s="3"/>
      <c r="K23" s="3"/>
      <c r="L23" s="3"/>
      <c r="M23" s="3"/>
    </row>
    <row r="24" spans="1:35" ht="15" thickBot="1">
      <c r="A24" s="3"/>
      <c r="B24" s="281" t="s">
        <v>398</v>
      </c>
      <c r="C24" s="386"/>
      <c r="D24" s="702" t="s">
        <v>399</v>
      </c>
      <c r="E24" s="702"/>
      <c r="F24" s="387"/>
      <c r="G24" s="702" t="s">
        <v>400</v>
      </c>
      <c r="H24" s="702"/>
      <c r="I24" s="694"/>
      <c r="J24" s="695"/>
      <c r="K24" s="3"/>
      <c r="L24" s="3"/>
      <c r="M24" s="3"/>
      <c r="N24" s="20"/>
    </row>
    <row r="25" spans="1:35" ht="19" thickBot="1">
      <c r="A25" s="3"/>
      <c r="B25" s="87" t="s">
        <v>398</v>
      </c>
      <c r="C25" s="88"/>
      <c r="D25" s="88"/>
      <c r="E25" s="88"/>
      <c r="F25" s="88"/>
      <c r="G25" s="88"/>
      <c r="H25" s="269"/>
      <c r="I25" s="89"/>
      <c r="J25" s="89"/>
      <c r="K25" s="269" t="s">
        <v>326</v>
      </c>
      <c r="L25" s="88"/>
      <c r="M25" s="88"/>
      <c r="N25" s="396"/>
      <c r="O25" s="40"/>
      <c r="AI25" s="44"/>
    </row>
    <row r="26" spans="1:35">
      <c r="A26" s="3"/>
      <c r="B26" s="707" t="s">
        <v>369</v>
      </c>
      <c r="C26" s="708"/>
      <c r="D26" s="406" t="s">
        <v>18</v>
      </c>
      <c r="E26" s="91"/>
      <c r="F26" s="91"/>
      <c r="G26" s="91"/>
      <c r="H26" s="91"/>
      <c r="I26" s="91"/>
      <c r="J26" s="92"/>
      <c r="K26" s="91"/>
      <c r="L26" s="91"/>
      <c r="M26" s="91"/>
      <c r="N26" s="40"/>
      <c r="O26" s="40"/>
      <c r="AI26" s="44"/>
    </row>
    <row r="27" spans="1:35" ht="18.5">
      <c r="A27" s="3"/>
      <c r="B27" s="90" t="s">
        <v>379</v>
      </c>
      <c r="C27" s="91"/>
      <c r="D27" s="91"/>
      <c r="E27" s="91"/>
      <c r="F27" s="91"/>
      <c r="G27" s="91"/>
      <c r="H27" s="91"/>
      <c r="I27" s="91"/>
      <c r="J27" s="92"/>
      <c r="K27" s="91"/>
      <c r="L27" s="91"/>
      <c r="M27" s="91"/>
      <c r="N27" s="40"/>
      <c r="O27" s="40"/>
      <c r="AI27" s="44"/>
    </row>
    <row r="28" spans="1:35" ht="15" thickBot="1">
      <c r="A28" s="3"/>
      <c r="B28" s="3"/>
      <c r="C28" s="3"/>
      <c r="D28" s="3"/>
      <c r="E28" s="3"/>
      <c r="F28" s="3"/>
      <c r="G28" s="3"/>
      <c r="H28" s="3"/>
      <c r="I28" s="3"/>
      <c r="J28" s="3"/>
      <c r="K28" s="3"/>
      <c r="L28" s="3"/>
      <c r="M28" s="3"/>
    </row>
    <row r="29" spans="1:35" ht="15" thickBot="1">
      <c r="A29" s="3"/>
      <c r="B29" s="748" t="s">
        <v>59</v>
      </c>
      <c r="C29" s="749"/>
      <c r="D29" s="749"/>
      <c r="E29" s="749"/>
      <c r="F29" s="749"/>
      <c r="G29" s="749"/>
      <c r="H29" s="749"/>
      <c r="I29" s="749"/>
      <c r="J29" s="749"/>
      <c r="K29" s="749"/>
      <c r="L29" s="749"/>
      <c r="M29" s="749"/>
      <c r="N29" s="750"/>
      <c r="P29" s="207"/>
      <c r="Q29" s="208"/>
      <c r="R29" s="209">
        <f>+C33</f>
        <v>1753207.6497905985</v>
      </c>
      <c r="S29" s="207"/>
    </row>
    <row r="30" spans="1:35">
      <c r="A30" s="3"/>
      <c r="B30" s="93" t="s">
        <v>267</v>
      </c>
      <c r="C30" s="365" t="s">
        <v>105</v>
      </c>
      <c r="D30" s="365" t="s">
        <v>106</v>
      </c>
      <c r="E30" s="365" t="s">
        <v>107</v>
      </c>
      <c r="F30" s="365" t="s">
        <v>108</v>
      </c>
      <c r="G30" s="365" t="s">
        <v>120</v>
      </c>
      <c r="H30" s="365" t="s">
        <v>121</v>
      </c>
      <c r="I30" s="365" t="s">
        <v>122</v>
      </c>
      <c r="J30" s="365" t="s">
        <v>123</v>
      </c>
      <c r="K30" s="365" t="s">
        <v>124</v>
      </c>
      <c r="L30" s="365" t="s">
        <v>125</v>
      </c>
      <c r="M30" s="365" t="s">
        <v>126</v>
      </c>
      <c r="N30" s="366" t="s">
        <v>287</v>
      </c>
      <c r="O30" s="367" t="s">
        <v>4</v>
      </c>
      <c r="P30" s="207"/>
      <c r="Q30" s="208"/>
      <c r="R30" s="209">
        <f>+D33</f>
        <v>3401736.7922998201</v>
      </c>
      <c r="S30" s="207"/>
    </row>
    <row r="31" spans="1:35">
      <c r="A31" s="3"/>
      <c r="B31" s="277" t="str">
        <f>CONCATENATE("Budget (in ",'Data Entry'!$D$26,")")</f>
        <v>Budget (in $)</v>
      </c>
      <c r="C31" s="377">
        <v>1753207.6497905985</v>
      </c>
      <c r="D31" s="376">
        <v>1648529.1425092216</v>
      </c>
      <c r="E31" s="376">
        <v>1203101.8906006217</v>
      </c>
      <c r="F31" s="376">
        <v>2402502.8144092588</v>
      </c>
      <c r="G31" s="376">
        <v>1065334.1015531267</v>
      </c>
      <c r="H31" s="376">
        <v>1449595.2447173872</v>
      </c>
      <c r="I31" s="376">
        <v>1017485.3641301848</v>
      </c>
      <c r="J31" s="376">
        <v>1381972.709636864</v>
      </c>
      <c r="K31" s="376">
        <v>1452287.9958838769</v>
      </c>
      <c r="L31" s="376">
        <v>1418021.7081180084</v>
      </c>
      <c r="M31" s="376">
        <v>1678154.3460412242</v>
      </c>
      <c r="N31" s="376">
        <v>1491991.025319383</v>
      </c>
      <c r="O31" s="685">
        <f>+SUM(C35:N35)</f>
        <v>0.96366220316111528</v>
      </c>
      <c r="P31" s="207"/>
      <c r="Q31" s="208"/>
      <c r="R31" s="209">
        <f>+E33</f>
        <v>4604838.6829004418</v>
      </c>
      <c r="S31" s="207"/>
    </row>
    <row r="32" spans="1:35">
      <c r="A32" s="3"/>
      <c r="B32" s="93" t="str">
        <f>CONCATENATE("Disbursements by GF (in ", $D$26,")")</f>
        <v>Disbursements by GF (in $)</v>
      </c>
      <c r="C32" s="377">
        <f>1284254+627977.72</f>
        <v>1912231.72</v>
      </c>
      <c r="D32" s="377">
        <v>2063549.52</v>
      </c>
      <c r="E32" s="377">
        <v>1240552.1499999999</v>
      </c>
      <c r="F32" s="376">
        <v>2624740.4699999997</v>
      </c>
      <c r="G32" s="377">
        <v>160958.97999999998</v>
      </c>
      <c r="H32" s="377">
        <v>1362781.42</v>
      </c>
      <c r="I32" s="515">
        <f>816070.3</f>
        <v>816070.3</v>
      </c>
      <c r="J32" s="515">
        <f>1865698.14</f>
        <v>1865698.14</v>
      </c>
      <c r="K32" s="515">
        <v>1436247.95</v>
      </c>
      <c r="L32" s="515">
        <v>1697024.4</v>
      </c>
      <c r="M32" s="376">
        <v>1013726.22</v>
      </c>
      <c r="N32" s="376">
        <v>1115896.53</v>
      </c>
      <c r="O32" s="686"/>
      <c r="P32" s="207"/>
      <c r="Q32" s="208"/>
      <c r="R32" s="209">
        <f>+F33</f>
        <v>7007341.4973097006</v>
      </c>
      <c r="S32" s="207"/>
    </row>
    <row r="33" spans="1:35">
      <c r="A33" s="3"/>
      <c r="B33" s="94" t="s">
        <v>385</v>
      </c>
      <c r="C33" s="378">
        <f>+C31</f>
        <v>1753207.6497905985</v>
      </c>
      <c r="D33" s="378">
        <f>IF(AND(D31=0,D32=0),0,+C33+D31)</f>
        <v>3401736.7922998201</v>
      </c>
      <c r="E33" s="378">
        <f t="shared" ref="E33:N33" si="0">IF(AND(E31=0,E32=0),0,+D33+E31)</f>
        <v>4604838.6829004418</v>
      </c>
      <c r="F33" s="378">
        <f t="shared" si="0"/>
        <v>7007341.4973097006</v>
      </c>
      <c r="G33" s="378">
        <f t="shared" si="0"/>
        <v>8072675.5988628268</v>
      </c>
      <c r="H33" s="378">
        <f t="shared" si="0"/>
        <v>9522270.8435802143</v>
      </c>
      <c r="I33" s="378">
        <f t="shared" si="0"/>
        <v>10539756.207710398</v>
      </c>
      <c r="J33" s="378">
        <f t="shared" si="0"/>
        <v>11921728.917347262</v>
      </c>
      <c r="K33" s="378">
        <f t="shared" si="0"/>
        <v>13374016.913231138</v>
      </c>
      <c r="L33" s="378">
        <f t="shared" si="0"/>
        <v>14792038.621349147</v>
      </c>
      <c r="M33" s="378">
        <f t="shared" si="0"/>
        <v>16470192.967390371</v>
      </c>
      <c r="N33" s="378">
        <f t="shared" si="0"/>
        <v>17962183.992709756</v>
      </c>
      <c r="O33" s="686"/>
      <c r="P33" s="359"/>
      <c r="Q33" s="208"/>
      <c r="R33" s="209">
        <f>+G33</f>
        <v>8072675.5988628268</v>
      </c>
      <c r="S33" s="207"/>
    </row>
    <row r="34" spans="1:35" ht="15" thickBot="1">
      <c r="A34" s="3"/>
      <c r="B34" s="95" t="s">
        <v>386</v>
      </c>
      <c r="C34" s="379">
        <f>+C32</f>
        <v>1912231.72</v>
      </c>
      <c r="D34" s="379">
        <f>IF(AND(D31=0,D32=0),0,+C34+D32)</f>
        <v>3975781.24</v>
      </c>
      <c r="E34" s="379">
        <f t="shared" ref="E34:N34" si="1">IF(AND(E31=0,E32=0),0,+D34+E32)</f>
        <v>5216333.3900000006</v>
      </c>
      <c r="F34" s="379">
        <f t="shared" si="1"/>
        <v>7841073.8600000003</v>
      </c>
      <c r="G34" s="379">
        <f>IF(AND(G31=0,G32=0),0,+F34+G32)</f>
        <v>8002032.8399999999</v>
      </c>
      <c r="H34" s="379">
        <f t="shared" si="1"/>
        <v>9364814.2599999998</v>
      </c>
      <c r="I34" s="379">
        <f t="shared" si="1"/>
        <v>10180884.560000001</v>
      </c>
      <c r="J34" s="379">
        <f t="shared" si="1"/>
        <v>12046582.700000001</v>
      </c>
      <c r="K34" s="379">
        <f t="shared" si="1"/>
        <v>13482830.65</v>
      </c>
      <c r="L34" s="379">
        <f t="shared" si="1"/>
        <v>15179855.050000001</v>
      </c>
      <c r="M34" s="379">
        <f>IF(AND(M31=0,M32=0),0,+L34+M32)</f>
        <v>16193581.270000001</v>
      </c>
      <c r="N34" s="379">
        <f t="shared" si="1"/>
        <v>17309477.800000001</v>
      </c>
      <c r="O34" s="687"/>
      <c r="P34" s="359"/>
      <c r="Q34" s="208"/>
      <c r="R34" s="209">
        <f>+H33</f>
        <v>9522270.8435802143</v>
      </c>
      <c r="S34" s="207"/>
    </row>
    <row r="35" spans="1:35">
      <c r="A35" s="3"/>
      <c r="B35" s="3"/>
      <c r="C35" s="339">
        <f>+IF(AND(C30=$C$16,C33&lt;&gt;0),C34/C33,0)</f>
        <v>0</v>
      </c>
      <c r="D35" s="339">
        <f t="shared" ref="D35:N35" si="2">+IF(AND(D30=$C$16,D33&lt;&gt;0),D34/D33,0)</f>
        <v>0</v>
      </c>
      <c r="E35" s="339">
        <f t="shared" si="2"/>
        <v>0</v>
      </c>
      <c r="F35" s="339">
        <f t="shared" si="2"/>
        <v>0</v>
      </c>
      <c r="G35" s="339">
        <f t="shared" si="2"/>
        <v>0</v>
      </c>
      <c r="H35" s="339">
        <f t="shared" si="2"/>
        <v>0</v>
      </c>
      <c r="I35" s="339">
        <f t="shared" si="2"/>
        <v>0</v>
      </c>
      <c r="J35" s="339">
        <f t="shared" si="2"/>
        <v>0</v>
      </c>
      <c r="K35" s="339">
        <f t="shared" si="2"/>
        <v>0</v>
      </c>
      <c r="L35" s="339">
        <f t="shared" si="2"/>
        <v>0</v>
      </c>
      <c r="M35" s="339">
        <f t="shared" si="2"/>
        <v>0</v>
      </c>
      <c r="N35" s="339">
        <f t="shared" si="2"/>
        <v>0.96366220316111528</v>
      </c>
      <c r="O35" s="289"/>
      <c r="P35" s="210"/>
      <c r="Q35" s="211"/>
      <c r="R35" s="209">
        <f>+I33</f>
        <v>10539756.207710398</v>
      </c>
      <c r="S35" s="207"/>
    </row>
    <row r="36" spans="1:35" ht="18.5">
      <c r="A36" s="3"/>
      <c r="B36" s="90" t="s">
        <v>378</v>
      </c>
      <c r="C36" s="3"/>
      <c r="D36" s="3"/>
      <c r="E36" s="353"/>
      <c r="F36" s="3"/>
      <c r="G36" s="260"/>
      <c r="H36" s="3"/>
      <c r="I36" s="3"/>
      <c r="J36" s="3"/>
      <c r="K36" s="3"/>
      <c r="L36" s="3"/>
      <c r="M36" s="3"/>
      <c r="N36" s="41"/>
      <c r="O36" s="41"/>
      <c r="AI36" s="20"/>
    </row>
    <row r="37" spans="1:35" ht="15" thickBot="1">
      <c r="A37" s="3"/>
      <c r="B37" s="3"/>
      <c r="C37" s="3"/>
      <c r="D37" s="3"/>
      <c r="E37" s="3"/>
      <c r="F37" s="3"/>
      <c r="G37" s="3"/>
      <c r="H37" s="3"/>
      <c r="I37" s="3"/>
      <c r="J37" s="3"/>
      <c r="K37" s="3"/>
      <c r="L37" s="3"/>
      <c r="M37" s="3"/>
      <c r="N37" s="39"/>
      <c r="O37" s="39"/>
    </row>
    <row r="38" spans="1:35" ht="30" customHeight="1">
      <c r="A38" s="3"/>
      <c r="B38" s="388" t="s">
        <v>401</v>
      </c>
      <c r="C38" s="389" t="str">
        <f>CONCATENATE("Cumulative Budget (in ",'Data Entry'!$D$26,")")</f>
        <v>Cumulative Budget (in $)</v>
      </c>
      <c r="D38" s="390" t="str">
        <f>CONCATENATE("Cumulative Expenditures (in ",'Data Entry'!$D$26,")")</f>
        <v>Cumulative Expenditures (in $)</v>
      </c>
      <c r="G38" s="3"/>
      <c r="H38" s="3"/>
      <c r="I38" s="3"/>
      <c r="J38" s="101"/>
      <c r="K38" s="42"/>
      <c r="N38"/>
      <c r="O38"/>
      <c r="AE38" s="20"/>
      <c r="AF38" s="36"/>
    </row>
    <row r="39" spans="1:35" ht="30" customHeight="1">
      <c r="A39" s="3"/>
      <c r="B39" s="391" t="s">
        <v>464</v>
      </c>
      <c r="C39" s="469">
        <v>1741903.0275764235</v>
      </c>
      <c r="D39" s="470">
        <v>1534389.9817185295</v>
      </c>
      <c r="E39" s="527"/>
      <c r="F39" s="231"/>
      <c r="G39" s="360"/>
      <c r="H39" s="3"/>
      <c r="I39" s="201"/>
      <c r="J39" s="102"/>
      <c r="K39" s="43"/>
      <c r="N39"/>
      <c r="O39"/>
      <c r="AE39" s="20"/>
      <c r="AF39" s="36"/>
    </row>
    <row r="40" spans="1:35" ht="27" customHeight="1">
      <c r="A40" s="3"/>
      <c r="B40" s="391" t="s">
        <v>465</v>
      </c>
      <c r="C40" s="469">
        <v>1055637.0045745978</v>
      </c>
      <c r="D40" s="470">
        <v>883215.67469442647</v>
      </c>
      <c r="E40" s="527"/>
      <c r="F40" s="231"/>
      <c r="G40" s="360"/>
      <c r="H40" s="3"/>
      <c r="I40" s="201"/>
      <c r="J40" s="3"/>
      <c r="K40" s="43"/>
      <c r="N40"/>
      <c r="O40"/>
      <c r="AE40" s="20"/>
      <c r="AF40" s="36"/>
    </row>
    <row r="41" spans="1:35" ht="29" customHeight="1">
      <c r="A41" s="3"/>
      <c r="B41" s="391" t="s">
        <v>466</v>
      </c>
      <c r="C41" s="469">
        <v>6178916.4567774143</v>
      </c>
      <c r="D41" s="470">
        <f>5568477.76333303-1022.78</f>
        <v>5567454.9833330298</v>
      </c>
      <c r="E41" s="527"/>
      <c r="F41" s="231"/>
      <c r="G41" s="360"/>
      <c r="H41" s="3"/>
      <c r="I41" s="201"/>
      <c r="J41" s="3"/>
      <c r="K41" s="43"/>
      <c r="N41"/>
      <c r="O41"/>
      <c r="AE41" s="20"/>
      <c r="AF41" s="36"/>
    </row>
    <row r="42" spans="1:35" ht="30" customHeight="1">
      <c r="A42" s="3"/>
      <c r="B42" s="391" t="s">
        <v>467</v>
      </c>
      <c r="C42" s="469">
        <v>211917.96969559696</v>
      </c>
      <c r="D42" s="470">
        <v>166259.67432590187</v>
      </c>
      <c r="E42" s="527"/>
      <c r="F42" s="231"/>
      <c r="G42" s="360"/>
      <c r="H42" s="3"/>
      <c r="I42" s="201"/>
      <c r="J42" s="3"/>
      <c r="K42" s="20"/>
      <c r="N42"/>
      <c r="O42"/>
      <c r="AE42" s="20"/>
      <c r="AF42" s="36"/>
    </row>
    <row r="43" spans="1:35">
      <c r="A43" s="3"/>
      <c r="B43" s="392" t="s">
        <v>419</v>
      </c>
      <c r="C43" s="469">
        <v>6152441.0630188268</v>
      </c>
      <c r="D43" s="470">
        <v>5593940.3347174497</v>
      </c>
      <c r="E43" s="527"/>
      <c r="F43" s="231"/>
      <c r="G43" s="360"/>
      <c r="H43" s="3"/>
      <c r="I43" s="201"/>
      <c r="J43" s="3"/>
      <c r="K43" s="20"/>
      <c r="N43"/>
      <c r="O43"/>
      <c r="AE43" s="20"/>
      <c r="AF43" s="36"/>
    </row>
    <row r="44" spans="1:35">
      <c r="A44" s="3"/>
      <c r="B44" s="392" t="s">
        <v>468</v>
      </c>
      <c r="C44" s="469">
        <v>574528.99723115994</v>
      </c>
      <c r="D44" s="470">
        <v>502515.68941586057</v>
      </c>
      <c r="E44" s="527"/>
      <c r="F44" s="231"/>
      <c r="G44" s="360"/>
      <c r="H44" s="3"/>
      <c r="I44" s="201"/>
      <c r="J44" s="3"/>
      <c r="K44" s="20"/>
      <c r="N44"/>
      <c r="O44"/>
      <c r="AE44" s="20"/>
      <c r="AF44" s="36"/>
    </row>
    <row r="45" spans="1:35" ht="29">
      <c r="A45" s="3"/>
      <c r="B45" s="391" t="s">
        <v>469</v>
      </c>
      <c r="C45" s="469">
        <v>495799.80786621501</v>
      </c>
      <c r="D45" s="470">
        <v>356584.74401097582</v>
      </c>
      <c r="E45" s="527"/>
      <c r="F45" s="231"/>
      <c r="G45" s="360"/>
      <c r="H45" s="15"/>
      <c r="I45" s="201"/>
      <c r="J45" s="15"/>
      <c r="K45" s="20"/>
      <c r="N45"/>
      <c r="O45"/>
      <c r="AE45" s="36"/>
      <c r="AF45" s="36"/>
    </row>
    <row r="46" spans="1:35">
      <c r="A46" s="3"/>
      <c r="B46" s="393" t="s">
        <v>420</v>
      </c>
      <c r="C46" s="469">
        <v>1118459.5019435394</v>
      </c>
      <c r="D46" s="470">
        <v>991318.21604001324</v>
      </c>
      <c r="E46" s="527"/>
      <c r="F46" s="231"/>
      <c r="G46" s="360"/>
      <c r="H46" s="15"/>
      <c r="I46" s="201"/>
      <c r="J46" s="15"/>
      <c r="K46" s="20"/>
      <c r="N46"/>
      <c r="O46"/>
      <c r="AE46" s="36"/>
      <c r="AF46" s="36"/>
    </row>
    <row r="47" spans="1:35" ht="14.25" customHeight="1">
      <c r="A47" s="3"/>
      <c r="B47" s="393" t="s">
        <v>461</v>
      </c>
      <c r="C47" s="469">
        <v>51625.74</v>
      </c>
      <c r="D47" s="470">
        <v>15548.589525680054</v>
      </c>
      <c r="E47" s="527"/>
      <c r="F47" s="231"/>
      <c r="G47" s="360"/>
      <c r="H47" s="15"/>
      <c r="I47" s="201"/>
      <c r="J47" s="15"/>
      <c r="K47" s="20"/>
      <c r="N47"/>
      <c r="O47"/>
      <c r="AE47" s="36"/>
      <c r="AF47" s="36"/>
    </row>
    <row r="48" spans="1:35">
      <c r="A48" s="3"/>
      <c r="B48" s="393" t="s">
        <v>462</v>
      </c>
      <c r="C48" s="469">
        <v>24991.532286198137</v>
      </c>
      <c r="D48" s="470">
        <v>19596.669629266573</v>
      </c>
      <c r="E48" s="527"/>
      <c r="F48" s="231"/>
      <c r="G48" s="360"/>
      <c r="H48" s="15"/>
      <c r="I48" s="201"/>
      <c r="J48" s="15"/>
      <c r="K48" s="20"/>
      <c r="N48"/>
      <c r="O48"/>
      <c r="AE48" s="36"/>
      <c r="AF48" s="36"/>
    </row>
    <row r="49" spans="1:35" ht="15" thickBot="1">
      <c r="A49" s="3"/>
      <c r="B49" s="393" t="s">
        <v>463</v>
      </c>
      <c r="C49" s="469">
        <v>355962.88569856051</v>
      </c>
      <c r="D49" s="470">
        <v>136711.75691206474</v>
      </c>
      <c r="E49" s="527"/>
      <c r="F49" s="231"/>
      <c r="G49" s="360"/>
      <c r="H49" s="15"/>
      <c r="I49" s="201"/>
      <c r="J49" s="15"/>
      <c r="K49" s="20"/>
      <c r="N49"/>
      <c r="O49"/>
      <c r="AE49" s="36"/>
      <c r="AF49" s="36"/>
    </row>
    <row r="50" spans="1:35" ht="15" thickBot="1">
      <c r="A50" s="3"/>
      <c r="B50" s="394" t="s">
        <v>58</v>
      </c>
      <c r="C50" s="471">
        <f>SUM(C39:C49)</f>
        <v>17962183.986668527</v>
      </c>
      <c r="D50" s="471">
        <f>SUM(D39:D49)</f>
        <v>15767536.314323198</v>
      </c>
      <c r="E50" s="289"/>
      <c r="F50" s="691" t="str">
        <f ca="1">+IF((ROUND(C50,0)=ROUND(OFFSET(B33,0,RIGHT('Data Entry'!$C$16,LEN('Data Entry'!$C$16)-1),1,1),0)),"OK: Data match","Warning: Data does not match")</f>
        <v>OK: Data match</v>
      </c>
      <c r="G50" s="692"/>
      <c r="H50" s="692"/>
      <c r="I50" s="693"/>
      <c r="J50" s="201"/>
      <c r="K50" s="201"/>
      <c r="L50" s="201"/>
      <c r="M50" s="210"/>
      <c r="N50" s="211"/>
      <c r="O50" s="209"/>
      <c r="P50" s="207"/>
      <c r="AE50" s="36"/>
      <c r="AF50" s="36"/>
    </row>
    <row r="51" spans="1:35">
      <c r="A51" s="3"/>
      <c r="B51" s="3"/>
      <c r="C51" s="201"/>
      <c r="D51" s="201"/>
      <c r="E51" s="272"/>
      <c r="F51" s="201"/>
      <c r="G51" s="201"/>
      <c r="H51" s="201"/>
      <c r="I51" s="201"/>
      <c r="J51" s="201"/>
      <c r="K51" s="201"/>
      <c r="L51" s="201"/>
      <c r="M51" s="201"/>
      <c r="N51" s="201"/>
      <c r="O51" s="201"/>
      <c r="P51" s="210"/>
      <c r="Q51" s="211"/>
      <c r="R51" s="209"/>
      <c r="S51" s="207"/>
    </row>
    <row r="52" spans="1:35" ht="18.5">
      <c r="A52" s="3"/>
      <c r="B52" s="90" t="s">
        <v>377</v>
      </c>
      <c r="C52" s="3"/>
      <c r="D52" s="3"/>
      <c r="E52" s="3"/>
      <c r="F52" s="3"/>
      <c r="G52" s="3"/>
      <c r="H52" s="3"/>
      <c r="I52" s="3"/>
      <c r="J52" s="3"/>
      <c r="K52" s="3"/>
      <c r="L52" s="3"/>
      <c r="M52" s="3"/>
      <c r="P52" s="207"/>
      <c r="Q52" s="208"/>
      <c r="R52" s="209">
        <f>+J33</f>
        <v>11921728.917347262</v>
      </c>
      <c r="S52" s="207"/>
    </row>
    <row r="53" spans="1:35" ht="15" thickBot="1">
      <c r="A53" s="3"/>
      <c r="B53" s="3"/>
      <c r="C53" s="3"/>
      <c r="D53" s="3"/>
      <c r="E53" s="3"/>
      <c r="F53" s="201"/>
      <c r="G53" s="3"/>
      <c r="H53" s="3"/>
      <c r="I53" s="3"/>
      <c r="J53" s="3"/>
      <c r="K53" s="3"/>
      <c r="L53" s="3"/>
      <c r="M53" s="3"/>
      <c r="P53" s="207"/>
      <c r="Q53" s="208"/>
      <c r="R53" s="209">
        <f>+K33</f>
        <v>13374016.913231138</v>
      </c>
      <c r="S53" s="207"/>
    </row>
    <row r="54" spans="1:35" ht="35.25" customHeight="1">
      <c r="A54" s="3"/>
      <c r="B54" s="294"/>
      <c r="C54" s="295" t="s">
        <v>375</v>
      </c>
      <c r="D54" s="295" t="s">
        <v>376</v>
      </c>
      <c r="E54" s="402" t="str">
        <f>CONCATENATE("Total Spent and Disbursement (in ",D26,")")</f>
        <v>Total Spent and Disbursement (in $)</v>
      </c>
      <c r="F54" s="3"/>
      <c r="G54" s="297"/>
      <c r="H54" s="291"/>
      <c r="I54" s="278"/>
      <c r="J54" s="278"/>
      <c r="K54" s="278"/>
      <c r="L54" s="278"/>
      <c r="M54" s="22"/>
      <c r="N54" s="22"/>
      <c r="O54" s="207"/>
      <c r="P54" s="208"/>
      <c r="Q54" s="209">
        <f>+M33</f>
        <v>16470192.967390371</v>
      </c>
      <c r="R54" s="207"/>
      <c r="AH54" s="20"/>
    </row>
    <row r="55" spans="1:35">
      <c r="A55" s="3"/>
      <c r="B55" s="292" t="s">
        <v>311</v>
      </c>
      <c r="C55" s="380">
        <f>C32+D32+E32+F32+G32+H32+I32+J32+K32+L32+M32</f>
        <v>16193581.270000001</v>
      </c>
      <c r="D55" s="381">
        <f>N32</f>
        <v>1115896.53</v>
      </c>
      <c r="E55" s="382">
        <f>+D55+C55</f>
        <v>17309477.800000001</v>
      </c>
      <c r="F55" s="3"/>
      <c r="G55" s="97"/>
      <c r="H55" s="296"/>
      <c r="I55" s="96"/>
      <c r="J55" s="204"/>
      <c r="K55" s="205"/>
      <c r="L55" s="98"/>
      <c r="M55" s="37"/>
      <c r="N55" s="37"/>
      <c r="O55" s="207"/>
      <c r="P55" s="207"/>
      <c r="Q55" s="207"/>
      <c r="R55" s="207"/>
      <c r="AH55" s="20"/>
    </row>
    <row r="56" spans="1:35">
      <c r="A56" s="3"/>
      <c r="B56" s="292" t="s">
        <v>290</v>
      </c>
      <c r="C56" s="530">
        <f>(703487.022184008+324022+486657.600967515+502177+724933+869904)+265380+627790+280383+677169.710278678-17837+25960.68-33565.54+204569</f>
        <v>5641030.4734302005</v>
      </c>
      <c r="D56" s="530">
        <v>853515.53663680039</v>
      </c>
      <c r="E56" s="382">
        <f>+D56+C56</f>
        <v>6494546.010067001</v>
      </c>
      <c r="F56" s="3"/>
      <c r="G56" s="3"/>
      <c r="H56" s="296"/>
      <c r="I56" s="96"/>
      <c r="J56" s="204"/>
      <c r="K56" s="204"/>
      <c r="L56" s="98"/>
      <c r="M56" s="38"/>
      <c r="N56" s="38"/>
      <c r="O56" s="207"/>
      <c r="P56" s="207"/>
      <c r="Q56" s="207"/>
      <c r="R56" s="207"/>
      <c r="AH56" s="20"/>
    </row>
    <row r="57" spans="1:35">
      <c r="A57" s="3"/>
      <c r="B57" s="292" t="s">
        <v>269</v>
      </c>
      <c r="C57" s="531">
        <f>(507991.098523064+830667+889412.602206352+996498+789637+724509)+742036+744440+742638+761546.201471184+17837-25960.68+32541.47+720807</f>
        <v>8474599.6922006011</v>
      </c>
      <c r="D57" s="530">
        <v>798390.61102648848</v>
      </c>
      <c r="E57" s="382">
        <f>+D57+C57</f>
        <v>9272990.3032270893</v>
      </c>
      <c r="F57" s="201"/>
      <c r="G57" s="3"/>
      <c r="H57" s="296"/>
      <c r="I57" s="96"/>
      <c r="J57" s="204"/>
      <c r="K57" s="205"/>
      <c r="L57" s="98"/>
      <c r="M57" s="37"/>
      <c r="N57" s="37"/>
      <c r="O57"/>
      <c r="AH57" s="20"/>
    </row>
    <row r="58" spans="1:35" ht="15" thickBot="1">
      <c r="A58" s="3"/>
      <c r="B58" s="293" t="s">
        <v>270</v>
      </c>
      <c r="C58" s="531">
        <f>6225190.70072942+244860+731220+665752+737765.76</f>
        <v>8604788.4607294202</v>
      </c>
      <c r="D58" s="530">
        <f>905298.37249767+32541</f>
        <v>937839.37249767</v>
      </c>
      <c r="E58" s="383">
        <f>+D58+C58</f>
        <v>9542627.8332270905</v>
      </c>
      <c r="F58" s="201"/>
      <c r="G58" s="201"/>
      <c r="H58" s="532"/>
      <c r="I58" s="99"/>
      <c r="J58" s="99"/>
      <c r="K58" s="99"/>
      <c r="L58" s="98"/>
      <c r="M58" s="38"/>
      <c r="N58" s="38"/>
      <c r="O58"/>
      <c r="AH58" s="20"/>
    </row>
    <row r="59" spans="1:35" ht="15.75" customHeight="1">
      <c r="A59" s="3"/>
      <c r="B59" s="3"/>
      <c r="C59" s="3"/>
      <c r="D59" s="3"/>
      <c r="E59" s="3"/>
      <c r="F59" s="3"/>
      <c r="G59" s="3"/>
      <c r="H59" s="3"/>
      <c r="I59" s="3"/>
      <c r="J59" s="3"/>
      <c r="K59" s="3"/>
      <c r="L59" s="3"/>
      <c r="M59" s="3"/>
      <c r="AI59" s="20"/>
    </row>
    <row r="60" spans="1:35">
      <c r="A60" s="3"/>
      <c r="B60" s="3"/>
      <c r="C60" s="3"/>
      <c r="D60" s="276"/>
      <c r="E60" s="3"/>
      <c r="F60" s="3"/>
      <c r="G60" s="3"/>
      <c r="H60" s="3"/>
      <c r="I60" s="3"/>
      <c r="J60" s="3"/>
      <c r="K60" s="3"/>
      <c r="L60" s="3"/>
      <c r="M60" s="3"/>
    </row>
    <row r="61" spans="1:35" ht="18.5">
      <c r="A61" s="3"/>
      <c r="B61" s="90" t="s">
        <v>380</v>
      </c>
      <c r="C61" s="3"/>
      <c r="D61" s="3"/>
      <c r="E61" s="3"/>
      <c r="F61" s="3"/>
      <c r="G61" s="3"/>
      <c r="H61" s="3"/>
      <c r="I61" s="3"/>
      <c r="J61" s="3"/>
      <c r="K61" s="3"/>
      <c r="L61" s="3"/>
      <c r="M61" s="3"/>
    </row>
    <row r="62" spans="1:35" ht="15" thickBot="1">
      <c r="A62" s="3"/>
      <c r="B62" s="3"/>
      <c r="C62" s="3"/>
      <c r="D62" s="3"/>
      <c r="E62" s="3"/>
      <c r="F62" s="3"/>
      <c r="G62" s="3"/>
      <c r="H62" s="3"/>
      <c r="I62" s="3"/>
      <c r="J62" s="3"/>
      <c r="K62" s="3"/>
      <c r="L62" s="3"/>
      <c r="M62" s="3"/>
    </row>
    <row r="63" spans="1:35">
      <c r="A63" s="3"/>
      <c r="B63" s="757" t="s">
        <v>346</v>
      </c>
      <c r="C63" s="758"/>
      <c r="D63" s="759"/>
      <c r="E63" s="3"/>
      <c r="F63" s="3"/>
      <c r="G63" s="3"/>
      <c r="H63" s="3"/>
      <c r="I63" s="3"/>
      <c r="J63" s="3"/>
      <c r="K63" s="3"/>
      <c r="L63" s="3"/>
      <c r="M63" s="36"/>
      <c r="O63"/>
    </row>
    <row r="64" spans="1:35">
      <c r="A64" s="3"/>
      <c r="B64" s="103"/>
      <c r="C64" s="299" t="s">
        <v>60</v>
      </c>
      <c r="D64" s="300" t="s">
        <v>61</v>
      </c>
      <c r="E64" s="3"/>
      <c r="F64" s="3"/>
      <c r="G64" s="3"/>
      <c r="H64" s="3"/>
      <c r="I64" s="3"/>
      <c r="J64" s="3"/>
      <c r="K64" s="3"/>
      <c r="L64" s="3"/>
      <c r="M64" s="36"/>
      <c r="O64"/>
    </row>
    <row r="65" spans="1:30">
      <c r="A65" s="3"/>
      <c r="B65" s="104" t="s">
        <v>1</v>
      </c>
      <c r="C65" s="361">
        <v>60</v>
      </c>
      <c r="D65" s="362">
        <v>60</v>
      </c>
      <c r="E65" s="528"/>
      <c r="F65" s="3"/>
      <c r="G65" s="3"/>
      <c r="H65" s="3"/>
      <c r="I65" s="3"/>
      <c r="J65" s="3"/>
      <c r="K65" s="3"/>
      <c r="L65" s="3"/>
      <c r="M65" s="36"/>
      <c r="O65"/>
    </row>
    <row r="66" spans="1:30">
      <c r="A66" s="3"/>
      <c r="B66" s="298" t="s">
        <v>363</v>
      </c>
      <c r="C66" s="361">
        <v>45</v>
      </c>
      <c r="D66" s="362">
        <v>15</v>
      </c>
      <c r="E66" s="3"/>
      <c r="F66" s="3"/>
      <c r="G66" s="3"/>
      <c r="H66" s="296"/>
      <c r="I66" s="296"/>
      <c r="J66" s="3"/>
      <c r="K66" s="3"/>
      <c r="L66" s="3"/>
      <c r="M66" s="36"/>
      <c r="O66"/>
    </row>
    <row r="67" spans="1:30" ht="15" thickBot="1">
      <c r="A67" s="3"/>
      <c r="B67" s="105" t="s">
        <v>364</v>
      </c>
      <c r="C67" s="363">
        <v>5</v>
      </c>
      <c r="D67" s="364">
        <v>5</v>
      </c>
      <c r="E67" s="3"/>
      <c r="F67" s="3"/>
      <c r="G67" s="3"/>
      <c r="H67" s="296"/>
      <c r="I67" s="296"/>
      <c r="J67" s="3"/>
      <c r="K67" s="3"/>
      <c r="L67" s="3"/>
      <c r="M67" s="36"/>
      <c r="O67"/>
    </row>
    <row r="68" spans="1:30">
      <c r="A68" s="3"/>
      <c r="B68" s="3"/>
      <c r="C68" s="3"/>
      <c r="D68" s="3"/>
      <c r="E68" s="3"/>
      <c r="F68" s="3"/>
      <c r="G68" s="3"/>
      <c r="H68" s="3"/>
      <c r="I68" s="3"/>
      <c r="J68" s="3"/>
      <c r="K68" s="3"/>
      <c r="L68" s="3"/>
      <c r="M68" s="3"/>
    </row>
    <row r="69" spans="1:30" ht="15" thickBot="1">
      <c r="A69" s="3"/>
      <c r="B69" s="3"/>
      <c r="C69" s="3"/>
      <c r="D69" s="3"/>
      <c r="E69" s="3"/>
      <c r="F69" s="3"/>
      <c r="G69" s="3"/>
      <c r="H69" s="3"/>
      <c r="I69" s="3"/>
      <c r="J69" s="3"/>
      <c r="K69" s="3"/>
      <c r="L69" s="398"/>
      <c r="M69" s="3"/>
      <c r="AC69" s="19"/>
      <c r="AD69" s="19"/>
    </row>
    <row r="70" spans="1:30" ht="19" thickBot="1">
      <c r="A70" s="3"/>
      <c r="B70" s="106" t="s">
        <v>263</v>
      </c>
      <c r="C70" s="107"/>
      <c r="D70" s="107"/>
      <c r="E70" s="107"/>
      <c r="F70" s="107"/>
      <c r="G70" s="107"/>
      <c r="H70" s="322" t="s">
        <v>304</v>
      </c>
      <c r="I70" s="107"/>
      <c r="J70" s="108"/>
      <c r="K70" s="108"/>
      <c r="L70" s="399"/>
      <c r="M70" s="400"/>
      <c r="N70" s="84"/>
      <c r="O70" s="84"/>
      <c r="P70" s="84"/>
      <c r="S70" s="44"/>
      <c r="AC70" s="19"/>
      <c r="AD70" s="19"/>
    </row>
    <row r="71" spans="1:30" ht="18.5">
      <c r="A71" s="3"/>
      <c r="B71" s="110"/>
      <c r="C71" s="109"/>
      <c r="D71" s="109"/>
      <c r="E71" s="109"/>
      <c r="F71" s="109"/>
      <c r="G71" s="109"/>
      <c r="H71" s="109"/>
      <c r="I71" s="109"/>
      <c r="J71" s="109"/>
      <c r="K71" s="111"/>
      <c r="L71" s="111"/>
      <c r="M71" s="109"/>
      <c r="N71" s="84"/>
      <c r="O71" s="84"/>
      <c r="P71" s="84"/>
      <c r="S71" s="44"/>
      <c r="AC71" s="19"/>
      <c r="AD71" s="19"/>
    </row>
    <row r="72" spans="1:30" ht="18.5">
      <c r="A72" s="3"/>
      <c r="B72" s="110" t="s">
        <v>381</v>
      </c>
      <c r="C72" s="109"/>
      <c r="D72" s="109"/>
      <c r="E72" s="109"/>
      <c r="F72" s="109"/>
      <c r="G72" s="109"/>
      <c r="H72" s="109"/>
      <c r="I72" s="109"/>
      <c r="J72" s="109"/>
      <c r="K72" s="111"/>
      <c r="L72" s="111"/>
      <c r="M72" s="109"/>
      <c r="N72" s="84"/>
      <c r="O72" s="84"/>
      <c r="P72" s="84"/>
      <c r="S72" s="44"/>
      <c r="AC72" s="19"/>
      <c r="AD72" s="19"/>
    </row>
    <row r="73" spans="1:30" ht="15" thickBot="1">
      <c r="A73" s="3"/>
      <c r="B73" s="2"/>
      <c r="C73" s="112"/>
      <c r="D73" s="112"/>
      <c r="E73" s="112"/>
      <c r="F73" s="112"/>
      <c r="G73" s="112"/>
      <c r="H73" s="2"/>
      <c r="I73" s="112"/>
      <c r="J73" s="2"/>
      <c r="K73" s="2"/>
      <c r="L73" s="2"/>
      <c r="M73" s="2"/>
      <c r="N73" s="20"/>
      <c r="O73" s="19"/>
      <c r="P73" s="19"/>
      <c r="Q73" s="19"/>
      <c r="R73" s="19"/>
      <c r="S73" s="19"/>
      <c r="AD73" s="19"/>
    </row>
    <row r="74" spans="1:30" ht="29">
      <c r="A74" s="3"/>
      <c r="B74" s="705"/>
      <c r="C74" s="706"/>
      <c r="D74" s="114" t="s">
        <v>117</v>
      </c>
      <c r="E74" s="115" t="s">
        <v>296</v>
      </c>
      <c r="F74" s="115" t="s">
        <v>118</v>
      </c>
      <c r="G74" s="116" t="s">
        <v>58</v>
      </c>
      <c r="H74" s="308"/>
      <c r="I74" s="309"/>
      <c r="J74" s="15"/>
      <c r="K74" s="2"/>
      <c r="L74" s="2"/>
      <c r="M74" s="2"/>
      <c r="N74" s="20"/>
      <c r="O74" s="19"/>
      <c r="P74" s="19"/>
      <c r="Q74" s="19"/>
      <c r="R74" s="19"/>
      <c r="S74" s="19"/>
    </row>
    <row r="75" spans="1:30">
      <c r="A75" s="3"/>
      <c r="B75" s="743" t="s">
        <v>448</v>
      </c>
      <c r="C75" s="744"/>
      <c r="D75" s="257">
        <v>8</v>
      </c>
      <c r="E75" s="257">
        <v>0</v>
      </c>
      <c r="F75" s="257">
        <v>0</v>
      </c>
      <c r="G75" s="117">
        <f>SUM(D75:F75)</f>
        <v>8</v>
      </c>
      <c r="H75" s="290"/>
      <c r="I75" s="307"/>
      <c r="J75" s="307"/>
      <c r="K75" s="2"/>
      <c r="L75" s="2"/>
      <c r="M75" s="2"/>
      <c r="N75" s="20"/>
      <c r="O75" s="19"/>
      <c r="P75" s="19"/>
      <c r="Q75" s="19"/>
      <c r="R75" s="19"/>
      <c r="S75" s="19"/>
    </row>
    <row r="76" spans="1:30" ht="15" thickBot="1">
      <c r="A76" s="3"/>
      <c r="B76" s="697"/>
      <c r="C76" s="698"/>
      <c r="D76" s="258"/>
      <c r="E76" s="258"/>
      <c r="F76" s="258"/>
      <c r="G76" s="118"/>
      <c r="H76" s="290"/>
      <c r="I76" s="15"/>
      <c r="J76" s="15"/>
      <c r="K76" s="2"/>
      <c r="L76" s="2"/>
      <c r="M76" s="2"/>
      <c r="N76" s="19"/>
      <c r="O76" s="19"/>
      <c r="P76" s="19"/>
      <c r="Q76" s="19"/>
      <c r="R76" s="19"/>
      <c r="S76" s="19"/>
    </row>
    <row r="77" spans="1:30">
      <c r="A77" s="3"/>
      <c r="B77" s="2"/>
      <c r="C77" s="2"/>
      <c r="D77" s="2"/>
      <c r="E77" s="2"/>
      <c r="F77" s="2"/>
      <c r="G77" s="2"/>
      <c r="H77" s="2"/>
      <c r="I77" s="2"/>
      <c r="J77" s="2"/>
      <c r="K77" s="2"/>
      <c r="L77" s="2"/>
      <c r="M77" s="2"/>
      <c r="N77" s="19"/>
      <c r="O77" s="19"/>
      <c r="P77" s="19"/>
      <c r="Q77" s="19"/>
      <c r="R77" s="19"/>
      <c r="S77" s="19"/>
    </row>
    <row r="78" spans="1:30">
      <c r="A78" s="3"/>
      <c r="B78" s="2"/>
      <c r="C78" s="2"/>
      <c r="D78" s="2"/>
      <c r="E78" s="2"/>
      <c r="F78" s="2"/>
      <c r="G78" s="2"/>
      <c r="H78" s="2"/>
      <c r="I78" s="2"/>
      <c r="J78" s="2"/>
      <c r="K78" s="2"/>
      <c r="L78" s="2"/>
      <c r="M78" s="2"/>
      <c r="N78" s="19"/>
      <c r="O78" s="19"/>
      <c r="P78" s="19"/>
      <c r="S78" s="19"/>
    </row>
    <row r="79" spans="1:30" ht="18.5">
      <c r="A79" s="3"/>
      <c r="B79" s="110" t="s">
        <v>382</v>
      </c>
      <c r="C79" s="2"/>
      <c r="D79" s="2"/>
      <c r="E79" s="2"/>
      <c r="F79" s="2"/>
      <c r="G79" s="2"/>
      <c r="H79" s="2"/>
      <c r="I79" s="2"/>
      <c r="J79" s="2"/>
      <c r="K79" s="2"/>
      <c r="L79" s="2"/>
      <c r="M79" s="2"/>
      <c r="N79" s="19"/>
      <c r="O79" s="19"/>
      <c r="P79" s="19"/>
      <c r="S79" s="19"/>
    </row>
    <row r="80" spans="1:30" ht="15" thickBot="1">
      <c r="A80" s="3"/>
      <c r="B80" s="2"/>
      <c r="C80" s="2"/>
      <c r="D80" s="2"/>
      <c r="E80" s="2"/>
      <c r="F80" s="2"/>
      <c r="G80" s="2"/>
      <c r="H80" s="2"/>
      <c r="I80" s="2"/>
      <c r="J80" s="2"/>
      <c r="K80" s="2"/>
      <c r="L80" s="2"/>
      <c r="M80" s="2"/>
      <c r="N80" s="19"/>
      <c r="O80" s="19"/>
      <c r="P80" s="19"/>
      <c r="S80" s="19"/>
    </row>
    <row r="81" spans="1:36">
      <c r="A81" s="3"/>
      <c r="B81" s="119"/>
      <c r="C81" s="113" t="s">
        <v>63</v>
      </c>
      <c r="D81" s="113" t="s">
        <v>81</v>
      </c>
      <c r="E81" s="120" t="s">
        <v>64</v>
      </c>
      <c r="F81" s="15"/>
      <c r="G81" s="15"/>
      <c r="H81" s="15"/>
      <c r="I81" s="309"/>
      <c r="J81" s="2"/>
      <c r="K81" s="2"/>
      <c r="L81" s="2"/>
      <c r="M81" s="2"/>
      <c r="N81" s="19"/>
      <c r="O81" s="19"/>
      <c r="P81" s="19"/>
      <c r="S81" s="19"/>
    </row>
    <row r="82" spans="1:36" ht="15" thickBot="1">
      <c r="A82" s="3"/>
      <c r="B82" s="472" t="s">
        <v>312</v>
      </c>
      <c r="C82" s="354">
        <v>16</v>
      </c>
      <c r="D82" s="354">
        <v>16</v>
      </c>
      <c r="E82" s="355">
        <f>+C82-D82</f>
        <v>0</v>
      </c>
      <c r="F82" s="265"/>
      <c r="G82" s="273"/>
      <c r="H82" s="15"/>
      <c r="I82" s="307"/>
      <c r="J82" s="2"/>
      <c r="K82" s="2"/>
      <c r="L82" s="2"/>
      <c r="M82" s="2"/>
      <c r="N82" s="19"/>
      <c r="O82" s="19"/>
      <c r="P82" s="19"/>
      <c r="S82" s="19"/>
    </row>
    <row r="83" spans="1:36">
      <c r="A83" s="3"/>
      <c r="B83" s="2"/>
      <c r="C83" s="2"/>
      <c r="D83" s="2"/>
      <c r="E83" s="2"/>
      <c r="F83" s="2"/>
      <c r="G83" s="2"/>
      <c r="H83" s="2"/>
      <c r="I83" s="2"/>
      <c r="J83" s="2"/>
      <c r="K83" s="2"/>
      <c r="L83" s="2"/>
      <c r="M83" s="2"/>
      <c r="N83" s="19"/>
      <c r="O83" s="19"/>
      <c r="P83" s="19"/>
      <c r="S83" s="19"/>
    </row>
    <row r="84" spans="1:36" ht="18.5">
      <c r="A84" s="3"/>
      <c r="B84" s="110" t="s">
        <v>387</v>
      </c>
      <c r="C84" s="2"/>
      <c r="D84" s="2"/>
      <c r="E84" s="2"/>
      <c r="F84" s="2"/>
      <c r="G84" s="2"/>
      <c r="H84" s="2"/>
      <c r="I84" s="2"/>
      <c r="J84" s="15"/>
      <c r="K84" s="15"/>
      <c r="L84" s="2"/>
      <c r="M84" s="2"/>
      <c r="N84" s="19"/>
      <c r="O84" s="19"/>
      <c r="P84" s="19"/>
      <c r="S84" s="19"/>
    </row>
    <row r="85" spans="1:36" ht="15" thickBot="1">
      <c r="A85" s="3"/>
      <c r="B85" s="2"/>
      <c r="C85" s="2"/>
      <c r="D85" s="2"/>
      <c r="E85" s="2"/>
      <c r="F85" s="2"/>
      <c r="G85" s="2"/>
      <c r="H85" s="505"/>
      <c r="I85" s="505"/>
      <c r="J85" s="506"/>
      <c r="K85" s="506"/>
      <c r="L85" s="505"/>
      <c r="M85" s="505"/>
      <c r="N85" s="507"/>
      <c r="O85" s="19"/>
      <c r="P85" s="19"/>
      <c r="S85" s="19"/>
    </row>
    <row r="86" spans="1:36">
      <c r="A86" s="3"/>
      <c r="B86" s="119"/>
      <c r="C86" s="113" t="s">
        <v>291</v>
      </c>
      <c r="D86" s="113" t="s">
        <v>67</v>
      </c>
      <c r="E86" s="113" t="s">
        <v>82</v>
      </c>
      <c r="F86" s="113" t="s">
        <v>68</v>
      </c>
      <c r="G86" s="149" t="s">
        <v>119</v>
      </c>
      <c r="H86" s="508"/>
      <c r="I86" s="509" t="s">
        <v>447</v>
      </c>
      <c r="J86" s="510"/>
      <c r="K86" s="510"/>
      <c r="L86" s="511" t="s">
        <v>447</v>
      </c>
      <c r="M86" s="511"/>
      <c r="N86" s="512"/>
      <c r="O86" s="19"/>
      <c r="P86" s="19"/>
      <c r="S86" s="19"/>
    </row>
    <row r="87" spans="1:36" ht="15" thickBot="1">
      <c r="A87" s="3"/>
      <c r="B87" s="472" t="s">
        <v>127</v>
      </c>
      <c r="C87" s="354">
        <v>7</v>
      </c>
      <c r="D87" s="354">
        <v>7</v>
      </c>
      <c r="E87" s="354">
        <v>7</v>
      </c>
      <c r="F87" s="354">
        <v>7</v>
      </c>
      <c r="G87" s="356">
        <v>7</v>
      </c>
      <c r="H87" s="513" t="s">
        <v>440</v>
      </c>
      <c r="I87" s="514" t="s">
        <v>441</v>
      </c>
      <c r="J87" s="510" t="s">
        <v>442</v>
      </c>
      <c r="K87" s="511" t="s">
        <v>443</v>
      </c>
      <c r="L87" s="511" t="s">
        <v>444</v>
      </c>
      <c r="M87" s="510" t="s">
        <v>445</v>
      </c>
      <c r="N87" s="510" t="s">
        <v>446</v>
      </c>
      <c r="O87" s="19"/>
      <c r="P87" s="19"/>
      <c r="S87" s="19"/>
    </row>
    <row r="88" spans="1:36">
      <c r="A88" s="3"/>
      <c r="B88" s="2"/>
      <c r="C88" s="2"/>
      <c r="D88" s="2"/>
      <c r="E88" s="2"/>
      <c r="F88" s="2"/>
      <c r="G88" s="2"/>
      <c r="H88" s="2"/>
      <c r="I88" s="15"/>
      <c r="J88" s="15"/>
      <c r="K88" s="2"/>
      <c r="L88" s="2"/>
      <c r="M88" s="2"/>
      <c r="N88" s="19"/>
      <c r="O88" s="19"/>
      <c r="P88" s="19"/>
      <c r="S88" s="19"/>
    </row>
    <row r="89" spans="1:36" ht="18.5">
      <c r="A89" s="3"/>
      <c r="B89" s="110" t="s">
        <v>383</v>
      </c>
      <c r="C89" s="2"/>
      <c r="D89" s="2"/>
      <c r="E89" s="2"/>
      <c r="F89" s="2"/>
      <c r="G89" s="2"/>
      <c r="H89" s="2"/>
      <c r="I89" s="15"/>
      <c r="J89" s="2"/>
      <c r="K89" s="2"/>
      <c r="L89" s="2"/>
      <c r="M89" s="2"/>
      <c r="N89" s="19"/>
      <c r="O89" s="19"/>
      <c r="P89" s="19"/>
      <c r="S89" s="19"/>
    </row>
    <row r="90" spans="1:36" ht="15" thickBot="1">
      <c r="A90" s="3"/>
      <c r="B90" s="2"/>
      <c r="C90" s="2"/>
      <c r="D90" s="2"/>
      <c r="E90" s="2"/>
      <c r="F90" s="2"/>
      <c r="G90" s="2"/>
      <c r="H90" s="2"/>
      <c r="I90" s="2"/>
      <c r="J90" s="2"/>
      <c r="K90" s="2"/>
      <c r="L90" s="2"/>
      <c r="M90" s="2"/>
      <c r="N90" s="19"/>
      <c r="O90" s="19"/>
      <c r="P90" s="19"/>
      <c r="S90" s="19"/>
    </row>
    <row r="91" spans="1:36">
      <c r="A91" s="3"/>
      <c r="B91" s="119"/>
      <c r="C91" s="121" t="s">
        <v>65</v>
      </c>
      <c r="D91" s="121" t="s">
        <v>66</v>
      </c>
      <c r="E91" s="122" t="s">
        <v>288</v>
      </c>
      <c r="F91" s="2"/>
      <c r="G91" s="2"/>
      <c r="H91" s="2"/>
      <c r="I91" s="2"/>
      <c r="J91" s="19"/>
      <c r="K91" s="19"/>
      <c r="L91" s="19"/>
      <c r="N91"/>
      <c r="O91" s="19"/>
      <c r="AG91" s="36"/>
      <c r="AJ91"/>
    </row>
    <row r="92" spans="1:36">
      <c r="A92" s="3"/>
      <c r="B92" s="473" t="s">
        <v>388</v>
      </c>
      <c r="C92" s="257">
        <v>165</v>
      </c>
      <c r="D92" s="259">
        <v>165</v>
      </c>
      <c r="E92" s="310">
        <f>C92-D92</f>
        <v>0</v>
      </c>
      <c r="F92" s="2"/>
      <c r="G92" s="2"/>
      <c r="H92" s="2"/>
      <c r="I92" s="2"/>
      <c r="J92" s="19"/>
      <c r="K92" s="19"/>
      <c r="L92" s="19"/>
      <c r="N92"/>
      <c r="O92" s="19"/>
      <c r="AG92" s="36"/>
      <c r="AJ92"/>
    </row>
    <row r="93" spans="1:36" ht="15" thickBot="1">
      <c r="A93" s="3"/>
      <c r="B93" s="474" t="s">
        <v>389</v>
      </c>
      <c r="C93" s="482">
        <f>7*3</f>
        <v>21</v>
      </c>
      <c r="D93" s="483">
        <f>C93</f>
        <v>21</v>
      </c>
      <c r="E93" s="484">
        <f>C93-D93</f>
        <v>0</v>
      </c>
      <c r="F93" s="2"/>
      <c r="G93" s="2"/>
      <c r="H93" s="2"/>
      <c r="I93" s="2"/>
      <c r="J93" s="19"/>
      <c r="K93" s="19"/>
      <c r="L93" s="19"/>
      <c r="N93"/>
      <c r="O93" s="19"/>
      <c r="AG93" s="36"/>
      <c r="AJ93"/>
    </row>
    <row r="94" spans="1:36">
      <c r="A94" s="3"/>
      <c r="B94" s="2"/>
      <c r="C94" s="2"/>
      <c r="D94" s="2"/>
      <c r="E94" s="2"/>
      <c r="F94" s="2"/>
      <c r="G94" s="2"/>
      <c r="H94" s="2"/>
      <c r="I94" s="2"/>
      <c r="J94" s="2"/>
      <c r="K94" s="2"/>
      <c r="L94" s="2"/>
      <c r="M94" s="2"/>
      <c r="N94" s="19"/>
      <c r="O94" s="19"/>
      <c r="P94" s="19"/>
      <c r="S94" s="19"/>
    </row>
    <row r="95" spans="1:36" ht="18.5">
      <c r="A95" s="3"/>
      <c r="B95" s="110" t="s">
        <v>390</v>
      </c>
      <c r="C95" s="2"/>
      <c r="D95" s="2"/>
      <c r="E95" s="2"/>
      <c r="F95" s="2"/>
      <c r="G95" s="2"/>
      <c r="H95" s="2"/>
      <c r="I95" s="2"/>
      <c r="J95" s="2"/>
      <c r="K95" s="2"/>
      <c r="L95" s="2"/>
      <c r="M95" s="2"/>
      <c r="N95" s="19"/>
      <c r="O95" s="19"/>
      <c r="P95" s="19"/>
      <c r="S95" s="19"/>
    </row>
    <row r="96" spans="1:36" ht="15" thickBot="1">
      <c r="A96" s="3"/>
      <c r="B96" s="2"/>
      <c r="C96" s="2"/>
      <c r="D96" s="2"/>
      <c r="E96" s="2"/>
      <c r="F96" s="2"/>
      <c r="G96" s="2"/>
      <c r="H96" s="2"/>
      <c r="I96" s="15"/>
      <c r="J96" s="15"/>
      <c r="K96" s="15"/>
      <c r="L96" s="15"/>
      <c r="M96" s="15"/>
      <c r="N96" s="20"/>
      <c r="O96" s="20"/>
      <c r="P96" s="20"/>
      <c r="S96" s="19"/>
    </row>
    <row r="97" spans="1:19">
      <c r="A97" s="3"/>
      <c r="B97" s="219"/>
      <c r="C97" s="368" t="s">
        <v>105</v>
      </c>
      <c r="D97" s="368" t="s">
        <v>106</v>
      </c>
      <c r="E97" s="368" t="s">
        <v>107</v>
      </c>
      <c r="F97" s="368" t="s">
        <v>108</v>
      </c>
      <c r="G97" s="368" t="s">
        <v>120</v>
      </c>
      <c r="H97" s="368" t="s">
        <v>121</v>
      </c>
      <c r="I97" s="368" t="s">
        <v>122</v>
      </c>
      <c r="J97" s="368" t="s">
        <v>123</v>
      </c>
      <c r="K97" s="368" t="s">
        <v>124</v>
      </c>
      <c r="L97" s="368" t="s">
        <v>125</v>
      </c>
      <c r="M97" s="368" t="s">
        <v>126</v>
      </c>
      <c r="N97" s="369" t="s">
        <v>287</v>
      </c>
      <c r="O97" s="20"/>
      <c r="P97" s="20"/>
      <c r="S97" s="19"/>
    </row>
    <row r="98" spans="1:19" ht="15" customHeight="1">
      <c r="A98" s="3"/>
      <c r="B98" s="370" t="s">
        <v>367</v>
      </c>
      <c r="C98" s="357">
        <v>621513.13962743431</v>
      </c>
      <c r="D98" s="357">
        <v>273435.19725994923</v>
      </c>
      <c r="E98" s="357">
        <v>56473.083558848426</v>
      </c>
      <c r="F98" s="357">
        <v>1216941.6768721424</v>
      </c>
      <c r="G98" s="357">
        <v>117643.14265004233</v>
      </c>
      <c r="H98" s="357">
        <v>491331.57039999997</v>
      </c>
      <c r="I98" s="357">
        <v>155982.99910948362</v>
      </c>
      <c r="J98" s="357">
        <v>451430.0753274248</v>
      </c>
      <c r="K98" s="357">
        <v>443391.27652786707</v>
      </c>
      <c r="L98" s="357">
        <v>490313.3324999999</v>
      </c>
      <c r="M98" s="357">
        <v>115373.89077053347</v>
      </c>
      <c r="N98" s="434">
        <v>475512.77598645212</v>
      </c>
      <c r="O98" s="20"/>
      <c r="P98" s="20"/>
      <c r="S98" s="19"/>
    </row>
    <row r="99" spans="1:19" ht="15" customHeight="1">
      <c r="A99" s="3"/>
      <c r="B99" s="370" t="s">
        <v>365</v>
      </c>
      <c r="C99" s="357">
        <v>19935.614027557196</v>
      </c>
      <c r="D99" s="357">
        <v>1225173</v>
      </c>
      <c r="E99" s="357">
        <v>224961.90757585474</v>
      </c>
      <c r="F99" s="357">
        <v>599588.31837819878</v>
      </c>
      <c r="G99" s="357">
        <v>580029.07094117173</v>
      </c>
      <c r="H99" s="357">
        <v>131899.74</v>
      </c>
      <c r="I99" s="357">
        <v>30591.66</v>
      </c>
      <c r="J99" s="357">
        <v>42870.98</v>
      </c>
      <c r="K99" s="357">
        <v>491507.39933463349</v>
      </c>
      <c r="L99" s="357">
        <f>162065+309889</f>
        <v>471954</v>
      </c>
      <c r="M99" s="357">
        <f>445359/2.6914+264515</f>
        <v>429989.84580515721</v>
      </c>
      <c r="N99" s="434">
        <v>693062</v>
      </c>
      <c r="O99" s="20"/>
      <c r="P99" s="20"/>
      <c r="S99" s="19"/>
    </row>
    <row r="100" spans="1:19" ht="15" customHeight="1">
      <c r="A100" s="3"/>
      <c r="B100" s="370" t="s">
        <v>313</v>
      </c>
      <c r="C100" s="357">
        <v>579569.05894063821</v>
      </c>
      <c r="D100" s="357">
        <v>211125.8</v>
      </c>
      <c r="E100" s="357">
        <v>417945</v>
      </c>
      <c r="F100" s="357">
        <v>661579</v>
      </c>
      <c r="G100" s="357">
        <v>252325</v>
      </c>
      <c r="H100" s="357">
        <v>642504</v>
      </c>
      <c r="I100" s="357">
        <v>152807</v>
      </c>
      <c r="J100" s="357">
        <v>445495</v>
      </c>
      <c r="K100" s="357">
        <v>169836</v>
      </c>
      <c r="L100" s="357">
        <f>568417+1590</f>
        <v>570007</v>
      </c>
      <c r="M100" s="357">
        <v>89500</v>
      </c>
      <c r="N100" s="434">
        <v>380637</v>
      </c>
      <c r="O100" s="20"/>
      <c r="P100" s="20"/>
      <c r="S100" s="19"/>
    </row>
    <row r="101" spans="1:19" ht="15" customHeight="1">
      <c r="A101" s="3"/>
      <c r="B101" s="312" t="s">
        <v>409</v>
      </c>
      <c r="C101" s="358">
        <f>+C98</f>
        <v>621513.13962743431</v>
      </c>
      <c r="D101" s="358">
        <f>+C101+D98</f>
        <v>894948.3368873836</v>
      </c>
      <c r="E101" s="358">
        <f t="shared" ref="E101:N101" si="3">+D101+E98</f>
        <v>951421.42044623208</v>
      </c>
      <c r="F101" s="358">
        <f t="shared" si="3"/>
        <v>2168363.0973183746</v>
      </c>
      <c r="G101" s="358">
        <f t="shared" si="3"/>
        <v>2286006.2399684167</v>
      </c>
      <c r="H101" s="358">
        <f t="shared" si="3"/>
        <v>2777337.8103684168</v>
      </c>
      <c r="I101" s="358">
        <f t="shared" si="3"/>
        <v>2933320.8094779006</v>
      </c>
      <c r="J101" s="358">
        <f t="shared" si="3"/>
        <v>3384750.8848053254</v>
      </c>
      <c r="K101" s="358">
        <f t="shared" si="3"/>
        <v>3828142.1613331926</v>
      </c>
      <c r="L101" s="358">
        <f t="shared" si="3"/>
        <v>4318455.4938331926</v>
      </c>
      <c r="M101" s="358">
        <f t="shared" si="3"/>
        <v>4433829.3846037257</v>
      </c>
      <c r="N101" s="358">
        <f t="shared" si="3"/>
        <v>4909342.1605901774</v>
      </c>
      <c r="O101" s="20"/>
      <c r="P101" s="20"/>
      <c r="S101" s="19"/>
    </row>
    <row r="102" spans="1:19" ht="15" customHeight="1">
      <c r="A102" s="3"/>
      <c r="B102" s="312" t="s">
        <v>5</v>
      </c>
      <c r="C102" s="358">
        <f>+C99</f>
        <v>19935.614027557196</v>
      </c>
      <c r="D102" s="358">
        <f>+C102+D99</f>
        <v>1245108.6140275572</v>
      </c>
      <c r="E102" s="358">
        <f t="shared" ref="E102:N102" si="4">+D102+E99</f>
        <v>1470070.521603412</v>
      </c>
      <c r="F102" s="358">
        <f t="shared" si="4"/>
        <v>2069658.8399816109</v>
      </c>
      <c r="G102" s="358">
        <f t="shared" si="4"/>
        <v>2649687.9109227825</v>
      </c>
      <c r="H102" s="358">
        <f t="shared" si="4"/>
        <v>2781587.6509227827</v>
      </c>
      <c r="I102" s="358">
        <f t="shared" si="4"/>
        <v>2812179.3109227829</v>
      </c>
      <c r="J102" s="358">
        <f t="shared" si="4"/>
        <v>2855050.2909227828</v>
      </c>
      <c r="K102" s="358">
        <f t="shared" si="4"/>
        <v>3346557.6902574161</v>
      </c>
      <c r="L102" s="358">
        <f t="shared" si="4"/>
        <v>3818511.6902574161</v>
      </c>
      <c r="M102" s="358">
        <f t="shared" si="4"/>
        <v>4248501.5360625731</v>
      </c>
      <c r="N102" s="358">
        <f t="shared" si="4"/>
        <v>4941563.5360625731</v>
      </c>
      <c r="O102" s="20"/>
      <c r="P102" s="20"/>
      <c r="S102" s="19"/>
    </row>
    <row r="103" spans="1:19" ht="15" thickBot="1">
      <c r="A103" s="3"/>
      <c r="B103" s="431" t="s">
        <v>6</v>
      </c>
      <c r="C103" s="432">
        <f>+C100</f>
        <v>579569.05894063821</v>
      </c>
      <c r="D103" s="433">
        <f>+C103+D100</f>
        <v>790694.85894063814</v>
      </c>
      <c r="E103" s="433">
        <f t="shared" ref="E103:N103" si="5">+D103+E100</f>
        <v>1208639.8589406381</v>
      </c>
      <c r="F103" s="433">
        <f t="shared" si="5"/>
        <v>1870218.8589406381</v>
      </c>
      <c r="G103" s="433">
        <f t="shared" si="5"/>
        <v>2122543.8589406381</v>
      </c>
      <c r="H103" s="433">
        <f t="shared" si="5"/>
        <v>2765047.8589406381</v>
      </c>
      <c r="I103" s="433">
        <f t="shared" si="5"/>
        <v>2917854.8589406381</v>
      </c>
      <c r="J103" s="433">
        <f t="shared" si="5"/>
        <v>3363349.8589406381</v>
      </c>
      <c r="K103" s="433">
        <f t="shared" si="5"/>
        <v>3533185.8589406381</v>
      </c>
      <c r="L103" s="433">
        <f t="shared" si="5"/>
        <v>4103192.8589406381</v>
      </c>
      <c r="M103" s="433">
        <f t="shared" si="5"/>
        <v>4192692.8589406381</v>
      </c>
      <c r="N103" s="433">
        <f t="shared" si="5"/>
        <v>4573329.8589406386</v>
      </c>
      <c r="O103" s="20"/>
      <c r="P103" s="20"/>
      <c r="S103" s="19"/>
    </row>
    <row r="104" spans="1:19">
      <c r="A104" s="3"/>
      <c r="B104" s="3"/>
      <c r="C104" s="2"/>
      <c r="D104" s="2"/>
      <c r="E104" s="2"/>
      <c r="F104" s="2"/>
      <c r="G104" s="2"/>
      <c r="H104" s="2"/>
      <c r="I104" s="15"/>
      <c r="J104" s="123"/>
      <c r="K104" s="124"/>
      <c r="L104" s="15"/>
      <c r="M104" s="125"/>
      <c r="N104" s="20"/>
      <c r="O104" s="20"/>
      <c r="P104" s="20"/>
      <c r="S104" s="19"/>
    </row>
    <row r="105" spans="1:19">
      <c r="A105" s="3"/>
      <c r="B105" s="2" t="s">
        <v>403</v>
      </c>
      <c r="C105" s="2"/>
      <c r="D105" s="2"/>
      <c r="E105" s="2"/>
      <c r="F105" s="2"/>
      <c r="G105" s="2"/>
      <c r="H105" s="2"/>
      <c r="I105" s="15"/>
      <c r="J105" s="123"/>
      <c r="K105" s="124"/>
      <c r="L105" s="15"/>
      <c r="M105" s="125"/>
      <c r="N105" s="20"/>
      <c r="O105" s="20"/>
      <c r="P105" s="20"/>
      <c r="S105" s="19"/>
    </row>
    <row r="106" spans="1:19">
      <c r="A106" s="3"/>
      <c r="C106" s="2"/>
      <c r="D106" s="2"/>
      <c r="E106" s="2"/>
      <c r="F106" s="2"/>
      <c r="G106" s="2"/>
      <c r="H106" s="2"/>
      <c r="I106" s="15"/>
      <c r="J106" s="123"/>
      <c r="K106" s="125"/>
      <c r="L106" s="15"/>
      <c r="M106" s="125"/>
      <c r="N106" s="20"/>
      <c r="O106" s="20"/>
      <c r="P106" s="20"/>
      <c r="S106" s="19"/>
    </row>
    <row r="107" spans="1:19">
      <c r="A107" s="3"/>
      <c r="B107" s="3"/>
      <c r="C107" s="3"/>
      <c r="D107" s="3"/>
      <c r="E107" s="3"/>
      <c r="F107" s="3"/>
      <c r="G107" s="3"/>
      <c r="H107" s="3"/>
      <c r="I107" s="15"/>
      <c r="J107" s="15"/>
      <c r="K107" s="15"/>
      <c r="L107" s="15"/>
      <c r="M107" s="15"/>
      <c r="N107" s="20"/>
      <c r="O107" s="20"/>
      <c r="P107" s="20"/>
    </row>
    <row r="108" spans="1:19" ht="18.5">
      <c r="A108" s="3"/>
      <c r="B108" s="110" t="s">
        <v>384</v>
      </c>
      <c r="C108" s="3"/>
      <c r="D108" s="3"/>
      <c r="E108" s="3"/>
      <c r="F108" s="3"/>
      <c r="G108" s="3"/>
      <c r="H108" s="3"/>
      <c r="I108" s="15"/>
      <c r="J108" s="15"/>
      <c r="K108" s="15"/>
      <c r="L108" s="15"/>
      <c r="M108" s="15"/>
      <c r="N108" s="20"/>
      <c r="O108" s="20"/>
      <c r="P108" s="20"/>
    </row>
    <row r="109" spans="1:19" ht="15" thickBot="1">
      <c r="A109" s="3"/>
      <c r="B109" s="3"/>
      <c r="C109" s="15"/>
      <c r="D109" s="15"/>
      <c r="E109" s="15"/>
      <c r="F109" s="15"/>
      <c r="G109" s="2"/>
      <c r="H109" s="2"/>
      <c r="I109" s="2"/>
      <c r="J109" s="15"/>
      <c r="K109" s="2"/>
      <c r="L109" s="15"/>
      <c r="M109" s="15"/>
      <c r="N109" s="20"/>
      <c r="O109" s="20"/>
      <c r="P109" s="20"/>
      <c r="Q109" s="19"/>
      <c r="S109" s="20"/>
    </row>
    <row r="110" spans="1:19" ht="90.75" customHeight="1">
      <c r="A110" s="3"/>
      <c r="B110" s="313" t="s">
        <v>32</v>
      </c>
      <c r="C110" s="314" t="s">
        <v>79</v>
      </c>
      <c r="D110" s="316" t="s">
        <v>418</v>
      </c>
      <c r="E110" s="316" t="s">
        <v>336</v>
      </c>
      <c r="F110" s="315" t="s">
        <v>337</v>
      </c>
      <c r="G110" s="315" t="s">
        <v>338</v>
      </c>
      <c r="H110" s="316" t="s">
        <v>339</v>
      </c>
      <c r="I110" s="316" t="s">
        <v>340</v>
      </c>
      <c r="J110" s="316" t="s">
        <v>341</v>
      </c>
      <c r="K110" s="317" t="s">
        <v>342</v>
      </c>
      <c r="L110" s="2"/>
      <c r="M110" s="20"/>
      <c r="N110" s="20"/>
      <c r="O110" s="20"/>
      <c r="P110" s="19"/>
      <c r="R110" s="20"/>
    </row>
    <row r="111" spans="1:19">
      <c r="A111" s="3"/>
      <c r="B111" s="709" t="s">
        <v>372</v>
      </c>
      <c r="C111" s="521" t="s">
        <v>416</v>
      </c>
      <c r="D111" s="521">
        <v>2</v>
      </c>
      <c r="E111" s="444">
        <f>IF(ISBLANK(D111),"",D111*30)</f>
        <v>60</v>
      </c>
      <c r="F111" s="536">
        <v>689</v>
      </c>
      <c r="G111" s="444">
        <v>41340</v>
      </c>
      <c r="H111" s="523">
        <f>256800+199860</f>
        <v>456660</v>
      </c>
      <c r="I111" s="503">
        <f>H111/G111</f>
        <v>11.046444121915821</v>
      </c>
      <c r="J111" s="523">
        <v>6</v>
      </c>
      <c r="K111" s="445">
        <f>IF(AND(I111&gt;0,J111&gt;0),I111-J111,"")</f>
        <v>5.0464441219158207</v>
      </c>
      <c r="L111" s="497"/>
      <c r="M111" s="20"/>
      <c r="N111" s="20"/>
      <c r="O111" s="20"/>
      <c r="P111" s="19"/>
      <c r="R111" s="20"/>
    </row>
    <row r="112" spans="1:19">
      <c r="A112" s="3"/>
      <c r="B112" s="710"/>
      <c r="C112" s="521" t="s">
        <v>417</v>
      </c>
      <c r="D112" s="521">
        <v>0.26</v>
      </c>
      <c r="E112" s="444">
        <f>IF(ISBLANK(D112),"",D112*30)</f>
        <v>7.8000000000000007</v>
      </c>
      <c r="F112" s="522">
        <v>11000</v>
      </c>
      <c r="G112" s="444">
        <f>IF(AND(E112&gt;0,F112&gt;0),(F112*E112),"")</f>
        <v>85800.000000000015</v>
      </c>
      <c r="H112" s="523">
        <v>447018</v>
      </c>
      <c r="I112" s="503">
        <f>IF(AND(G112&gt;0,H112&gt;0),H112/G112,"")</f>
        <v>5.2099999999999991</v>
      </c>
      <c r="J112" s="523">
        <v>3</v>
      </c>
      <c r="K112" s="445">
        <f>IF(AND(I112&gt;0,J112&gt;0),I112-J112,"")</f>
        <v>2.2099999999999991</v>
      </c>
      <c r="L112" s="2"/>
      <c r="M112" s="20"/>
      <c r="N112" s="20"/>
      <c r="O112" s="20"/>
      <c r="P112" s="19"/>
    </row>
    <row r="113" spans="1:20">
      <c r="A113" s="3"/>
      <c r="B113" s="710"/>
      <c r="C113" s="521" t="s">
        <v>452</v>
      </c>
      <c r="D113" s="521">
        <v>0.6</v>
      </c>
      <c r="E113" s="444">
        <f>IF(ISBLANK(D113),"",D113*30)</f>
        <v>18</v>
      </c>
      <c r="F113" s="522">
        <v>4055</v>
      </c>
      <c r="G113" s="444">
        <f>IF(AND(E113&gt;0,F113&gt;0),(F113*E113),"")</f>
        <v>72990</v>
      </c>
      <c r="H113" s="535">
        <v>439689</v>
      </c>
      <c r="I113" s="503">
        <f>IF(AND(G113&gt;0,H113&gt;0),H113/G113,"")</f>
        <v>6.0239621866009045</v>
      </c>
      <c r="J113" s="523">
        <v>3</v>
      </c>
      <c r="K113" s="445">
        <f>IF(AND(I113&gt;0,J113&gt;0),I113-J113,"")</f>
        <v>3.0239621866009045</v>
      </c>
      <c r="L113" s="497"/>
      <c r="M113" s="20"/>
      <c r="N113" s="20"/>
      <c r="O113" s="20"/>
      <c r="P113" s="19"/>
      <c r="R113" s="20"/>
    </row>
    <row r="114" spans="1:20" ht="15" thickBot="1">
      <c r="A114" s="3"/>
      <c r="B114" s="711"/>
      <c r="C114" s="521" t="s">
        <v>458</v>
      </c>
      <c r="D114" s="524">
        <v>1</v>
      </c>
      <c r="E114" s="442">
        <f>IF(ISBLANK(D114),"",D114*30)</f>
        <v>30</v>
      </c>
      <c r="F114" s="525">
        <v>390</v>
      </c>
      <c r="G114" s="442">
        <f>IF(AND(E114&gt;0,F114&gt;0),(F114*E114),"")</f>
        <v>11700</v>
      </c>
      <c r="H114" s="525">
        <v>51984</v>
      </c>
      <c r="I114" s="504">
        <f>IF(AND(G114&gt;0,H114&gt;0),H114/G114,"")</f>
        <v>4.4430769230769229</v>
      </c>
      <c r="J114" s="523">
        <v>3</v>
      </c>
      <c r="K114" s="443">
        <f>IF(AND(I114&gt;0,J114&gt;0),I114-J114,"")</f>
        <v>1.4430769230769229</v>
      </c>
      <c r="L114" s="2"/>
      <c r="M114" s="20"/>
      <c r="N114" s="20"/>
      <c r="O114" s="20"/>
      <c r="P114" s="19"/>
      <c r="R114" s="20"/>
    </row>
    <row r="115" spans="1:20">
      <c r="A115" s="3"/>
      <c r="B115" s="3"/>
      <c r="C115" s="3"/>
      <c r="D115" s="3"/>
      <c r="E115" s="440"/>
      <c r="F115" s="441"/>
      <c r="G115" s="439"/>
      <c r="H115" s="2"/>
      <c r="I115" s="2"/>
      <c r="J115" s="3"/>
      <c r="K115" s="3"/>
      <c r="L115" s="2"/>
      <c r="M115" s="2"/>
      <c r="N115" s="20"/>
      <c r="O115" s="20"/>
      <c r="P115" s="20"/>
      <c r="Q115" s="19"/>
      <c r="S115" s="20"/>
    </row>
    <row r="116" spans="1:20" ht="15" thickBot="1">
      <c r="A116" s="3"/>
      <c r="B116" s="3"/>
      <c r="C116" s="3"/>
      <c r="D116" s="3"/>
      <c r="E116" s="3"/>
      <c r="F116" s="3"/>
      <c r="G116" s="201"/>
      <c r="H116" s="3"/>
      <c r="I116" s="2"/>
      <c r="J116" s="109"/>
      <c r="K116" s="109"/>
      <c r="L116" s="3"/>
      <c r="M116" s="3"/>
    </row>
    <row r="117" spans="1:20" ht="19" thickBot="1">
      <c r="A117" s="3"/>
      <c r="B117" s="239" t="s">
        <v>391</v>
      </c>
      <c r="C117" s="126"/>
      <c r="D117" s="126"/>
      <c r="E117" s="127"/>
      <c r="F117" s="127"/>
      <c r="G117" s="127"/>
      <c r="H117" s="254"/>
      <c r="I117" s="240"/>
      <c r="J117" s="335"/>
      <c r="K117" s="336" t="s">
        <v>370</v>
      </c>
      <c r="L117" s="127"/>
      <c r="M117" s="337"/>
      <c r="N117" s="338"/>
      <c r="O117" s="338"/>
      <c r="P117" s="397"/>
      <c r="Q117" s="36"/>
    </row>
    <row r="118" spans="1:20" ht="15" thickBot="1">
      <c r="A118" s="3"/>
      <c r="B118" s="3"/>
      <c r="C118" s="3"/>
      <c r="D118" s="3"/>
      <c r="E118" s="3"/>
      <c r="F118" s="3"/>
      <c r="G118" s="3"/>
      <c r="H118" s="3" t="s">
        <v>449</v>
      </c>
      <c r="I118" s="3" t="s">
        <v>450</v>
      </c>
      <c r="J118" s="3" t="s">
        <v>451</v>
      </c>
      <c r="K118" s="3" t="s">
        <v>454</v>
      </c>
      <c r="L118" s="3" t="s">
        <v>455</v>
      </c>
      <c r="M118" s="3" t="s">
        <v>457</v>
      </c>
      <c r="N118" s="3" t="s">
        <v>456</v>
      </c>
      <c r="O118" s="3" t="s">
        <v>459</v>
      </c>
      <c r="P118" s="502" t="s">
        <v>460</v>
      </c>
      <c r="Q118" s="502" t="s">
        <v>470</v>
      </c>
      <c r="R118" s="502" t="s">
        <v>471</v>
      </c>
    </row>
    <row r="119" spans="1:20" ht="21.75" customHeight="1">
      <c r="A119" s="3"/>
      <c r="B119" s="699" t="s">
        <v>397</v>
      </c>
      <c r="C119" s="700"/>
      <c r="D119" s="701"/>
      <c r="E119" s="321" t="s">
        <v>327</v>
      </c>
      <c r="F119" s="279" t="s">
        <v>344</v>
      </c>
      <c r="G119" s="244"/>
      <c r="H119" s="384" t="s">
        <v>105</v>
      </c>
      <c r="I119" s="384" t="s">
        <v>106</v>
      </c>
      <c r="J119" s="384" t="s">
        <v>107</v>
      </c>
      <c r="K119" s="384" t="s">
        <v>108</v>
      </c>
      <c r="L119" s="384" t="s">
        <v>120</v>
      </c>
      <c r="M119" s="384" t="s">
        <v>121</v>
      </c>
      <c r="N119" s="384" t="s">
        <v>122</v>
      </c>
      <c r="O119" s="384" t="s">
        <v>123</v>
      </c>
      <c r="P119" s="384" t="s">
        <v>124</v>
      </c>
      <c r="Q119" s="384" t="s">
        <v>125</v>
      </c>
      <c r="R119" s="384" t="s">
        <v>126</v>
      </c>
      <c r="S119" s="385" t="s">
        <v>287</v>
      </c>
      <c r="T119" s="64"/>
    </row>
    <row r="120" spans="1:20" ht="21.75" customHeight="1">
      <c r="A120" s="3"/>
      <c r="B120" s="462"/>
      <c r="C120" s="463"/>
      <c r="D120" s="463"/>
      <c r="E120" s="464"/>
      <c r="F120" s="465"/>
      <c r="G120" s="466"/>
      <c r="H120" s="467"/>
      <c r="I120" s="467"/>
      <c r="J120" s="467"/>
      <c r="K120" s="467"/>
      <c r="L120" s="467"/>
      <c r="M120" s="467"/>
      <c r="N120" s="467"/>
      <c r="O120" s="467"/>
      <c r="P120" s="467"/>
      <c r="Q120" s="467"/>
      <c r="R120" s="467"/>
      <c r="S120" s="468"/>
      <c r="T120" s="64"/>
    </row>
    <row r="121" spans="1:20" ht="15" customHeight="1">
      <c r="A121" s="747" t="s">
        <v>374</v>
      </c>
      <c r="B121" s="751" t="s">
        <v>423</v>
      </c>
      <c r="C121" s="752"/>
      <c r="D121" s="753"/>
      <c r="E121" s="677" t="s">
        <v>424</v>
      </c>
      <c r="F121" s="688" t="s">
        <v>114</v>
      </c>
      <c r="G121" s="245" t="s">
        <v>85</v>
      </c>
      <c r="H121" s="448">
        <v>25347</v>
      </c>
      <c r="I121" s="448">
        <v>25347</v>
      </c>
      <c r="J121" s="478">
        <f>27832/4</f>
        <v>6958</v>
      </c>
      <c r="K121" s="490">
        <f>27832/2</f>
        <v>13916</v>
      </c>
      <c r="L121" s="490">
        <f>27832*3/4</f>
        <v>20874</v>
      </c>
      <c r="M121" s="490">
        <f>27832</f>
        <v>27832</v>
      </c>
      <c r="N121" s="492">
        <f>31500/4</f>
        <v>7875</v>
      </c>
      <c r="O121" s="492">
        <f>31500/2</f>
        <v>15750</v>
      </c>
      <c r="P121" s="490">
        <f>31500*3/4</f>
        <v>23625</v>
      </c>
      <c r="Q121" s="490">
        <f>31500</f>
        <v>31500</v>
      </c>
      <c r="R121" s="130">
        <f>34125/4</f>
        <v>8531.25</v>
      </c>
      <c r="S121" s="131">
        <f>34125/2</f>
        <v>17062.5</v>
      </c>
      <c r="T121" s="64"/>
    </row>
    <row r="122" spans="1:20" ht="15" customHeight="1">
      <c r="A122" s="747"/>
      <c r="B122" s="754"/>
      <c r="C122" s="755"/>
      <c r="D122" s="756"/>
      <c r="E122" s="678"/>
      <c r="F122" s="688"/>
      <c r="G122" s="245" t="s">
        <v>86</v>
      </c>
      <c r="H122" s="457">
        <v>22099</v>
      </c>
      <c r="I122" s="448">
        <v>28279</v>
      </c>
      <c r="J122" s="130">
        <v>7219</v>
      </c>
      <c r="K122" s="274">
        <v>16129</v>
      </c>
      <c r="L122" s="130">
        <v>18626</v>
      </c>
      <c r="M122" s="130">
        <v>26294</v>
      </c>
      <c r="N122" s="130">
        <v>5762</v>
      </c>
      <c r="O122" s="274">
        <f>10591+1268</f>
        <v>11859</v>
      </c>
      <c r="P122" s="516">
        <v>23914</v>
      </c>
      <c r="Q122" s="130">
        <v>24421</v>
      </c>
      <c r="R122" s="130">
        <v>8173</v>
      </c>
      <c r="S122" s="131">
        <v>16211</v>
      </c>
      <c r="T122" s="64"/>
    </row>
    <row r="123" spans="1:20" ht="15" customHeight="1">
      <c r="A123" s="747"/>
      <c r="B123" s="760" t="s">
        <v>425</v>
      </c>
      <c r="C123" s="761"/>
      <c r="D123" s="762"/>
      <c r="E123" s="665" t="s">
        <v>426</v>
      </c>
      <c r="F123" s="689" t="s">
        <v>114</v>
      </c>
      <c r="G123" s="419" t="s">
        <v>85</v>
      </c>
      <c r="H123" s="450">
        <v>4250</v>
      </c>
      <c r="I123" s="450">
        <v>4250</v>
      </c>
      <c r="J123" s="479">
        <f>5950/4</f>
        <v>1487.5</v>
      </c>
      <c r="K123" s="491">
        <f>5950/2</f>
        <v>2975</v>
      </c>
      <c r="L123" s="491">
        <f>5950*3/4</f>
        <v>4462.5</v>
      </c>
      <c r="M123" s="491">
        <f>5950</f>
        <v>5950</v>
      </c>
      <c r="N123" s="498">
        <f>8500/4</f>
        <v>2125</v>
      </c>
      <c r="O123" s="498">
        <f>8500/2</f>
        <v>4250</v>
      </c>
      <c r="P123" s="491">
        <f>8500*3/4</f>
        <v>6375</v>
      </c>
      <c r="Q123" s="491">
        <f>8500</f>
        <v>8500</v>
      </c>
      <c r="R123" s="241">
        <f>8325/4</f>
        <v>2081.25</v>
      </c>
      <c r="S123" s="318">
        <f>8325/2</f>
        <v>4162.5</v>
      </c>
      <c r="T123" s="64"/>
    </row>
    <row r="124" spans="1:20" ht="15" customHeight="1">
      <c r="A124" s="747"/>
      <c r="B124" s="763"/>
      <c r="C124" s="761"/>
      <c r="D124" s="762"/>
      <c r="E124" s="661"/>
      <c r="F124" s="690"/>
      <c r="G124" s="419" t="s">
        <v>86</v>
      </c>
      <c r="H124" s="458">
        <v>3167</v>
      </c>
      <c r="I124" s="451">
        <v>3826</v>
      </c>
      <c r="J124" s="319">
        <v>1383</v>
      </c>
      <c r="K124" s="320">
        <v>2314</v>
      </c>
      <c r="L124" s="319">
        <v>3126</v>
      </c>
      <c r="M124" s="319">
        <v>3846</v>
      </c>
      <c r="N124" s="319">
        <f>1702+155</f>
        <v>1857</v>
      </c>
      <c r="O124" s="320">
        <f>3062+402</f>
        <v>3464</v>
      </c>
      <c r="P124" s="517">
        <f>4534+989</f>
        <v>5523</v>
      </c>
      <c r="Q124" s="241">
        <v>7104</v>
      </c>
      <c r="R124" s="241">
        <f>2136+268</f>
        <v>2404</v>
      </c>
      <c r="S124" s="318">
        <v>4847</v>
      </c>
      <c r="T124" s="64"/>
    </row>
    <row r="125" spans="1:20" ht="15" customHeight="1">
      <c r="A125" s="747"/>
      <c r="B125" s="764" t="s">
        <v>435</v>
      </c>
      <c r="C125" s="755"/>
      <c r="D125" s="756"/>
      <c r="E125" s="677" t="s">
        <v>436</v>
      </c>
      <c r="F125" s="703" t="s">
        <v>114</v>
      </c>
      <c r="G125" s="245" t="s">
        <v>85</v>
      </c>
      <c r="H125" s="448">
        <v>4000</v>
      </c>
      <c r="I125" s="448">
        <v>4000</v>
      </c>
      <c r="J125" s="130">
        <v>4550</v>
      </c>
      <c r="K125" s="492">
        <v>4550</v>
      </c>
      <c r="L125" s="492">
        <v>4550</v>
      </c>
      <c r="M125" s="492">
        <v>4550</v>
      </c>
      <c r="N125" s="492">
        <v>5100</v>
      </c>
      <c r="O125" s="492">
        <v>5100</v>
      </c>
      <c r="P125" s="490">
        <v>5100</v>
      </c>
      <c r="Q125" s="490">
        <v>5100</v>
      </c>
      <c r="R125" s="130">
        <v>5500</v>
      </c>
      <c r="S125" s="131">
        <v>5500</v>
      </c>
      <c r="T125" s="64"/>
    </row>
    <row r="126" spans="1:20" ht="15" customHeight="1">
      <c r="A126" s="747"/>
      <c r="B126" s="754"/>
      <c r="C126" s="755"/>
      <c r="D126" s="756"/>
      <c r="E126" s="678"/>
      <c r="F126" s="704"/>
      <c r="G126" s="245" t="s">
        <v>86</v>
      </c>
      <c r="H126" s="457">
        <v>3518</v>
      </c>
      <c r="I126" s="449">
        <v>3638</v>
      </c>
      <c r="J126" s="130">
        <v>3786</v>
      </c>
      <c r="K126" s="130">
        <v>3899</v>
      </c>
      <c r="L126" s="130">
        <v>4100</v>
      </c>
      <c r="M126" s="130">
        <v>4144</v>
      </c>
      <c r="N126" s="130">
        <v>4260</v>
      </c>
      <c r="O126" s="274">
        <f>3864+501</f>
        <v>4365</v>
      </c>
      <c r="P126" s="516">
        <v>4468</v>
      </c>
      <c r="Q126" s="130">
        <v>4597</v>
      </c>
      <c r="R126" s="130">
        <v>4136</v>
      </c>
      <c r="S126" s="131">
        <v>4798</v>
      </c>
      <c r="T126" s="64"/>
    </row>
    <row r="127" spans="1:20" ht="15" customHeight="1">
      <c r="A127" s="3"/>
      <c r="B127" s="651" t="s">
        <v>421</v>
      </c>
      <c r="C127" s="652"/>
      <c r="D127" s="653"/>
      <c r="E127" s="665" t="s">
        <v>422</v>
      </c>
      <c r="F127" s="712" t="s">
        <v>114</v>
      </c>
      <c r="G127" s="419" t="s">
        <v>85</v>
      </c>
      <c r="H127" s="447">
        <v>28329</v>
      </c>
      <c r="I127" s="447">
        <v>28329</v>
      </c>
      <c r="J127" s="479">
        <f>30814/4</f>
        <v>7703.5</v>
      </c>
      <c r="K127" s="491">
        <f>30814/2</f>
        <v>15407</v>
      </c>
      <c r="L127" s="491">
        <f>30814*3/4</f>
        <v>23110.5</v>
      </c>
      <c r="M127" s="491">
        <f>30814</f>
        <v>30814</v>
      </c>
      <c r="N127" s="498">
        <f>35175/4</f>
        <v>8793.75</v>
      </c>
      <c r="O127" s="498">
        <f>35175/2</f>
        <v>17587.5</v>
      </c>
      <c r="P127" s="491">
        <f>35175*3/4</f>
        <v>26381.25</v>
      </c>
      <c r="Q127" s="491">
        <f>35175</f>
        <v>35175</v>
      </c>
      <c r="R127" s="241">
        <f>36750/4</f>
        <v>9187.5</v>
      </c>
      <c r="S127" s="131">
        <f>36750/2</f>
        <v>18375</v>
      </c>
      <c r="T127" s="64"/>
    </row>
    <row r="128" spans="1:20" ht="15" customHeight="1">
      <c r="A128" s="3"/>
      <c r="B128" s="654"/>
      <c r="C128" s="655"/>
      <c r="D128" s="656"/>
      <c r="E128" s="661"/>
      <c r="F128" s="690"/>
      <c r="G128" s="419" t="s">
        <v>86</v>
      </c>
      <c r="H128" s="460">
        <v>26928</v>
      </c>
      <c r="I128" s="451">
        <v>30330</v>
      </c>
      <c r="J128" s="241">
        <v>13968</v>
      </c>
      <c r="K128" s="275">
        <v>20114</v>
      </c>
      <c r="L128" s="241">
        <v>23118</v>
      </c>
      <c r="M128" s="241">
        <v>27250</v>
      </c>
      <c r="N128" s="241">
        <v>14112</v>
      </c>
      <c r="O128" s="275">
        <v>20290</v>
      </c>
      <c r="P128" s="517">
        <v>16318</v>
      </c>
      <c r="Q128" s="241">
        <v>29891</v>
      </c>
      <c r="R128" s="241">
        <v>16853</v>
      </c>
      <c r="S128" s="131">
        <v>24934</v>
      </c>
      <c r="T128" s="64"/>
    </row>
    <row r="129" spans="1:20" ht="15" customHeight="1">
      <c r="A129" s="3"/>
      <c r="B129" s="679" t="s">
        <v>427</v>
      </c>
      <c r="C129" s="680"/>
      <c r="D129" s="681"/>
      <c r="E129" s="677" t="s">
        <v>428</v>
      </c>
      <c r="F129" s="703" t="s">
        <v>114</v>
      </c>
      <c r="G129" s="420" t="s">
        <v>85</v>
      </c>
      <c r="H129" s="452">
        <v>3060</v>
      </c>
      <c r="I129" s="452">
        <v>3060</v>
      </c>
      <c r="J129" s="480">
        <f>4250/4</f>
        <v>1062.5</v>
      </c>
      <c r="K129" s="493">
        <f>4250/2</f>
        <v>2125</v>
      </c>
      <c r="L129" s="493">
        <f>4250*3/4</f>
        <v>3187.5</v>
      </c>
      <c r="M129" s="493">
        <f>4250</f>
        <v>4250</v>
      </c>
      <c r="N129" s="499">
        <f>6800/4</f>
        <v>1700</v>
      </c>
      <c r="O129" s="499">
        <f>6800/2</f>
        <v>3400</v>
      </c>
      <c r="P129" s="493">
        <f>6800*3/4</f>
        <v>5100</v>
      </c>
      <c r="Q129" s="493">
        <f>6800</f>
        <v>6800</v>
      </c>
      <c r="R129" s="421">
        <f>5550/4</f>
        <v>1387.5</v>
      </c>
      <c r="S129" s="423">
        <f>5550/2</f>
        <v>2775</v>
      </c>
      <c r="T129" s="64"/>
    </row>
    <row r="130" spans="1:20" ht="15" customHeight="1">
      <c r="A130" s="3"/>
      <c r="B130" s="682"/>
      <c r="C130" s="683"/>
      <c r="D130" s="684"/>
      <c r="E130" s="678"/>
      <c r="F130" s="704"/>
      <c r="G130" s="420" t="s">
        <v>86</v>
      </c>
      <c r="H130" s="461">
        <v>1597</v>
      </c>
      <c r="I130" s="452">
        <v>2035</v>
      </c>
      <c r="J130" s="421">
        <f>691+423</f>
        <v>1114</v>
      </c>
      <c r="K130" s="422">
        <f>1285+696</f>
        <v>1981</v>
      </c>
      <c r="L130" s="421">
        <f>1781+1187</f>
        <v>2968</v>
      </c>
      <c r="M130" s="421">
        <v>3889</v>
      </c>
      <c r="N130" s="421">
        <f>741+184</f>
        <v>925</v>
      </c>
      <c r="O130" s="422">
        <f>1452+627</f>
        <v>2079</v>
      </c>
      <c r="P130" s="518">
        <f>2263+963</f>
        <v>3226</v>
      </c>
      <c r="Q130" s="421">
        <v>4637</v>
      </c>
      <c r="R130" s="421">
        <f>878+515</f>
        <v>1393</v>
      </c>
      <c r="S130" s="423">
        <v>2557</v>
      </c>
      <c r="T130" s="64"/>
    </row>
    <row r="131" spans="1:20" ht="15" customHeight="1">
      <c r="A131" s="3"/>
      <c r="B131" s="651" t="s">
        <v>429</v>
      </c>
      <c r="C131" s="652"/>
      <c r="D131" s="653"/>
      <c r="E131" s="665" t="s">
        <v>430</v>
      </c>
      <c r="F131" s="712" t="s">
        <v>114</v>
      </c>
      <c r="G131" s="419" t="s">
        <v>85</v>
      </c>
      <c r="H131" s="447">
        <v>2610</v>
      </c>
      <c r="I131" s="447">
        <v>2610</v>
      </c>
      <c r="J131" s="481">
        <f>3263/4</f>
        <v>815.75</v>
      </c>
      <c r="K131" s="494">
        <f>3263/2</f>
        <v>1631.5</v>
      </c>
      <c r="L131" s="494">
        <f>3263*3/4</f>
        <v>2447.25</v>
      </c>
      <c r="M131" s="494">
        <f>3263</f>
        <v>3263</v>
      </c>
      <c r="N131" s="500">
        <f>4306/4</f>
        <v>1076.5</v>
      </c>
      <c r="O131" s="500">
        <f>4306/2</f>
        <v>2153</v>
      </c>
      <c r="P131" s="494">
        <f>4306*3/4</f>
        <v>3229.5</v>
      </c>
      <c r="Q131" s="494">
        <f>4306</f>
        <v>4306</v>
      </c>
      <c r="R131" s="319">
        <f>3900/4</f>
        <v>975</v>
      </c>
      <c r="S131" s="424">
        <f>3900/2</f>
        <v>1950</v>
      </c>
      <c r="T131" s="64"/>
    </row>
    <row r="132" spans="1:20" ht="15" customHeight="1">
      <c r="A132" s="3"/>
      <c r="B132" s="654"/>
      <c r="C132" s="655"/>
      <c r="D132" s="656"/>
      <c r="E132" s="661"/>
      <c r="F132" s="690"/>
      <c r="G132" s="419" t="s">
        <v>86</v>
      </c>
      <c r="H132" s="460">
        <v>2479</v>
      </c>
      <c r="I132" s="451">
        <v>3160</v>
      </c>
      <c r="J132" s="241">
        <v>1532</v>
      </c>
      <c r="K132" s="275">
        <v>2372</v>
      </c>
      <c r="L132" s="241">
        <v>2885</v>
      </c>
      <c r="M132" s="241">
        <v>3367</v>
      </c>
      <c r="N132" s="241">
        <v>1593</v>
      </c>
      <c r="O132" s="275">
        <v>2476</v>
      </c>
      <c r="P132" s="519">
        <v>3229</v>
      </c>
      <c r="Q132" s="319">
        <v>3844</v>
      </c>
      <c r="R132" s="319">
        <v>1716</v>
      </c>
      <c r="S132" s="424">
        <v>2935</v>
      </c>
      <c r="T132" s="64"/>
    </row>
    <row r="133" spans="1:20" ht="15" customHeight="1">
      <c r="A133" s="3"/>
      <c r="B133" s="679" t="s">
        <v>431</v>
      </c>
      <c r="C133" s="680"/>
      <c r="D133" s="681"/>
      <c r="E133" s="677" t="s">
        <v>432</v>
      </c>
      <c r="F133" s="688" t="s">
        <v>114</v>
      </c>
      <c r="G133" s="420" t="s">
        <v>85</v>
      </c>
      <c r="H133" s="452">
        <v>1958</v>
      </c>
      <c r="I133" s="452">
        <v>1958</v>
      </c>
      <c r="J133" s="480">
        <f>2610/4</f>
        <v>652.5</v>
      </c>
      <c r="K133" s="493">
        <f>2610/2</f>
        <v>1305</v>
      </c>
      <c r="L133" s="493">
        <f>2610*3/4</f>
        <v>1957.5</v>
      </c>
      <c r="M133" s="493">
        <f>2610</f>
        <v>2610</v>
      </c>
      <c r="N133" s="499">
        <f>3589/4</f>
        <v>897.25</v>
      </c>
      <c r="O133" s="499">
        <f>3589/2</f>
        <v>1794.5</v>
      </c>
      <c r="P133" s="493">
        <f>3589*3/4</f>
        <v>2691.75</v>
      </c>
      <c r="Q133" s="493">
        <f>3589</f>
        <v>3589</v>
      </c>
      <c r="R133" s="421">
        <f>2925/4</f>
        <v>731.25</v>
      </c>
      <c r="S133" s="423">
        <f>2925/2</f>
        <v>1462.5</v>
      </c>
      <c r="T133" s="64"/>
    </row>
    <row r="134" spans="1:20" ht="15" customHeight="1">
      <c r="A134" s="3"/>
      <c r="B134" s="682"/>
      <c r="C134" s="683"/>
      <c r="D134" s="684"/>
      <c r="E134" s="678"/>
      <c r="F134" s="688"/>
      <c r="G134" s="420" t="s">
        <v>86</v>
      </c>
      <c r="H134" s="461">
        <v>1562</v>
      </c>
      <c r="I134" s="453">
        <v>2111</v>
      </c>
      <c r="J134" s="421">
        <v>712</v>
      </c>
      <c r="K134" s="422">
        <v>1296</v>
      </c>
      <c r="L134" s="421">
        <v>1735</v>
      </c>
      <c r="M134" s="421">
        <v>2185</v>
      </c>
      <c r="N134" s="421">
        <v>681</v>
      </c>
      <c r="O134" s="422">
        <v>1325</v>
      </c>
      <c r="P134" s="518">
        <v>1971</v>
      </c>
      <c r="Q134" s="421">
        <v>2698</v>
      </c>
      <c r="R134" s="421">
        <v>685</v>
      </c>
      <c r="S134" s="423">
        <v>1393</v>
      </c>
      <c r="T134" s="64"/>
    </row>
    <row r="135" spans="1:20" ht="15" customHeight="1">
      <c r="A135" s="3"/>
      <c r="B135" s="651" t="s">
        <v>433</v>
      </c>
      <c r="C135" s="652"/>
      <c r="D135" s="653"/>
      <c r="E135" s="665" t="s">
        <v>434</v>
      </c>
      <c r="F135" s="663" t="s">
        <v>114</v>
      </c>
      <c r="G135" s="419" t="s">
        <v>85</v>
      </c>
      <c r="H135" s="460">
        <v>5500</v>
      </c>
      <c r="I135" s="460">
        <v>5500</v>
      </c>
      <c r="J135" s="481">
        <f>6000/4</f>
        <v>1500</v>
      </c>
      <c r="K135" s="494">
        <f>6000/2</f>
        <v>3000</v>
      </c>
      <c r="L135" s="494">
        <f>6000*3/4</f>
        <v>4500</v>
      </c>
      <c r="M135" s="494">
        <f>6000</f>
        <v>6000</v>
      </c>
      <c r="N135" s="500">
        <f>6500/4</f>
        <v>1625</v>
      </c>
      <c r="O135" s="500">
        <f>6500/2</f>
        <v>3250</v>
      </c>
      <c r="P135" s="494">
        <f>6500*3/4</f>
        <v>4875</v>
      </c>
      <c r="Q135" s="494">
        <f>6500</f>
        <v>6500</v>
      </c>
      <c r="R135" s="319">
        <f>4690/2</f>
        <v>2345</v>
      </c>
      <c r="S135" s="424">
        <f>4690/2</f>
        <v>2345</v>
      </c>
      <c r="T135" s="64"/>
    </row>
    <row r="136" spans="1:20" ht="15" customHeight="1">
      <c r="A136" s="3"/>
      <c r="B136" s="654"/>
      <c r="C136" s="655"/>
      <c r="D136" s="656"/>
      <c r="E136" s="661"/>
      <c r="F136" s="663"/>
      <c r="G136" s="419" t="s">
        <v>86</v>
      </c>
      <c r="H136" s="460">
        <v>4718</v>
      </c>
      <c r="I136" s="446">
        <v>6068</v>
      </c>
      <c r="J136" s="319">
        <v>1552</v>
      </c>
      <c r="K136" s="319">
        <v>2937</v>
      </c>
      <c r="L136" s="319">
        <v>4226</v>
      </c>
      <c r="M136" s="319">
        <v>5534</v>
      </c>
      <c r="N136" s="319">
        <v>1605</v>
      </c>
      <c r="O136" s="320">
        <v>2611</v>
      </c>
      <c r="P136" s="519">
        <v>4122</v>
      </c>
      <c r="Q136" s="319">
        <v>5978</v>
      </c>
      <c r="R136" s="319">
        <v>1637</v>
      </c>
      <c r="S136" s="424">
        <v>3073</v>
      </c>
      <c r="T136" s="64"/>
    </row>
    <row r="137" spans="1:20" ht="15" hidden="1" customHeight="1">
      <c r="A137" s="3"/>
      <c r="B137" s="722"/>
      <c r="C137" s="723"/>
      <c r="D137" s="724"/>
      <c r="E137" s="659"/>
      <c r="F137" s="660"/>
      <c r="G137" s="420" t="s">
        <v>85</v>
      </c>
      <c r="H137" s="476"/>
      <c r="I137" s="475"/>
      <c r="J137" s="421"/>
      <c r="K137" s="495"/>
      <c r="L137" s="421"/>
      <c r="M137" s="421"/>
      <c r="N137" s="421"/>
      <c r="O137" s="421"/>
      <c r="P137" s="421"/>
      <c r="Q137" s="421"/>
      <c r="R137" s="421"/>
      <c r="S137" s="423"/>
      <c r="T137" s="64"/>
    </row>
    <row r="138" spans="1:20" ht="15" hidden="1" customHeight="1">
      <c r="A138" s="3"/>
      <c r="B138" s="725"/>
      <c r="C138" s="726"/>
      <c r="D138" s="727"/>
      <c r="E138" s="659"/>
      <c r="F138" s="660"/>
      <c r="G138" s="420" t="s">
        <v>86</v>
      </c>
      <c r="H138" s="477"/>
      <c r="I138" s="454"/>
      <c r="J138" s="421"/>
      <c r="K138" s="421"/>
      <c r="L138" s="421"/>
      <c r="M138" s="421"/>
      <c r="N138" s="421"/>
      <c r="O138" s="421"/>
      <c r="P138" s="421"/>
      <c r="Q138" s="421"/>
      <c r="R138" s="421"/>
      <c r="S138" s="423"/>
      <c r="T138" s="64"/>
    </row>
    <row r="139" spans="1:20" ht="15" hidden="1" customHeight="1">
      <c r="A139" s="3"/>
      <c r="B139" s="672"/>
      <c r="C139" s="652"/>
      <c r="D139" s="653"/>
      <c r="E139" s="661"/>
      <c r="F139" s="663"/>
      <c r="G139" s="419" t="s">
        <v>85</v>
      </c>
      <c r="H139" s="447"/>
      <c r="I139" s="446"/>
      <c r="J139" s="319"/>
      <c r="K139" s="319"/>
      <c r="L139" s="319"/>
      <c r="M139" s="319"/>
      <c r="N139" s="319"/>
      <c r="O139" s="319"/>
      <c r="P139" s="319"/>
      <c r="Q139" s="319"/>
      <c r="R139" s="319"/>
      <c r="S139" s="424"/>
      <c r="T139" s="64"/>
    </row>
    <row r="140" spans="1:20" ht="15" hidden="1" customHeight="1" thickBot="1">
      <c r="A140" s="3"/>
      <c r="B140" s="673"/>
      <c r="C140" s="674"/>
      <c r="D140" s="675"/>
      <c r="E140" s="662"/>
      <c r="F140" s="664"/>
      <c r="G140" s="425" t="s">
        <v>86</v>
      </c>
      <c r="H140" s="455"/>
      <c r="I140" s="456"/>
      <c r="J140" s="426"/>
      <c r="K140" s="426"/>
      <c r="L140" s="426"/>
      <c r="M140" s="426"/>
      <c r="N140" s="426"/>
      <c r="O140" s="426"/>
      <c r="P140" s="426"/>
      <c r="Q140" s="426"/>
      <c r="R140" s="426"/>
      <c r="S140" s="427"/>
      <c r="T140" s="64"/>
    </row>
    <row r="141" spans="1:20">
      <c r="A141" s="3"/>
      <c r="B141" s="3"/>
      <c r="C141" s="3"/>
      <c r="D141" s="3"/>
      <c r="E141" s="3"/>
      <c r="F141" s="3"/>
      <c r="G141" s="2"/>
      <c r="H141" s="3"/>
      <c r="I141" s="3"/>
      <c r="J141" s="3"/>
      <c r="K141" s="3"/>
      <c r="L141" s="3"/>
      <c r="M141" s="3"/>
      <c r="N141" s="3"/>
      <c r="O141" s="3"/>
      <c r="R141" s="36"/>
      <c r="S141" s="36"/>
    </row>
    <row r="142" spans="1:20">
      <c r="A142" s="3"/>
      <c r="B142" s="3"/>
      <c r="C142" s="3"/>
      <c r="D142" s="3"/>
      <c r="E142" s="3"/>
      <c r="F142" s="3"/>
      <c r="G142" s="2"/>
      <c r="H142" s="3"/>
      <c r="I142" s="3"/>
      <c r="J142" s="3"/>
      <c r="K142" s="3"/>
      <c r="L142" s="3"/>
      <c r="M142" s="3"/>
      <c r="N142" s="3"/>
      <c r="O142" s="3"/>
      <c r="R142" s="36"/>
      <c r="S142" s="36"/>
    </row>
    <row r="143" spans="1:20">
      <c r="A143" s="3"/>
      <c r="B143" s="3"/>
      <c r="C143" s="3"/>
      <c r="D143" s="3"/>
      <c r="E143" s="3"/>
      <c r="F143" s="3"/>
      <c r="G143" s="2"/>
      <c r="H143" s="3"/>
      <c r="I143" s="3"/>
      <c r="J143" s="3"/>
      <c r="K143" s="3"/>
      <c r="L143" s="3"/>
      <c r="M143" s="3"/>
      <c r="N143" s="3"/>
      <c r="O143" s="3"/>
      <c r="R143" s="36"/>
      <c r="S143" s="36"/>
    </row>
    <row r="144" spans="1:20" ht="16" thickBot="1">
      <c r="A144" s="3"/>
      <c r="B144" s="323"/>
      <c r="C144" s="3"/>
      <c r="D144" s="3"/>
      <c r="E144" s="3"/>
      <c r="F144" s="3"/>
      <c r="G144" s="2"/>
      <c r="H144" s="3"/>
      <c r="I144" s="3"/>
      <c r="J144" s="3"/>
      <c r="K144" s="3"/>
      <c r="L144" s="3"/>
      <c r="M144" s="3"/>
      <c r="N144" s="3"/>
      <c r="O144" s="3"/>
      <c r="R144" s="36"/>
      <c r="S144" s="36"/>
    </row>
    <row r="145" spans="1:21" ht="15" thickBot="1">
      <c r="A145" s="3"/>
      <c r="B145" s="3" t="s">
        <v>404</v>
      </c>
      <c r="C145" s="3"/>
      <c r="D145" s="3"/>
      <c r="E145" s="321" t="s">
        <v>327</v>
      </c>
      <c r="F145" s="279" t="s">
        <v>344</v>
      </c>
      <c r="G145" s="244"/>
      <c r="H145" s="384" t="str">
        <f t="shared" ref="H145:S145" si="6">C30</f>
        <v>P1</v>
      </c>
      <c r="I145" s="384" t="str">
        <f t="shared" si="6"/>
        <v>P2</v>
      </c>
      <c r="J145" s="384" t="str">
        <f t="shared" si="6"/>
        <v>P3</v>
      </c>
      <c r="K145" s="384" t="str">
        <f t="shared" si="6"/>
        <v>P4</v>
      </c>
      <c r="L145" s="384" t="str">
        <f t="shared" si="6"/>
        <v>P5</v>
      </c>
      <c r="M145" s="384" t="str">
        <f t="shared" si="6"/>
        <v>P6</v>
      </c>
      <c r="N145" s="384" t="str">
        <f t="shared" si="6"/>
        <v>P7</v>
      </c>
      <c r="O145" s="384" t="str">
        <f t="shared" si="6"/>
        <v>P8</v>
      </c>
      <c r="P145" s="384" t="str">
        <f t="shared" si="6"/>
        <v>P9</v>
      </c>
      <c r="Q145" s="384" t="str">
        <f t="shared" si="6"/>
        <v>P10</v>
      </c>
      <c r="R145" s="384" t="str">
        <f t="shared" si="6"/>
        <v>P11</v>
      </c>
      <c r="S145" s="385" t="str">
        <f t="shared" si="6"/>
        <v>P12</v>
      </c>
      <c r="T145" s="36"/>
      <c r="U145" s="36"/>
    </row>
    <row r="146" spans="1:21">
      <c r="A146" s="3"/>
      <c r="B146" s="713" t="str">
        <f>IF(ISBLANK(B121),"",(B121))</f>
        <v>Percentage of PWID that have received an HIV test during the reporting period and know their results</v>
      </c>
      <c r="C146" s="714"/>
      <c r="D146" s="715"/>
      <c r="E146" s="649" t="str">
        <f>IF(ISBLANK(E121),"",(E121))</f>
        <v>KP-3d</v>
      </c>
      <c r="F146" s="657" t="str">
        <f>IF(ISBLANK(F121),"",(F121))</f>
        <v>Yes</v>
      </c>
      <c r="G146" s="349" t="s">
        <v>85</v>
      </c>
      <c r="H146" s="404">
        <f t="shared" ref="H146:S146" si="7">H121</f>
        <v>25347</v>
      </c>
      <c r="I146" s="404">
        <f t="shared" si="7"/>
        <v>25347</v>
      </c>
      <c r="J146" s="404">
        <f t="shared" si="7"/>
        <v>6958</v>
      </c>
      <c r="K146" s="404">
        <f t="shared" si="7"/>
        <v>13916</v>
      </c>
      <c r="L146" s="404">
        <f t="shared" si="7"/>
        <v>20874</v>
      </c>
      <c r="M146" s="404">
        <f t="shared" si="7"/>
        <v>27832</v>
      </c>
      <c r="N146" s="404">
        <f t="shared" si="7"/>
        <v>7875</v>
      </c>
      <c r="O146" s="404">
        <f t="shared" si="7"/>
        <v>15750</v>
      </c>
      <c r="P146" s="404">
        <f t="shared" si="7"/>
        <v>23625</v>
      </c>
      <c r="Q146" s="404">
        <f t="shared" si="7"/>
        <v>31500</v>
      </c>
      <c r="R146" s="404">
        <f t="shared" si="7"/>
        <v>8531.25</v>
      </c>
      <c r="S146" s="435">
        <f t="shared" si="7"/>
        <v>17062.5</v>
      </c>
      <c r="T146" s="36"/>
      <c r="U146" s="36"/>
    </row>
    <row r="147" spans="1:21">
      <c r="A147" s="3"/>
      <c r="B147" s="716"/>
      <c r="C147" s="717"/>
      <c r="D147" s="718"/>
      <c r="E147" s="649"/>
      <c r="F147" s="657"/>
      <c r="G147" s="128" t="s">
        <v>86</v>
      </c>
      <c r="H147" s="404">
        <f t="shared" ref="H147:K151" si="8">H122</f>
        <v>22099</v>
      </c>
      <c r="I147" s="404">
        <f t="shared" si="8"/>
        <v>28279</v>
      </c>
      <c r="J147" s="404">
        <f t="shared" si="8"/>
        <v>7219</v>
      </c>
      <c r="K147" s="404">
        <f t="shared" si="8"/>
        <v>16129</v>
      </c>
      <c r="L147" s="404">
        <f t="shared" ref="L147:S147" si="9">L122</f>
        <v>18626</v>
      </c>
      <c r="M147" s="404">
        <f t="shared" si="9"/>
        <v>26294</v>
      </c>
      <c r="N147" s="404">
        <f t="shared" si="9"/>
        <v>5762</v>
      </c>
      <c r="O147" s="404">
        <f t="shared" si="9"/>
        <v>11859</v>
      </c>
      <c r="P147" s="404">
        <f t="shared" si="9"/>
        <v>23914</v>
      </c>
      <c r="Q147" s="404">
        <f t="shared" si="9"/>
        <v>24421</v>
      </c>
      <c r="R147" s="404">
        <f t="shared" si="9"/>
        <v>8173</v>
      </c>
      <c r="S147" s="435">
        <f t="shared" si="9"/>
        <v>16211</v>
      </c>
      <c r="T147" s="36"/>
      <c r="U147" s="36"/>
    </row>
    <row r="148" spans="1:21">
      <c r="A148" s="3"/>
      <c r="B148" s="719" t="str">
        <f>IF(ISBLANK(B123),"",(B123))</f>
        <v>Percentage of MSM reached with HIV prevention programs - defined package of services</v>
      </c>
      <c r="C148" s="720"/>
      <c r="D148" s="721"/>
      <c r="E148" s="676" t="str">
        <f>IF(ISBLANK(E123),"",(E123))</f>
        <v>KP-1a</v>
      </c>
      <c r="F148" s="728" t="str">
        <f>IF(ISBLANK(F123),"",(F123))</f>
        <v>Yes</v>
      </c>
      <c r="G148" s="428" t="s">
        <v>85</v>
      </c>
      <c r="H148" s="429">
        <f t="shared" si="8"/>
        <v>4250</v>
      </c>
      <c r="I148" s="429">
        <f>I123</f>
        <v>4250</v>
      </c>
      <c r="J148" s="429">
        <f t="shared" si="8"/>
        <v>1487.5</v>
      </c>
      <c r="K148" s="429">
        <f>K123</f>
        <v>2975</v>
      </c>
      <c r="L148" s="429">
        <f t="shared" ref="L148:S148" si="10">L123</f>
        <v>4462.5</v>
      </c>
      <c r="M148" s="429">
        <f t="shared" si="10"/>
        <v>5950</v>
      </c>
      <c r="N148" s="429">
        <f t="shared" si="10"/>
        <v>2125</v>
      </c>
      <c r="O148" s="429">
        <f t="shared" si="10"/>
        <v>4250</v>
      </c>
      <c r="P148" s="429">
        <f t="shared" si="10"/>
        <v>6375</v>
      </c>
      <c r="Q148" s="429">
        <f t="shared" si="10"/>
        <v>8500</v>
      </c>
      <c r="R148" s="429">
        <f t="shared" si="10"/>
        <v>2081.25</v>
      </c>
      <c r="S148" s="436">
        <f t="shared" si="10"/>
        <v>4162.5</v>
      </c>
      <c r="T148" s="36"/>
      <c r="U148" s="36"/>
    </row>
    <row r="149" spans="1:21">
      <c r="A149" s="3"/>
      <c r="B149" s="719"/>
      <c r="C149" s="720"/>
      <c r="D149" s="721"/>
      <c r="E149" s="676"/>
      <c r="F149" s="728"/>
      <c r="G149" s="428" t="s">
        <v>86</v>
      </c>
      <c r="H149" s="429">
        <f t="shared" si="8"/>
        <v>3167</v>
      </c>
      <c r="I149" s="429">
        <f t="shared" si="8"/>
        <v>3826</v>
      </c>
      <c r="J149" s="429">
        <f t="shared" si="8"/>
        <v>1383</v>
      </c>
      <c r="K149" s="429">
        <f t="shared" si="8"/>
        <v>2314</v>
      </c>
      <c r="L149" s="429">
        <f t="shared" ref="L149:S149" si="11">L124</f>
        <v>3126</v>
      </c>
      <c r="M149" s="429">
        <f t="shared" si="11"/>
        <v>3846</v>
      </c>
      <c r="N149" s="429">
        <f t="shared" si="11"/>
        <v>1857</v>
      </c>
      <c r="O149" s="429">
        <f t="shared" si="11"/>
        <v>3464</v>
      </c>
      <c r="P149" s="429">
        <f t="shared" si="11"/>
        <v>5523</v>
      </c>
      <c r="Q149" s="429">
        <f t="shared" si="11"/>
        <v>7104</v>
      </c>
      <c r="R149" s="429">
        <f t="shared" si="11"/>
        <v>2404</v>
      </c>
      <c r="S149" s="436">
        <f t="shared" si="11"/>
        <v>4847</v>
      </c>
      <c r="T149" s="36"/>
      <c r="U149" s="36"/>
    </row>
    <row r="150" spans="1:21">
      <c r="A150" s="3"/>
      <c r="B150" s="666" t="str">
        <f>IF(ISBLANK(B125),"",(B125))</f>
        <v xml:space="preserve">Percentage of people living with HIV currently receiving antiretroviral therapy </v>
      </c>
      <c r="C150" s="667"/>
      <c r="D150" s="668"/>
      <c r="E150" s="649" t="str">
        <f>IF(ISBLANK(E125),"",(E125))</f>
        <v>TCS-1</v>
      </c>
      <c r="F150" s="657" t="str">
        <f>IF(ISBLANK(F125),"",(F125))</f>
        <v>Yes</v>
      </c>
      <c r="G150" s="128" t="s">
        <v>85</v>
      </c>
      <c r="H150" s="404">
        <f t="shared" si="8"/>
        <v>4000</v>
      </c>
      <c r="I150" s="404">
        <f t="shared" si="8"/>
        <v>4000</v>
      </c>
      <c r="J150" s="404">
        <f t="shared" si="8"/>
        <v>4550</v>
      </c>
      <c r="K150" s="404">
        <f t="shared" si="8"/>
        <v>4550</v>
      </c>
      <c r="L150" s="404">
        <f t="shared" ref="L150:S150" si="12">L125</f>
        <v>4550</v>
      </c>
      <c r="M150" s="404">
        <f t="shared" si="12"/>
        <v>4550</v>
      </c>
      <c r="N150" s="404">
        <f t="shared" si="12"/>
        <v>5100</v>
      </c>
      <c r="O150" s="404">
        <f t="shared" si="12"/>
        <v>5100</v>
      </c>
      <c r="P150" s="404">
        <f t="shared" si="12"/>
        <v>5100</v>
      </c>
      <c r="Q150" s="404">
        <f t="shared" si="12"/>
        <v>5100</v>
      </c>
      <c r="R150" s="404">
        <f t="shared" si="12"/>
        <v>5500</v>
      </c>
      <c r="S150" s="435">
        <f t="shared" si="12"/>
        <v>5500</v>
      </c>
      <c r="T150" s="36"/>
      <c r="U150" s="36"/>
    </row>
    <row r="151" spans="1:21" ht="15" thickBot="1">
      <c r="A151" s="3"/>
      <c r="B151" s="669"/>
      <c r="C151" s="670"/>
      <c r="D151" s="671"/>
      <c r="E151" s="650"/>
      <c r="F151" s="658"/>
      <c r="G151" s="129" t="s">
        <v>86</v>
      </c>
      <c r="H151" s="405">
        <f t="shared" si="8"/>
        <v>3518</v>
      </c>
      <c r="I151" s="405">
        <f t="shared" si="8"/>
        <v>3638</v>
      </c>
      <c r="J151" s="405">
        <f t="shared" si="8"/>
        <v>3786</v>
      </c>
      <c r="K151" s="405">
        <f t="shared" si="8"/>
        <v>3899</v>
      </c>
      <c r="L151" s="405">
        <f t="shared" ref="L151:S151" si="13">L126</f>
        <v>4100</v>
      </c>
      <c r="M151" s="405">
        <f t="shared" si="13"/>
        <v>4144</v>
      </c>
      <c r="N151" s="405">
        <f t="shared" si="13"/>
        <v>4260</v>
      </c>
      <c r="O151" s="405">
        <f t="shared" si="13"/>
        <v>4365</v>
      </c>
      <c r="P151" s="405">
        <f t="shared" si="13"/>
        <v>4468</v>
      </c>
      <c r="Q151" s="405">
        <f t="shared" si="13"/>
        <v>4597</v>
      </c>
      <c r="R151" s="405">
        <f t="shared" si="13"/>
        <v>4136</v>
      </c>
      <c r="S151" s="437">
        <f t="shared" si="13"/>
        <v>4798</v>
      </c>
      <c r="T151" s="36"/>
      <c r="U151" s="36"/>
    </row>
    <row r="152" spans="1:21">
      <c r="A152" s="3"/>
      <c r="B152" s="3"/>
      <c r="C152" s="3"/>
      <c r="D152" s="3"/>
      <c r="E152" s="3"/>
      <c r="F152" s="3"/>
      <c r="G152" s="3"/>
      <c r="H152" s="3"/>
      <c r="I152" s="3"/>
      <c r="J152" s="3"/>
      <c r="K152" s="3"/>
      <c r="L152" s="3"/>
      <c r="M152" s="3"/>
      <c r="N152"/>
      <c r="O152"/>
      <c r="P152" s="36"/>
      <c r="Q152" s="36"/>
      <c r="S152" s="430"/>
    </row>
    <row r="153" spans="1:21">
      <c r="N153"/>
      <c r="O153"/>
      <c r="P153" s="36"/>
      <c r="Q153" s="36"/>
    </row>
    <row r="154" spans="1:21">
      <c r="N154"/>
      <c r="O154"/>
      <c r="P154" s="36"/>
      <c r="Q154" s="36"/>
    </row>
    <row r="155" spans="1:21">
      <c r="N155"/>
      <c r="O155"/>
      <c r="P155" s="36"/>
      <c r="Q155" s="36"/>
    </row>
  </sheetData>
  <mergeCells count="73">
    <mergeCell ref="A121:A126"/>
    <mergeCell ref="B29:N29"/>
    <mergeCell ref="B121:D122"/>
    <mergeCell ref="B63:D63"/>
    <mergeCell ref="F125:F126"/>
    <mergeCell ref="B123:D124"/>
    <mergeCell ref="B125:D126"/>
    <mergeCell ref="C12:D12"/>
    <mergeCell ref="G24:H24"/>
    <mergeCell ref="C6:D6"/>
    <mergeCell ref="E6:F6"/>
    <mergeCell ref="B75:C75"/>
    <mergeCell ref="B18:C18"/>
    <mergeCell ref="D18:F18"/>
    <mergeCell ref="F146:F147"/>
    <mergeCell ref="F148:F149"/>
    <mergeCell ref="B2:J2"/>
    <mergeCell ref="C4:D4"/>
    <mergeCell ref="E4:F4"/>
    <mergeCell ref="G4:J4"/>
    <mergeCell ref="H16:I16"/>
    <mergeCell ref="I6:J6"/>
    <mergeCell ref="G12:J12"/>
    <mergeCell ref="G10:J10"/>
    <mergeCell ref="E10:F10"/>
    <mergeCell ref="I8:J8"/>
    <mergeCell ref="C10:D10"/>
    <mergeCell ref="E12:F12"/>
    <mergeCell ref="C8:D8"/>
    <mergeCell ref="B14:J14"/>
    <mergeCell ref="B146:D147"/>
    <mergeCell ref="B148:D149"/>
    <mergeCell ref="B131:D132"/>
    <mergeCell ref="B133:D134"/>
    <mergeCell ref="B135:D136"/>
    <mergeCell ref="B137:D138"/>
    <mergeCell ref="F135:F136"/>
    <mergeCell ref="F129:F130"/>
    <mergeCell ref="B74:C74"/>
    <mergeCell ref="B26:C26"/>
    <mergeCell ref="B111:B114"/>
    <mergeCell ref="F131:F132"/>
    <mergeCell ref="E133:E134"/>
    <mergeCell ref="F133:F134"/>
    <mergeCell ref="F127:F128"/>
    <mergeCell ref="I24:J24"/>
    <mergeCell ref="B21:J21"/>
    <mergeCell ref="B76:C76"/>
    <mergeCell ref="E125:E126"/>
    <mergeCell ref="B119:D119"/>
    <mergeCell ref="D24:E24"/>
    <mergeCell ref="O31:O34"/>
    <mergeCell ref="E121:E122"/>
    <mergeCell ref="F121:F122"/>
    <mergeCell ref="F123:F124"/>
    <mergeCell ref="E123:E124"/>
    <mergeCell ref="F50:I50"/>
    <mergeCell ref="E150:E151"/>
    <mergeCell ref="B127:D128"/>
    <mergeCell ref="F150:F151"/>
    <mergeCell ref="E137:E138"/>
    <mergeCell ref="F137:F138"/>
    <mergeCell ref="E139:E140"/>
    <mergeCell ref="F139:F140"/>
    <mergeCell ref="E146:E147"/>
    <mergeCell ref="E127:E128"/>
    <mergeCell ref="E131:E132"/>
    <mergeCell ref="B150:D151"/>
    <mergeCell ref="B139:D140"/>
    <mergeCell ref="E148:E149"/>
    <mergeCell ref="E129:E130"/>
    <mergeCell ref="B129:D130"/>
    <mergeCell ref="E135:E136"/>
  </mergeCells>
  <phoneticPr fontId="30" type="noConversion"/>
  <conditionalFormatting sqref="B34 B32 C32:D33 E32 E33:N33 C31">
    <cfRule type="expression" dxfId="38" priority="3" stopIfTrue="1">
      <formula>+AND(#REF!&gt;=#REF!,#REF!&lt;=#REF!)</formula>
    </cfRule>
  </conditionalFormatting>
  <conditionalFormatting sqref="C34:N34">
    <cfRule type="expression" dxfId="37" priority="4" stopIfTrue="1">
      <formula>+AND(#REF!&gt;=#REF!,#REF!&lt;=#REF!)</formula>
    </cfRule>
  </conditionalFormatting>
  <conditionalFormatting sqref="C30:N30 C97:N97">
    <cfRule type="cellIs" dxfId="36" priority="7" stopIfTrue="1" operator="equal">
      <formula>$C$16</formula>
    </cfRule>
  </conditionalFormatting>
  <conditionalFormatting sqref="C12:D12">
    <cfRule type="cellIs" dxfId="35" priority="9" stopIfTrue="1" operator="equal">
      <formula>"C"</formula>
    </cfRule>
    <cfRule type="cellIs" dxfId="34" priority="10" stopIfTrue="1" operator="equal">
      <formula>"B2"</formula>
    </cfRule>
    <cfRule type="cellIs" dxfId="33" priority="11" stopIfTrue="1" operator="equal">
      <formula>"B1"</formula>
    </cfRule>
  </conditionalFormatting>
  <conditionalFormatting sqref="H119:S120 H145:S145">
    <cfRule type="cellIs" dxfId="32" priority="18" stopIfTrue="1" operator="equal">
      <formula>$C$16</formula>
    </cfRule>
  </conditionalFormatting>
  <conditionalFormatting sqref="F50:I50">
    <cfRule type="expression" dxfId="31" priority="19" stopIfTrue="1">
      <formula>LEFT($F$50,2)="OK"</formula>
    </cfRule>
  </conditionalFormatting>
  <conditionalFormatting sqref="G32:H32">
    <cfRule type="expression" dxfId="30" priority="1" stopIfTrue="1">
      <formula>+AND(#REF!&gt;=#REF!,#REF!&lt;=#REF!)</formula>
    </cfRule>
  </conditionalFormatting>
  <dataValidations count="9">
    <dataValidation type="list" allowBlank="1" showInputMessage="1" showErrorMessage="1" sqref="B111 G6">
      <formula1>Component</formula1>
    </dataValidation>
    <dataValidation type="list" allowBlank="1" showInputMessage="1" showErrorMessage="1" sqref="C16">
      <formula1>PERIOD</formula1>
    </dataValidation>
    <dataValidation type="list" allowBlank="1" showInputMessage="1" showErrorMessage="1" sqref="G10:J10">
      <formula1>LFA</formula1>
    </dataValidation>
    <dataValidation type="list" allowBlank="1" showInputMessage="1" showErrorMessage="1" sqref="C4:D4">
      <formula1>Countries</formula1>
    </dataValidation>
    <dataValidation type="list" allowBlank="1" showInputMessage="1" showErrorMessage="1" sqref="C12:D12">
      <formula1>Rating</formula1>
    </dataValidation>
    <dataValidation type="list" allowBlank="1" showInputMessage="1" showErrorMessage="1" sqref="I8:J8">
      <formula1>Phase</formula1>
    </dataValidation>
    <dataValidation type="list" allowBlank="1" showInputMessage="1" showErrorMessage="1" sqref="G8">
      <formula1>Round</formula1>
    </dataValidation>
    <dataValidation type="list" allowBlank="1" showInputMessage="1" showErrorMessage="1" sqref="D26">
      <formula1>Currency</formula1>
    </dataValidation>
    <dataValidation type="list" allowBlank="1" showInputMessage="1" showErrorMessage="1" sqref="C111:C114">
      <formula1>Medicaments</formula1>
    </dataValidation>
  </dataValidations>
  <pageMargins left="0.70866141732283472" right="0.70866141732283472" top="0.74803149606299213" bottom="0.74803149606299213" header="0.31496062992125984" footer="0.31496062992125984"/>
  <pageSetup paperSize="9" orientation="landscape" r:id="rId1"/>
  <headerFooter>
    <oddFooter>&amp;L&amp;F&amp;C&amp;A&amp;RV1.0          &amp;D</oddFooter>
  </headerFooter>
  <rowBreaks count="1" manualBreakCount="1">
    <brk id="51" max="16383" man="1"/>
  </rowBreaks>
  <ignoredErrors>
    <ignoredError sqref="H145:S145 E146 C32 D50 I32:J32 K100:L100 G100 L99:M99 C55:D55 C58:D58 C56:C57 D41" unlocked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51"/>
  </sheetPr>
  <dimension ref="A1:X18"/>
  <sheetViews>
    <sheetView showGridLines="0" zoomScaleSheetLayoutView="100" workbookViewId="0">
      <selection activeCell="E1" sqref="E1:E1048576"/>
    </sheetView>
  </sheetViews>
  <sheetFormatPr defaultColWidth="11.453125" defaultRowHeight="14.5"/>
  <cols>
    <col min="1" max="1" width="21.1796875" style="3" customWidth="1"/>
    <col min="2" max="2" width="12.453125" style="3" customWidth="1"/>
    <col min="3" max="3" width="20.453125" style="3" customWidth="1"/>
    <col min="4" max="4" width="15.36328125" style="3" customWidth="1"/>
    <col min="5" max="5" width="11.6328125" style="3" customWidth="1"/>
    <col min="6" max="6" width="10.6328125" style="3" customWidth="1"/>
    <col min="7" max="7" width="11.6328125" style="3" customWidth="1"/>
    <col min="8" max="8" width="15" style="3" customWidth="1"/>
    <col min="9" max="9" width="9.453125" style="3" customWidth="1"/>
    <col min="10" max="10" width="13" style="3" customWidth="1"/>
    <col min="11" max="11" width="11.453125" style="3" customWidth="1"/>
    <col min="12" max="12" width="8.1796875" style="3" customWidth="1"/>
    <col min="13" max="13" width="9.6328125" style="3" customWidth="1"/>
    <col min="14" max="14" width="8.453125" style="3" customWidth="1"/>
    <col min="15" max="15" width="7.1796875" style="3" customWidth="1"/>
    <col min="16" max="16384" width="11.453125" style="3"/>
  </cols>
  <sheetData>
    <row r="1" spans="1:24" ht="21" customHeight="1">
      <c r="A1" s="2"/>
      <c r="B1" s="2"/>
      <c r="C1" s="2"/>
      <c r="D1" s="2"/>
      <c r="E1" s="2"/>
      <c r="F1" s="2"/>
      <c r="G1" s="271"/>
      <c r="H1" s="2"/>
      <c r="I1" s="2"/>
      <c r="J1" s="2"/>
    </row>
    <row r="2" spans="1:24" ht="25.5" customHeight="1"/>
    <row r="3" spans="1:24" ht="36">
      <c r="B3" s="770" t="str">
        <f>+"Dashboard: "&amp;" "&amp;+IF('Data Entry'!C4="Please Select","",'Data Entry'!C4&amp;" - ")&amp;+IF('Data Entry'!G6="Please Select","",'Data Entry'!G6)</f>
        <v>Dashboard:  Georgia - HIV / AIDS</v>
      </c>
      <c r="C3" s="770"/>
      <c r="D3" s="770"/>
      <c r="E3" s="770"/>
      <c r="F3" s="770"/>
      <c r="G3" s="770"/>
      <c r="H3" s="770"/>
      <c r="I3" s="770"/>
      <c r="J3" s="770"/>
      <c r="K3" s="4"/>
      <c r="L3" s="4"/>
      <c r="M3" s="4"/>
      <c r="N3" s="5"/>
      <c r="O3" s="5"/>
      <c r="P3" s="5"/>
      <c r="Q3" s="5"/>
      <c r="R3" s="5"/>
      <c r="S3" s="5"/>
      <c r="T3" s="5"/>
    </row>
    <row r="4" spans="1:24" ht="15" customHeight="1">
      <c r="L4" s="5"/>
      <c r="M4" s="5"/>
      <c r="N4" s="5"/>
      <c r="O4" s="5"/>
      <c r="P4" s="5"/>
      <c r="Q4" s="5"/>
      <c r="R4" s="5"/>
      <c r="S4" s="5"/>
      <c r="T4" s="5"/>
    </row>
    <row r="5" spans="1:24">
      <c r="L5" s="5"/>
      <c r="M5" s="5"/>
      <c r="N5" s="5"/>
      <c r="O5" s="5"/>
      <c r="P5" s="5"/>
      <c r="Q5" s="5"/>
      <c r="R5" s="5"/>
      <c r="S5" s="5"/>
      <c r="T5" s="5"/>
    </row>
    <row r="6" spans="1:24" ht="32.25" customHeight="1">
      <c r="A6" s="264" t="s">
        <v>25</v>
      </c>
      <c r="B6" s="771" t="str">
        <f>+IF('Data Entry'!C4="Please Select","",'Data Entry'!C4)</f>
        <v>Georgia</v>
      </c>
      <c r="C6" s="771"/>
      <c r="D6" s="774" t="s">
        <v>11</v>
      </c>
      <c r="E6" s="774"/>
      <c r="F6" s="775" t="str">
        <f>+'Data Entry'!G4</f>
        <v xml:space="preserve">Sustaining and Scaling up the Effective HIV/AIDS Prevention, Treatment and Care in Georgia </v>
      </c>
      <c r="G6" s="775"/>
      <c r="H6" s="775"/>
      <c r="I6" s="775"/>
      <c r="J6" s="775"/>
      <c r="K6" s="50"/>
      <c r="L6" s="82"/>
      <c r="M6" s="50"/>
      <c r="N6" s="50"/>
      <c r="O6" s="50"/>
      <c r="P6" s="51"/>
      <c r="Q6" s="17"/>
      <c r="R6" s="17"/>
      <c r="S6" s="17"/>
      <c r="T6" s="17"/>
      <c r="U6" s="17"/>
    </row>
    <row r="7" spans="1:24" ht="8.25" customHeight="1">
      <c r="B7" s="6"/>
      <c r="C7" s="7"/>
      <c r="D7" s="7"/>
      <c r="E7" s="8"/>
      <c r="F7" s="8"/>
      <c r="G7" s="9"/>
      <c r="H7" s="9"/>
      <c r="K7" s="50"/>
      <c r="L7" s="50"/>
      <c r="M7" s="50"/>
      <c r="N7" s="50"/>
      <c r="O7" s="50"/>
      <c r="P7" s="51"/>
      <c r="Q7" s="17"/>
      <c r="R7" s="17"/>
      <c r="S7" s="17"/>
      <c r="T7" s="17"/>
      <c r="U7" s="17"/>
    </row>
    <row r="8" spans="1:24" ht="3.75" customHeight="1">
      <c r="C8" s="10"/>
      <c r="D8" s="10"/>
      <c r="E8" s="10"/>
      <c r="F8" s="10"/>
      <c r="G8" s="10"/>
      <c r="H8" s="10"/>
      <c r="I8" s="10"/>
      <c r="J8" s="10"/>
      <c r="K8" s="50"/>
      <c r="L8" s="50"/>
      <c r="M8" s="50"/>
      <c r="N8" s="50"/>
      <c r="O8" s="52"/>
      <c r="P8" s="51"/>
      <c r="Q8" s="52"/>
      <c r="R8" s="53"/>
      <c r="S8" s="17"/>
      <c r="T8" s="17"/>
      <c r="U8" s="17"/>
    </row>
    <row r="9" spans="1:24" ht="25.5" customHeight="1">
      <c r="A9" s="374" t="s">
        <v>26</v>
      </c>
      <c r="B9" s="340" t="str">
        <f>+IF('Data Entry'!G6="Please Select","",'Data Entry'!G6)</f>
        <v>HIV / AIDS</v>
      </c>
      <c r="C9" s="224" t="s">
        <v>328</v>
      </c>
      <c r="D9" s="341" t="str">
        <f>+'Data Entry'!C6</f>
        <v>GEO-H-NCDC</v>
      </c>
      <c r="E9" s="773" t="s">
        <v>12</v>
      </c>
      <c r="F9" s="773"/>
      <c r="G9" s="342">
        <f>+IF(ISBLANK('Data Entry'!C10),"",'Data Entry'!C10)</f>
        <v>42552</v>
      </c>
      <c r="H9" s="374" t="s">
        <v>329</v>
      </c>
      <c r="I9" s="772">
        <f>+IF(ISBLANK('Data Entry'!I6),"",'Data Entry'!I6)</f>
        <v>17962183.992709801</v>
      </c>
      <c r="J9" s="772"/>
      <c r="K9" s="50"/>
      <c r="L9" s="50"/>
      <c r="M9" s="50"/>
      <c r="N9" s="50"/>
      <c r="O9" s="52"/>
      <c r="P9" s="51"/>
      <c r="Q9" s="52"/>
      <c r="R9" s="53"/>
      <c r="S9" s="17"/>
      <c r="T9" s="11"/>
      <c r="U9" s="11"/>
      <c r="V9" s="10"/>
      <c r="W9" s="10"/>
      <c r="X9" s="10"/>
    </row>
    <row r="10" spans="1:24" ht="25.5" customHeight="1">
      <c r="A10" s="374" t="s">
        <v>323</v>
      </c>
      <c r="B10" s="343" t="str">
        <f>+IF('Data Entry'!G8="Please Select","",'Data Entry'!G8)</f>
        <v>NFM</v>
      </c>
      <c r="C10" s="224" t="s">
        <v>322</v>
      </c>
      <c r="D10" s="344" t="str">
        <f>+IF('Data Entry'!I8="Please Select","",'Data Entry'!I8)</f>
        <v>N/A</v>
      </c>
      <c r="E10" s="766" t="s">
        <v>268</v>
      </c>
      <c r="F10" s="766"/>
      <c r="G10" s="765" t="str">
        <f>+'Data Entry'!C8</f>
        <v>NCDC</v>
      </c>
      <c r="H10" s="765"/>
      <c r="I10" s="765"/>
      <c r="J10" s="765"/>
      <c r="K10" s="54"/>
      <c r="L10" s="54"/>
      <c r="M10" s="50"/>
      <c r="N10" s="54"/>
      <c r="O10" s="52"/>
      <c r="P10" s="51"/>
      <c r="Q10" s="11"/>
      <c r="R10" s="53"/>
      <c r="S10" s="17"/>
      <c r="T10" s="11"/>
      <c r="U10" s="11"/>
    </row>
    <row r="11" spans="1:24" ht="25.5" customHeight="1">
      <c r="A11" s="374" t="s">
        <v>20</v>
      </c>
      <c r="B11" s="345" t="str">
        <f>+'Data Entry'!C16</f>
        <v>P12</v>
      </c>
      <c r="C11" s="326" t="s">
        <v>266</v>
      </c>
      <c r="D11" s="346">
        <f>+IF(ISBLANK('Data Entry'!E16),"",'Data Entry'!E16)</f>
        <v>43556</v>
      </c>
      <c r="E11" s="773" t="s">
        <v>21</v>
      </c>
      <c r="F11" s="773"/>
      <c r="G11" s="346">
        <f>+IF(ISBLANK('Data Entry'!G16),"",'Data Entry'!G16)</f>
        <v>43646</v>
      </c>
      <c r="H11" s="374" t="s">
        <v>28</v>
      </c>
      <c r="I11" s="767" t="str">
        <f>+IF('Data Entry'!C12="Please Select","",'Data Entry'!C12)</f>
        <v>B1</v>
      </c>
      <c r="J11" s="767"/>
      <c r="K11" s="270"/>
      <c r="L11" s="54"/>
      <c r="M11" s="50"/>
      <c r="N11" s="54"/>
      <c r="O11" s="54"/>
      <c r="P11" s="51"/>
      <c r="Q11" s="11"/>
      <c r="R11" s="53"/>
      <c r="S11" s="17"/>
      <c r="T11" s="12"/>
      <c r="U11" s="11"/>
    </row>
    <row r="12" spans="1:24" ht="25.5" customHeight="1">
      <c r="A12" s="374" t="s">
        <v>30</v>
      </c>
      <c r="B12" s="765" t="str">
        <f>+IF('Data Entry'!G10="Please Select","",'Data Entry'!G10)</f>
        <v>UNOPS</v>
      </c>
      <c r="C12" s="765"/>
      <c r="D12" s="765"/>
      <c r="E12" s="766" t="s">
        <v>289</v>
      </c>
      <c r="F12" s="766"/>
      <c r="G12" s="765" t="str">
        <f>+'Data Entry'!G12</f>
        <v>Tatyana Vinichenko</v>
      </c>
      <c r="H12" s="765"/>
      <c r="I12" s="765"/>
      <c r="J12" s="765"/>
      <c r="K12" s="54"/>
      <c r="L12" s="54"/>
      <c r="M12" s="50"/>
      <c r="N12" s="54"/>
      <c r="O12" s="17"/>
      <c r="P12" s="51"/>
      <c r="Q12" s="11"/>
      <c r="R12" s="53"/>
      <c r="S12" s="17"/>
      <c r="T12" s="11"/>
      <c r="U12" s="55"/>
      <c r="V12" s="11"/>
      <c r="W12" s="12"/>
      <c r="X12" s="11"/>
    </row>
    <row r="13" spans="1:24" ht="25.5" customHeight="1">
      <c r="A13" s="374" t="s">
        <v>31</v>
      </c>
      <c r="B13" s="765" t="str">
        <f>+'Data Entry'!D18</f>
        <v>Alexander Asatiani</v>
      </c>
      <c r="C13" s="765"/>
      <c r="D13" s="765"/>
      <c r="E13" s="766" t="s">
        <v>29</v>
      </c>
      <c r="F13" s="766"/>
      <c r="G13" s="768">
        <f>+IF(ISBLANK('Data Entry'!J16),"",'Data Entry'!J16)</f>
        <v>43697</v>
      </c>
      <c r="H13" s="769"/>
      <c r="I13" s="769"/>
      <c r="J13" s="769"/>
      <c r="K13" s="17"/>
      <c r="L13" s="18"/>
      <c r="M13" s="18"/>
      <c r="N13" s="18"/>
      <c r="O13" s="17"/>
      <c r="P13" s="18"/>
      <c r="Q13" s="18"/>
      <c r="R13" s="53"/>
      <c r="S13" s="17"/>
      <c r="T13" s="18"/>
      <c r="U13" s="56"/>
    </row>
    <row r="14" spans="1:24">
      <c r="A14" s="14"/>
      <c r="B14" s="14"/>
      <c r="C14" s="16"/>
      <c r="D14" s="16"/>
      <c r="E14" s="16"/>
      <c r="F14" s="16"/>
      <c r="L14" s="13"/>
      <c r="M14" s="13"/>
      <c r="N14" s="13"/>
      <c r="O14" s="13"/>
      <c r="P14" s="13"/>
      <c r="Q14" s="13"/>
      <c r="R14" s="13"/>
      <c r="S14" s="13"/>
      <c r="T14" s="13"/>
      <c r="U14" s="13"/>
    </row>
    <row r="15" spans="1:24">
      <c r="A15" s="16"/>
      <c r="B15" s="16"/>
      <c r="C15" s="16"/>
      <c r="D15" s="16"/>
      <c r="E15" s="16"/>
      <c r="F15" s="16"/>
      <c r="L15" s="13"/>
      <c r="M15" s="13"/>
      <c r="N15" s="13"/>
      <c r="O15" s="13"/>
      <c r="P15" s="13"/>
      <c r="Q15" s="13"/>
      <c r="R15" s="13"/>
      <c r="S15" s="13"/>
      <c r="T15" s="13"/>
      <c r="U15" s="13"/>
    </row>
    <row r="16" spans="1:24">
      <c r="A16" s="16"/>
      <c r="B16" s="16"/>
      <c r="C16" s="233"/>
      <c r="D16" s="16"/>
      <c r="E16" s="375"/>
      <c r="F16" s="15"/>
      <c r="L16" s="13"/>
      <c r="M16" s="13"/>
      <c r="N16" s="13"/>
      <c r="O16" s="13"/>
      <c r="P16" s="13"/>
      <c r="Q16" s="13"/>
      <c r="R16" s="13"/>
      <c r="S16" s="13"/>
      <c r="T16" s="13"/>
      <c r="U16" s="13"/>
    </row>
    <row r="17" spans="1:6">
      <c r="A17" s="16"/>
      <c r="B17" s="16"/>
      <c r="C17" s="16"/>
      <c r="D17" s="16"/>
      <c r="E17" s="16"/>
      <c r="F17" s="15"/>
    </row>
    <row r="18" spans="1:6">
      <c r="A18" s="15"/>
      <c r="B18" s="15"/>
      <c r="C18" s="15"/>
      <c r="D18" s="15"/>
      <c r="E18" s="15"/>
      <c r="F18" s="15"/>
    </row>
  </sheetData>
  <sheetProtection password="CFC9" sheet="1"/>
  <dataConsolidate/>
  <mergeCells count="16">
    <mergeCell ref="B3:J3"/>
    <mergeCell ref="B12:D12"/>
    <mergeCell ref="B6:C6"/>
    <mergeCell ref="I9:J9"/>
    <mergeCell ref="E11:F11"/>
    <mergeCell ref="E12:F12"/>
    <mergeCell ref="D6:E6"/>
    <mergeCell ref="F6:J6"/>
    <mergeCell ref="E9:F9"/>
    <mergeCell ref="G10:J10"/>
    <mergeCell ref="B13:D13"/>
    <mergeCell ref="E10:F10"/>
    <mergeCell ref="I11:J11"/>
    <mergeCell ref="G12:J12"/>
    <mergeCell ref="E13:F13"/>
    <mergeCell ref="G13:J13"/>
  </mergeCells>
  <phoneticPr fontId="30" type="noConversion"/>
  <conditionalFormatting sqref="I11:J11">
    <cfRule type="cellIs" dxfId="29" priority="1" stopIfTrue="1" operator="equal">
      <formula>"C"</formula>
    </cfRule>
    <cfRule type="cellIs" dxfId="28" priority="2" stopIfTrue="1" operator="equal">
      <formula>"B2"</formula>
    </cfRule>
    <cfRule type="cellIs" dxfId="27" priority="3" stopIfTrue="1" operator="equal">
      <formula>"B1"</formula>
    </cfRule>
  </conditionalFormatting>
  <dataValidations count="1">
    <dataValidation type="list" allowBlank="1" showInputMessage="1" showErrorMessage="1" sqref="G7">
      <formula1>$K$8:$K$9</formula1>
    </dataValidation>
  </dataValidations>
  <pageMargins left="0.70866141732283472" right="0.70866141732283472" top="0.74803149606299213" bottom="0.74803149606299213" header="0.31496062992125984" footer="0.31496062992125984"/>
  <pageSetup paperSize="9" scale="92" orientation="landscape"/>
  <headerFooter>
    <oddFooter>&amp;L&amp;F&amp;C&amp;A&amp;RV1.0          &amp;D</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1"/>
  </sheetPr>
  <dimension ref="A1:O34"/>
  <sheetViews>
    <sheetView showGridLines="0" topLeftCell="A7" zoomScale="110" zoomScaleNormal="110" zoomScalePageLayoutView="160" workbookViewId="0">
      <selection activeCell="I32" sqref="I32"/>
    </sheetView>
  </sheetViews>
  <sheetFormatPr defaultColWidth="11" defaultRowHeight="14.5"/>
  <cols>
    <col min="1" max="1" width="3.453125" customWidth="1"/>
    <col min="2" max="2" width="11.36328125" customWidth="1"/>
    <col min="3" max="3" width="5.1796875" customWidth="1"/>
    <col min="4" max="4" width="12.453125" customWidth="1"/>
    <col min="5" max="5" width="11.453125" customWidth="1"/>
    <col min="6" max="6" width="14.36328125" customWidth="1"/>
    <col min="7" max="7" width="3.81640625" customWidth="1"/>
    <col min="8" max="8" width="10.453125" customWidth="1"/>
    <col min="9" max="9" width="14.6328125" customWidth="1"/>
    <col min="10" max="10" width="12" customWidth="1"/>
    <col min="11" max="11" width="11.6328125" customWidth="1"/>
  </cols>
  <sheetData>
    <row r="1" spans="2:15" ht="30.75" customHeight="1">
      <c r="B1" s="3"/>
      <c r="C1" s="3"/>
      <c r="D1" s="3"/>
      <c r="E1" s="3"/>
      <c r="F1" s="3"/>
      <c r="G1" s="3"/>
      <c r="H1" s="3"/>
      <c r="I1" s="3"/>
      <c r="J1" s="3"/>
      <c r="K1" s="3"/>
    </row>
    <row r="2" spans="2:15" ht="27.75" customHeight="1">
      <c r="B2" s="696" t="str">
        <f>+"Dashboard:  "&amp;"  "&amp;IF(+'Data Entry'!C4="Please Select","",'Data Entry'!C4&amp;" - ")&amp;IF('Data Entry'!G6="Please Select","",'Data Entry'!G6)</f>
        <v>Dashboard:    Georgia - HIV / AIDS</v>
      </c>
      <c r="C2" s="696"/>
      <c r="D2" s="696"/>
      <c r="E2" s="696"/>
      <c r="F2" s="696"/>
      <c r="G2" s="696"/>
      <c r="H2" s="696"/>
      <c r="I2" s="696"/>
      <c r="J2" s="696"/>
      <c r="K2" s="696"/>
      <c r="L2" s="1"/>
      <c r="M2" s="1"/>
      <c r="N2" s="1"/>
      <c r="O2" s="1"/>
    </row>
    <row r="3" spans="2:15">
      <c r="B3" s="132" t="str">
        <f>+IF('Data Entry'!G8="Please Select","",'Data Entry'!G8)</f>
        <v>NFM</v>
      </c>
      <c r="C3" s="791" t="str">
        <f>+IF('Data Entry'!I8="Please Select","",'Data Entry'!I8)</f>
        <v>N/A</v>
      </c>
      <c r="D3" s="791"/>
      <c r="E3" s="790"/>
      <c r="F3" s="790"/>
      <c r="G3" s="790"/>
      <c r="H3" s="790"/>
      <c r="I3" s="788" t="str">
        <f>+'Data Entry'!B16</f>
        <v>Report Period:</v>
      </c>
      <c r="J3" s="788"/>
      <c r="K3" s="197" t="str">
        <f>+'Data Entry'!C16</f>
        <v>P12</v>
      </c>
      <c r="L3" s="83"/>
    </row>
    <row r="4" spans="2:15">
      <c r="B4" s="132" t="str">
        <f>+'Data Entry'!B12</f>
        <v>Latest Rating:</v>
      </c>
      <c r="C4" s="792" t="str">
        <f>+IF('Data Entry'!C12="Please Select","",'Data Entry'!C12)</f>
        <v>B1</v>
      </c>
      <c r="D4" s="792"/>
      <c r="E4" s="790" t="str">
        <f>+'Data Entry'!C8</f>
        <v>NCDC</v>
      </c>
      <c r="F4" s="790"/>
      <c r="G4" s="790"/>
      <c r="H4" s="790"/>
      <c r="I4" s="788" t="str">
        <f>+'Data Entry'!D16</f>
        <v>From:</v>
      </c>
      <c r="J4" s="789"/>
      <c r="K4" s="199">
        <f>+IF(ISBLANK('Data Entry'!E16),"",'Data Entry'!E16)</f>
        <v>43556</v>
      </c>
    </row>
    <row r="5" spans="2:15" ht="18.75" customHeight="1">
      <c r="B5" s="132"/>
      <c r="C5" s="132"/>
      <c r="D5" s="787" t="str">
        <f>+'Data Entry'!G4</f>
        <v xml:space="preserve">Sustaining and Scaling up the Effective HIV/AIDS Prevention, Treatment and Care in Georgia </v>
      </c>
      <c r="E5" s="787"/>
      <c r="F5" s="787"/>
      <c r="G5" s="787"/>
      <c r="H5" s="787"/>
      <c r="I5" s="787"/>
      <c r="J5" s="132" t="str">
        <f>+'Data Entry'!F16</f>
        <v>To:</v>
      </c>
      <c r="K5" s="199">
        <f>+IF(ISBLANK('Data Entry'!G16),"",'Data Entry'!G16)</f>
        <v>43646</v>
      </c>
    </row>
    <row r="6" spans="2:15" ht="18.5">
      <c r="B6" s="136"/>
      <c r="C6" s="132"/>
      <c r="D6" s="133"/>
      <c r="E6" s="776" t="s">
        <v>62</v>
      </c>
      <c r="F6" s="776"/>
      <c r="G6" s="776"/>
      <c r="H6" s="776"/>
      <c r="I6" s="3"/>
      <c r="J6" s="3"/>
      <c r="K6" s="3"/>
    </row>
    <row r="7" spans="2:15" ht="10.5" customHeight="1">
      <c r="B7" s="137"/>
      <c r="C7" s="138"/>
      <c r="D7" s="139"/>
      <c r="E7" s="140"/>
      <c r="F7" s="140"/>
      <c r="G7" s="141"/>
      <c r="H7" s="141"/>
      <c r="I7" s="135"/>
      <c r="J7" s="135"/>
      <c r="K7" s="134"/>
    </row>
    <row r="8" spans="2:15">
      <c r="B8" s="202" t="str">
        <f>+'Data Entry'!B27&amp; " - in ("&amp;'Data Entry'!D26&amp;")         "&amp;+I3&amp;" "&amp;+K3</f>
        <v>F1: Budget and disbursements by Global Fund - in ($)         Report Period: P12</v>
      </c>
      <c r="C8" s="142"/>
      <c r="D8" s="2"/>
      <c r="E8" s="2"/>
      <c r="F8" s="2"/>
      <c r="H8" s="202" t="str">
        <f>+'Data Entry'!B52&amp; " - in ("&amp;'Data Entry'!D26&amp;")         "&amp;+I3&amp;" "&amp;+K3</f>
        <v>F3: Disbursements and expenditures - in ($)         Report Period: P12</v>
      </c>
      <c r="I8" s="3"/>
      <c r="J8" s="3"/>
      <c r="K8" s="3"/>
    </row>
    <row r="9" spans="2:15">
      <c r="B9" s="350" t="s">
        <v>9</v>
      </c>
      <c r="C9" s="784"/>
      <c r="D9" s="785"/>
      <c r="E9" s="785"/>
      <c r="F9" s="786"/>
      <c r="H9" s="351" t="s">
        <v>9</v>
      </c>
      <c r="I9" s="793"/>
      <c r="J9" s="785"/>
      <c r="K9" s="786"/>
    </row>
    <row r="10" spans="2:15">
      <c r="B10" s="2"/>
      <c r="C10" s="2"/>
      <c r="D10" s="2"/>
      <c r="E10" s="2"/>
      <c r="F10" s="2"/>
      <c r="G10" s="3"/>
      <c r="H10" s="3"/>
      <c r="I10" s="3"/>
      <c r="J10" s="3"/>
      <c r="K10" s="3"/>
    </row>
    <row r="11" spans="2:15">
      <c r="B11" s="2"/>
      <c r="C11" s="2"/>
      <c r="D11" s="2"/>
      <c r="E11" s="2"/>
      <c r="F11" s="2"/>
      <c r="G11" s="3"/>
      <c r="H11" s="3"/>
      <c r="I11" s="3"/>
      <c r="J11" s="3"/>
      <c r="K11" s="3"/>
    </row>
    <row r="12" spans="2:15">
      <c r="B12" s="2"/>
      <c r="C12" s="2"/>
      <c r="D12" s="2"/>
      <c r="E12" s="2"/>
      <c r="F12" s="2"/>
      <c r="G12" s="3"/>
      <c r="H12" s="3"/>
      <c r="I12" s="3"/>
      <c r="J12" s="3"/>
      <c r="K12" s="3"/>
    </row>
    <row r="13" spans="2:15">
      <c r="B13" s="2"/>
      <c r="C13" s="2"/>
      <c r="D13" s="2"/>
      <c r="E13" s="2"/>
      <c r="F13" s="2"/>
      <c r="G13" s="3"/>
      <c r="H13" s="3"/>
      <c r="I13" s="3"/>
      <c r="J13" s="3"/>
      <c r="K13" s="3"/>
    </row>
    <row r="14" spans="2:15">
      <c r="B14" s="2"/>
      <c r="C14" s="2"/>
      <c r="D14" s="2"/>
      <c r="E14" s="2"/>
      <c r="F14" s="2"/>
      <c r="G14" s="3"/>
      <c r="H14" s="3"/>
      <c r="I14" s="3"/>
      <c r="J14" s="3"/>
      <c r="K14" s="3"/>
    </row>
    <row r="15" spans="2:15">
      <c r="B15" s="2"/>
      <c r="C15" s="2"/>
      <c r="D15" s="2"/>
      <c r="E15" s="2"/>
      <c r="F15" s="2"/>
      <c r="G15" s="3"/>
      <c r="H15" s="3"/>
      <c r="I15" s="3"/>
      <c r="J15" s="3"/>
      <c r="K15" s="3"/>
    </row>
    <row r="16" spans="2:15">
      <c r="B16" s="2"/>
      <c r="C16" s="2"/>
      <c r="D16" s="2"/>
      <c r="E16" s="2"/>
      <c r="F16" s="2"/>
      <c r="G16" s="3"/>
      <c r="H16" s="3"/>
      <c r="I16" s="3"/>
      <c r="J16" s="3"/>
      <c r="K16" s="3"/>
    </row>
    <row r="17" spans="1:11">
      <c r="B17" s="2"/>
      <c r="C17" s="2"/>
      <c r="D17" s="2"/>
      <c r="E17" s="2"/>
      <c r="F17" s="2"/>
      <c r="G17" s="3"/>
      <c r="H17" s="3"/>
      <c r="I17" s="3"/>
      <c r="J17" s="3"/>
      <c r="K17" s="3"/>
    </row>
    <row r="18" spans="1:11">
      <c r="B18" s="2"/>
      <c r="C18" s="2"/>
      <c r="D18" s="2"/>
      <c r="E18" s="2"/>
      <c r="F18" s="2"/>
      <c r="G18" s="3"/>
      <c r="H18" s="3"/>
      <c r="I18" s="3"/>
      <c r="J18" s="3"/>
      <c r="K18" s="3"/>
    </row>
    <row r="19" spans="1:11">
      <c r="B19" s="2"/>
      <c r="C19" s="2"/>
      <c r="D19" s="2"/>
      <c r="E19" s="2"/>
      <c r="F19" s="2"/>
      <c r="G19" s="3"/>
      <c r="H19" s="3"/>
      <c r="I19" s="3"/>
      <c r="J19" s="3"/>
      <c r="K19" s="3"/>
    </row>
    <row r="20" spans="1:11">
      <c r="B20" s="2"/>
      <c r="C20" s="2"/>
      <c r="D20" s="2"/>
      <c r="E20" s="2"/>
      <c r="F20" s="2"/>
      <c r="G20" s="3"/>
      <c r="H20" s="3"/>
      <c r="I20" s="3"/>
      <c r="J20" s="3"/>
      <c r="K20" s="3"/>
    </row>
    <row r="21" spans="1:11">
      <c r="A21" s="19"/>
      <c r="B21" s="19"/>
      <c r="C21" s="19"/>
      <c r="D21" s="19"/>
      <c r="E21" s="19"/>
      <c r="F21" s="19"/>
      <c r="G21" s="19"/>
      <c r="H21" s="19"/>
      <c r="I21" s="19"/>
      <c r="J21" s="19"/>
      <c r="K21" s="19"/>
    </row>
    <row r="22" spans="1:11" ht="17.25" customHeight="1">
      <c r="B22" s="203" t="str">
        <f>+'Data Entry'!B36&amp; " - in ("&amp;'Data Entry'!D26&amp;")  "&amp;+I3&amp;" "&amp;+K3</f>
        <v>F2: Budget and actual expenditures by Grant Objective - in ($)  Report Period: P12</v>
      </c>
      <c r="C22" s="2"/>
      <c r="D22" s="2"/>
      <c r="E22" s="2"/>
      <c r="F22" s="2"/>
      <c r="H22" s="203" t="str">
        <f>+'Data Entry'!B61&amp;"      "&amp;+I3&amp;" "&amp;+K3</f>
        <v>F4: Latest PR reporting and disbursement cycle      Report Period: P12</v>
      </c>
      <c r="J22" s="3"/>
      <c r="K22" s="3"/>
    </row>
    <row r="23" spans="1:11">
      <c r="B23" s="351" t="s">
        <v>10</v>
      </c>
      <c r="C23" s="793"/>
      <c r="D23" s="785"/>
      <c r="E23" s="785"/>
      <c r="F23" s="786"/>
      <c r="G23" s="371"/>
      <c r="H23" s="351" t="s">
        <v>9</v>
      </c>
      <c r="I23" s="793"/>
      <c r="J23" s="794"/>
      <c r="K23" s="795"/>
    </row>
    <row r="24" spans="1:11" ht="15" thickBot="1">
      <c r="B24" s="212"/>
      <c r="C24" s="212"/>
      <c r="D24" s="212"/>
      <c r="E24" s="212"/>
      <c r="F24" s="212"/>
      <c r="G24" s="212"/>
      <c r="H24" s="213"/>
      <c r="I24" s="213"/>
      <c r="J24" s="212"/>
      <c r="K24" s="212"/>
    </row>
    <row r="25" spans="1:11" ht="29.25" customHeight="1" thickBot="1">
      <c r="B25" s="3"/>
      <c r="C25" s="3"/>
      <c r="D25" s="3"/>
      <c r="E25" s="3"/>
      <c r="F25" s="3"/>
      <c r="G25" s="324"/>
      <c r="H25" s="777" t="s">
        <v>308</v>
      </c>
      <c r="I25" s="778"/>
      <c r="J25" s="778"/>
      <c r="K25" s="779"/>
    </row>
    <row r="26" spans="1:11">
      <c r="B26" s="3"/>
      <c r="C26" s="3"/>
      <c r="D26" s="3"/>
      <c r="E26" s="3"/>
      <c r="F26" s="3"/>
      <c r="G26" s="287"/>
      <c r="H26" s="780"/>
      <c r="I26" s="781"/>
      <c r="J26" s="302" t="s">
        <v>60</v>
      </c>
      <c r="K26" s="303" t="s">
        <v>61</v>
      </c>
    </row>
    <row r="27" spans="1:11" ht="23.25" customHeight="1">
      <c r="B27" s="3"/>
      <c r="C27" s="3"/>
      <c r="D27" s="3"/>
      <c r="E27" s="3"/>
      <c r="F27" s="3"/>
      <c r="G27" s="325"/>
      <c r="H27" s="782" t="str">
        <f>'Data Entry'!B65</f>
        <v>Days taken to submit final PU/DR to LFA</v>
      </c>
      <c r="I27" s="783"/>
      <c r="J27" s="304">
        <f>+'Data Entry'!C65</f>
        <v>60</v>
      </c>
      <c r="K27" s="301">
        <f>+'Data Entry'!D65</f>
        <v>60</v>
      </c>
    </row>
    <row r="28" spans="1:11" ht="21" customHeight="1">
      <c r="B28" s="3"/>
      <c r="C28" s="3"/>
      <c r="D28" s="3"/>
      <c r="E28" s="3"/>
      <c r="F28" s="3"/>
      <c r="G28" s="325"/>
      <c r="H28" s="782" t="str">
        <f>'Data Entry'!B66</f>
        <v>Days taken for disbursement to reach PR</v>
      </c>
      <c r="I28" s="783"/>
      <c r="J28" s="304">
        <f>+'Data Entry'!C66</f>
        <v>45</v>
      </c>
      <c r="K28" s="301">
        <f>+'Data Entry'!D66</f>
        <v>15</v>
      </c>
    </row>
    <row r="29" spans="1:11" ht="21" customHeight="1" thickBot="1">
      <c r="B29" s="3"/>
      <c r="C29" s="3"/>
      <c r="D29" s="3"/>
      <c r="E29" s="3"/>
      <c r="F29" s="3"/>
      <c r="G29" s="325"/>
      <c r="H29" s="796" t="str">
        <f>'Data Entry'!B67</f>
        <v xml:space="preserve">Days taken for disbursement to reach SRs </v>
      </c>
      <c r="I29" s="797"/>
      <c r="J29" s="305">
        <f>+'Data Entry'!C67</f>
        <v>5</v>
      </c>
      <c r="K29" s="306">
        <f>+'Data Entry'!D67</f>
        <v>5</v>
      </c>
    </row>
    <row r="30" spans="1:11">
      <c r="B30" s="3"/>
      <c r="C30" s="3"/>
      <c r="D30" s="3"/>
      <c r="E30" s="3"/>
      <c r="F30" s="3"/>
      <c r="G30" s="3"/>
      <c r="H30" s="3"/>
      <c r="I30" s="3"/>
      <c r="J30" s="3"/>
      <c r="K30" s="3"/>
    </row>
    <row r="31" spans="1:11">
      <c r="B31" s="3"/>
      <c r="C31" s="15"/>
      <c r="D31" s="234"/>
      <c r="E31" s="3"/>
      <c r="F31" s="3"/>
      <c r="G31" s="3"/>
      <c r="H31" s="3"/>
      <c r="I31" s="3"/>
      <c r="J31" s="3"/>
      <c r="K31" s="3"/>
    </row>
    <row r="32" spans="1:11">
      <c r="B32" s="3"/>
      <c r="C32" s="15"/>
      <c r="D32" s="234"/>
      <c r="E32" s="3"/>
      <c r="F32" s="3"/>
      <c r="G32" s="3"/>
      <c r="H32" s="3"/>
      <c r="I32" s="3"/>
      <c r="J32" s="3"/>
      <c r="K32" s="3"/>
    </row>
    <row r="34" spans="5:5">
      <c r="E34" s="19"/>
    </row>
  </sheetData>
  <sheetProtection password="CFC9" sheet="1"/>
  <mergeCells count="18">
    <mergeCell ref="H28:I28"/>
    <mergeCell ref="H29:I29"/>
    <mergeCell ref="B2:K2"/>
    <mergeCell ref="D5:I5"/>
    <mergeCell ref="I4:J4"/>
    <mergeCell ref="I3:J3"/>
    <mergeCell ref="E3:H3"/>
    <mergeCell ref="C3:D3"/>
    <mergeCell ref="C4:D4"/>
    <mergeCell ref="E4:H4"/>
    <mergeCell ref="E6:H6"/>
    <mergeCell ref="H25:K25"/>
    <mergeCell ref="H26:I26"/>
    <mergeCell ref="H27:I27"/>
    <mergeCell ref="C9:F9"/>
    <mergeCell ref="I23:K23"/>
    <mergeCell ref="C23:F23"/>
    <mergeCell ref="I9:K9"/>
  </mergeCells>
  <phoneticPr fontId="30" type="noConversion"/>
  <conditionalFormatting sqref="K27:K29">
    <cfRule type="cellIs" dxfId="26" priority="4" stopIfTrue="1" operator="greaterThan">
      <formula>#REF!</formula>
    </cfRule>
    <cfRule type="cellIs" dxfId="25" priority="5" stopIfTrue="1" operator="between">
      <formula>#REF!</formula>
      <formula>1</formula>
    </cfRule>
    <cfRule type="cellIs" dxfId="24" priority="6" stopIfTrue="1" operator="equal">
      <formula>0</formula>
    </cfRule>
  </conditionalFormatting>
  <conditionalFormatting sqref="C4:D4">
    <cfRule type="cellIs" dxfId="23" priority="1" stopIfTrue="1" operator="equal">
      <formula>"C"</formula>
    </cfRule>
    <cfRule type="cellIs" dxfId="22" priority="2" stopIfTrue="1" operator="equal">
      <formula>"B2"</formula>
    </cfRule>
    <cfRule type="cellIs" dxfId="21" priority="3" stopIfTrue="1" operator="equal">
      <formula>"B1"</formula>
    </cfRule>
  </conditionalFormatting>
  <pageMargins left="0.70866141732283472" right="0.70866141732283472" top="0.74803149606299213" bottom="0.74803149606299213" header="0.31496062992125984" footer="0.31496062992125984"/>
  <pageSetup paperSize="9" scale="97" orientation="landscape"/>
  <headerFooter>
    <oddFooter>&amp;L&amp;F&amp;C&amp;A&amp;RV1.0          &amp;D</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1"/>
  </sheetPr>
  <dimension ref="A1:P35"/>
  <sheetViews>
    <sheetView showGridLines="0" topLeftCell="A9" zoomScaleNormal="100" zoomScalePageLayoutView="130" workbookViewId="0">
      <selection activeCell="M33" sqref="M33"/>
    </sheetView>
  </sheetViews>
  <sheetFormatPr defaultColWidth="11" defaultRowHeight="14.5"/>
  <cols>
    <col min="1" max="1" width="3.36328125" customWidth="1"/>
    <col min="2" max="2" width="10.453125" customWidth="1"/>
    <col min="3" max="3" width="12.453125" customWidth="1"/>
    <col min="4" max="4" width="13.1796875" customWidth="1"/>
    <col min="5" max="5" width="11.453125" customWidth="1"/>
    <col min="6" max="6" width="17" customWidth="1"/>
    <col min="7" max="7" width="3.81640625" customWidth="1"/>
    <col min="8" max="8" width="13.453125" customWidth="1"/>
    <col min="9" max="9" width="23.453125" customWidth="1"/>
    <col min="10" max="10" width="13.6328125" customWidth="1"/>
    <col min="11" max="11" width="13.453125" customWidth="1"/>
    <col min="12" max="12" width="14.1796875" customWidth="1"/>
    <col min="13" max="13" width="37.6328125" customWidth="1"/>
  </cols>
  <sheetData>
    <row r="1" spans="1:16" ht="28.5" customHeight="1">
      <c r="C1" s="230"/>
      <c r="E1" s="231"/>
    </row>
    <row r="2" spans="1:16" ht="27.75" customHeight="1">
      <c r="B2" s="803" t="str">
        <f>+"Dashboard:  "&amp;"  "&amp;IF(+'Data Entry'!C4="Please Select","",'Data Entry'!C4&amp;" - ")&amp;IF('Data Entry'!G6="Please Select","",'Data Entry'!G6)</f>
        <v>Dashboard:    Georgia - HIV / AIDS</v>
      </c>
      <c r="C2" s="803"/>
      <c r="D2" s="803"/>
      <c r="E2" s="803"/>
      <c r="F2" s="803"/>
      <c r="G2" s="803"/>
      <c r="H2" s="803"/>
      <c r="I2" s="803"/>
      <c r="J2" s="803"/>
      <c r="K2" s="803"/>
      <c r="L2" s="803"/>
      <c r="M2" s="26"/>
      <c r="N2" s="26"/>
      <c r="O2" s="26"/>
      <c r="P2" s="26"/>
    </row>
    <row r="3" spans="1:16">
      <c r="B3" s="24" t="str">
        <f>+IF('Data Entry'!G8="Please Select","",'Data Entry'!G8)</f>
        <v>NFM</v>
      </c>
      <c r="C3" s="801" t="str">
        <f>+IF('Data Entry'!I8="Please Select","",'Data Entry'!I8)</f>
        <v>N/A</v>
      </c>
      <c r="D3" s="801"/>
      <c r="E3" s="802"/>
      <c r="F3" s="802"/>
      <c r="G3" s="802"/>
      <c r="H3" s="802"/>
      <c r="I3" s="802"/>
      <c r="J3" s="805" t="str">
        <f>+'Data Entry'!B16</f>
        <v>Report Period:</v>
      </c>
      <c r="K3" s="805"/>
      <c r="L3" s="197" t="str">
        <f>+'Data Entry'!C16</f>
        <v>P12</v>
      </c>
    </row>
    <row r="4" spans="1:16">
      <c r="B4" s="24" t="str">
        <f>+'Data Entry'!B12</f>
        <v>Latest Rating:</v>
      </c>
      <c r="C4" s="792" t="str">
        <f>+IF('Data Entry'!C12="Please Select","",'Data Entry'!C12)</f>
        <v>B1</v>
      </c>
      <c r="D4" s="792"/>
      <c r="E4" s="802" t="str">
        <f>+'Data Entry'!C8</f>
        <v>NCDC</v>
      </c>
      <c r="F4" s="802"/>
      <c r="G4" s="802"/>
      <c r="H4" s="802"/>
      <c r="I4" s="802"/>
      <c r="J4" s="805" t="str">
        <f>+'Data Entry'!D16</f>
        <v>From:</v>
      </c>
      <c r="K4" s="809"/>
      <c r="L4" s="199">
        <f>+IF(ISBLANK('Data Entry'!E16),"",'Data Entry'!E16)</f>
        <v>43556</v>
      </c>
    </row>
    <row r="5" spans="1:16" ht="18.75" customHeight="1">
      <c r="B5" s="24"/>
      <c r="C5" s="24"/>
      <c r="D5" s="802" t="str">
        <f>+'Data Entry'!G4</f>
        <v xml:space="preserve">Sustaining and Scaling up the Effective HIV/AIDS Prevention, Treatment and Care in Georgia </v>
      </c>
      <c r="E5" s="802"/>
      <c r="F5" s="802"/>
      <c r="G5" s="802"/>
      <c r="H5" s="802"/>
      <c r="I5" s="802"/>
      <c r="J5" s="802"/>
      <c r="K5" s="24" t="str">
        <f>+'Data Entry'!F16</f>
        <v>To:</v>
      </c>
      <c r="L5" s="199">
        <f>+IF(ISBLANK('Data Entry'!G16),"",'Data Entry'!G16)</f>
        <v>43646</v>
      </c>
    </row>
    <row r="6" spans="1:16" ht="18.5">
      <c r="B6" s="23"/>
      <c r="C6" s="24"/>
      <c r="D6" s="25"/>
      <c r="E6" s="804" t="s">
        <v>69</v>
      </c>
      <c r="F6" s="804"/>
      <c r="G6" s="804"/>
      <c r="H6" s="804"/>
      <c r="I6" s="804"/>
    </row>
    <row r="7" spans="1:16">
      <c r="B7" s="372" t="str">
        <f>+'Data Entry'!B72&amp;"                "&amp;+J3&amp;" "&amp;+L3</f>
        <v>M1: Status of Conditions Precedent (CPs) and Time Bound Actions (TBAs)                Report Period: P12</v>
      </c>
      <c r="C7" s="21"/>
      <c r="H7" s="372" t="str">
        <f>+'Data Entry'!B79&amp;"                                                                             "&amp;+J3&amp;"  "&amp;+L3</f>
        <v>M2: Status of key PR management positions                                                                             Report Period:  P12</v>
      </c>
    </row>
    <row r="8" spans="1:16">
      <c r="B8" s="352" t="s">
        <v>9</v>
      </c>
      <c r="C8" s="793"/>
      <c r="D8" s="794"/>
      <c r="E8" s="794"/>
      <c r="F8" s="795"/>
      <c r="G8" s="373"/>
      <c r="H8" s="351" t="s">
        <v>9</v>
      </c>
      <c r="I8" s="793"/>
      <c r="J8" s="798"/>
      <c r="K8" s="798"/>
      <c r="L8" s="799"/>
    </row>
    <row r="9" spans="1:16">
      <c r="B9" s="19"/>
      <c r="C9" s="19"/>
      <c r="D9" s="19"/>
      <c r="E9" s="19"/>
      <c r="F9" s="19"/>
      <c r="G9" s="19"/>
      <c r="H9" s="19"/>
    </row>
    <row r="10" spans="1:16">
      <c r="A10" s="47"/>
      <c r="B10" s="19"/>
      <c r="C10" s="19"/>
      <c r="D10" s="810"/>
      <c r="E10" s="556"/>
      <c r="F10" s="556"/>
      <c r="G10" s="206"/>
      <c r="H10" s="19"/>
      <c r="N10" s="49"/>
      <c r="O10" s="49"/>
      <c r="P10" s="48"/>
    </row>
    <row r="11" spans="1:16">
      <c r="B11" s="19"/>
      <c r="C11" s="28"/>
      <c r="D11" s="810"/>
      <c r="E11" s="28"/>
      <c r="F11" s="28"/>
      <c r="G11" s="28"/>
      <c r="H11" s="28"/>
      <c r="N11" s="19"/>
      <c r="O11" s="19"/>
    </row>
    <row r="12" spans="1:16">
      <c r="B12" s="28"/>
      <c r="C12" s="79"/>
      <c r="D12" s="80"/>
      <c r="E12" s="80"/>
      <c r="F12" s="80"/>
      <c r="G12" s="80"/>
      <c r="H12" s="81"/>
    </row>
    <row r="13" spans="1:16">
      <c r="B13" s="28"/>
      <c r="C13" s="79"/>
      <c r="D13" s="80"/>
      <c r="E13" s="80"/>
      <c r="F13" s="80"/>
      <c r="G13" s="80"/>
      <c r="H13" s="81"/>
    </row>
    <row r="15" spans="1:16" ht="27.75" customHeight="1">
      <c r="B15" s="372" t="str">
        <f>+'Data Entry'!B84&amp;"                                                                                                  "&amp;+J3&amp;" "&amp;+L3</f>
        <v>M3: Contractual arrangements (SRs)                                                                                                   Report Period: P12</v>
      </c>
      <c r="H15" s="372" t="str">
        <f>+'Data Entry'!B89&amp;"                                                             "&amp;+J3&amp;" "&amp;+L3</f>
        <v>M4: Number of complete reports received on time                                                             Report Period: P12</v>
      </c>
    </row>
    <row r="16" spans="1:16">
      <c r="B16" s="352" t="s">
        <v>9</v>
      </c>
      <c r="C16" s="793"/>
      <c r="D16" s="798"/>
      <c r="E16" s="798"/>
      <c r="F16" s="799"/>
      <c r="G16" s="373"/>
      <c r="H16" s="351" t="s">
        <v>9</v>
      </c>
      <c r="I16" s="793"/>
      <c r="J16" s="794"/>
      <c r="K16" s="794"/>
      <c r="L16" s="795"/>
    </row>
    <row r="17" spans="2:13">
      <c r="B17" s="29"/>
      <c r="H17" s="30"/>
    </row>
    <row r="18" spans="2:13">
      <c r="M18" s="83"/>
    </row>
    <row r="26" spans="2:13">
      <c r="B26" s="372" t="str">
        <f>+'Data Entry'!B95</f>
        <v>M5: Budget and Procurement of health products, health equipment, medicines and pharmaceuticals</v>
      </c>
      <c r="H26" s="372" t="str">
        <f>+'Data Entry'!B108&amp;"                                                                "&amp;+J3&amp;"  "&amp;+L3</f>
        <v>M6: Difference between current and safety stock                                                                Report Period:  P12</v>
      </c>
    </row>
    <row r="27" spans="2:13">
      <c r="B27" s="350" t="s">
        <v>9</v>
      </c>
      <c r="C27" s="784"/>
      <c r="D27" s="798"/>
      <c r="E27" s="798"/>
      <c r="F27" s="799"/>
      <c r="G27" s="373"/>
      <c r="H27" s="351" t="s">
        <v>9</v>
      </c>
      <c r="I27" s="793"/>
      <c r="J27" s="794"/>
      <c r="K27" s="794"/>
      <c r="L27" s="795"/>
    </row>
    <row r="28" spans="2:13" ht="15" thickBot="1"/>
    <row r="29" spans="2:13" ht="55.5" customHeight="1">
      <c r="F29" s="331"/>
      <c r="G29" s="331"/>
      <c r="H29" s="218" t="s">
        <v>32</v>
      </c>
      <c r="I29" s="327" t="s">
        <v>79</v>
      </c>
      <c r="J29" s="348" t="s">
        <v>343</v>
      </c>
      <c r="K29" s="217" t="s">
        <v>331</v>
      </c>
      <c r="L29" s="328" t="s">
        <v>330</v>
      </c>
    </row>
    <row r="30" spans="2:13">
      <c r="F30" s="331"/>
      <c r="G30" s="331"/>
      <c r="H30" s="806" t="str">
        <f>+'Data Entry'!B111</f>
        <v>Please Select</v>
      </c>
      <c r="I30" s="529" t="str">
        <f>+'Data Entry'!C111</f>
        <v>Zidovudine/Lamivudine</v>
      </c>
      <c r="J30" s="486">
        <f>+'Data Entry'!I111</f>
        <v>11.046444121915821</v>
      </c>
      <c r="K30" s="487">
        <f>+'Data Entry'!J111</f>
        <v>6</v>
      </c>
      <c r="L30" s="526">
        <f>J30-K30</f>
        <v>5.0464441219158207</v>
      </c>
      <c r="M30" s="501"/>
    </row>
    <row r="31" spans="2:13">
      <c r="F31" s="331"/>
      <c r="G31" s="331"/>
      <c r="H31" s="807"/>
      <c r="I31" s="329" t="str">
        <f>+'Data Entry'!C112</f>
        <v>Syringes (1ml)</v>
      </c>
      <c r="J31" s="486">
        <v>11</v>
      </c>
      <c r="K31" s="487">
        <f>+'Data Entry'!J112</f>
        <v>3</v>
      </c>
      <c r="L31" s="526">
        <f t="shared" ref="L31:L33" si="0">J31-K31</f>
        <v>8</v>
      </c>
      <c r="M31" s="501"/>
    </row>
    <row r="32" spans="2:13">
      <c r="F32" s="331"/>
      <c r="G32" s="331"/>
      <c r="H32" s="807"/>
      <c r="I32" s="329" t="str">
        <f>+'Data Entry'!C113</f>
        <v>Condoms (Tanadgoma)</v>
      </c>
      <c r="J32" s="537">
        <f>+'Data Entry'!I113</f>
        <v>6.0239621866009045</v>
      </c>
      <c r="K32" s="487">
        <f>+'Data Entry'!J113</f>
        <v>3</v>
      </c>
      <c r="L32" s="526">
        <f t="shared" si="0"/>
        <v>3.0239621866009045</v>
      </c>
      <c r="M32" s="501"/>
    </row>
    <row r="33" spans="2:13" ht="15" thickBot="1">
      <c r="F33" s="331"/>
      <c r="G33" s="331"/>
      <c r="H33" s="808"/>
      <c r="I33" s="330" t="str">
        <f>+'Data Entry'!C114</f>
        <v>Condoms (EM)</v>
      </c>
      <c r="J33" s="488">
        <f>+'Data Entry'!I114</f>
        <v>4.4430769230769229</v>
      </c>
      <c r="K33" s="489">
        <f>+'Data Entry'!J114</f>
        <v>3</v>
      </c>
      <c r="L33" s="526">
        <f t="shared" si="0"/>
        <v>1.4430769230769229</v>
      </c>
      <c r="M33" s="501" t="s">
        <v>494</v>
      </c>
    </row>
    <row r="34" spans="2:13" ht="24.75" customHeight="1">
      <c r="B34" s="800" t="str">
        <f>+'Data Entry'!B105</f>
        <v>* Includes only EFR category 4 and 5  (Health products and health equipment &amp; Medicines and Pharmaceuticals)</v>
      </c>
      <c r="C34" s="800"/>
      <c r="D34" s="800"/>
      <c r="E34" s="800"/>
      <c r="F34" s="19"/>
      <c r="G34" s="19"/>
      <c r="H34" s="214"/>
      <c r="I34" s="215"/>
      <c r="J34" s="216"/>
      <c r="K34" s="206"/>
      <c r="L34" s="20"/>
    </row>
    <row r="35" spans="2:13">
      <c r="F35" s="19"/>
      <c r="G35" s="19"/>
      <c r="H35" s="19"/>
      <c r="I35" s="19"/>
      <c r="J35" s="19"/>
      <c r="K35" s="19"/>
      <c r="L35" s="19"/>
    </row>
  </sheetData>
  <mergeCells count="19">
    <mergeCell ref="H30:H33"/>
    <mergeCell ref="J4:K4"/>
    <mergeCell ref="I8:L8"/>
    <mergeCell ref="D5:J5"/>
    <mergeCell ref="I16:L16"/>
    <mergeCell ref="I27:L27"/>
    <mergeCell ref="D10:D11"/>
    <mergeCell ref="C3:D3"/>
    <mergeCell ref="E4:I4"/>
    <mergeCell ref="B2:L2"/>
    <mergeCell ref="C4:D4"/>
    <mergeCell ref="E6:I6"/>
    <mergeCell ref="E3:I3"/>
    <mergeCell ref="J3:K3"/>
    <mergeCell ref="C16:F16"/>
    <mergeCell ref="E10:F10"/>
    <mergeCell ref="C8:F8"/>
    <mergeCell ref="B34:E34"/>
    <mergeCell ref="C27:F27"/>
  </mergeCells>
  <phoneticPr fontId="30" type="noConversion"/>
  <conditionalFormatting sqref="D12:D13">
    <cfRule type="cellIs" dxfId="20" priority="1" stopIfTrue="1" operator="greaterThan">
      <formula>0</formula>
    </cfRule>
  </conditionalFormatting>
  <conditionalFormatting sqref="E12:E13">
    <cfRule type="cellIs" dxfId="19" priority="2" stopIfTrue="1" operator="greaterThan">
      <formula>0</formula>
    </cfRule>
  </conditionalFormatting>
  <conditionalFormatting sqref="F12:G13">
    <cfRule type="cellIs" dxfId="18" priority="3" stopIfTrue="1" operator="greaterThan">
      <formula>0</formula>
    </cfRule>
  </conditionalFormatting>
  <conditionalFormatting sqref="C4:D4">
    <cfRule type="cellIs" dxfId="17" priority="4" stopIfTrue="1" operator="equal">
      <formula>"C"</formula>
    </cfRule>
    <cfRule type="cellIs" dxfId="16" priority="5" stopIfTrue="1" operator="equal">
      <formula>"B2"</formula>
    </cfRule>
    <cfRule type="cellIs" dxfId="15" priority="6" stopIfTrue="1" operator="equal">
      <formula>"B1"</formula>
    </cfRule>
  </conditionalFormatting>
  <conditionalFormatting sqref="L30:L33">
    <cfRule type="cellIs" dxfId="14" priority="13" stopIfTrue="1" operator="lessThan">
      <formula>1</formula>
    </cfRule>
    <cfRule type="cellIs" dxfId="13" priority="14" stopIfTrue="1" operator="between">
      <formula>3</formula>
      <formula>17</formula>
    </cfRule>
    <cfRule type="cellIs" dxfId="12" priority="15" stopIfTrue="1" operator="between">
      <formula>1</formula>
      <formula>3</formula>
    </cfRule>
  </conditionalFormatting>
  <pageMargins left="0.70866141732283472" right="0.70866141732283472" top="0.74803149606299213" bottom="0.74803149606299213" header="0.31496062992125984" footer="0.31496062992125984"/>
  <pageSetup paperSize="9" scale="83" orientation="landscape" r:id="rId1"/>
  <headerFooter>
    <oddFooter>&amp;L&amp;F&amp;C&amp;A&amp;RV1.0          &amp;D</oddFooter>
  </headerFooter>
  <colBreaks count="1" manualBreakCount="1">
    <brk id="12" max="33"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1"/>
  </sheetPr>
  <dimension ref="A1:AI46"/>
  <sheetViews>
    <sheetView showGridLines="0" tabSelected="1" zoomScale="80" zoomScaleNormal="80" workbookViewId="0">
      <selection activeCell="B20" sqref="B20:D20"/>
    </sheetView>
  </sheetViews>
  <sheetFormatPr defaultColWidth="11" defaultRowHeight="14.5"/>
  <cols>
    <col min="1" max="1" width="0.453125" customWidth="1"/>
    <col min="2" max="2" width="11.36328125" customWidth="1"/>
    <col min="3" max="3" width="16.1796875" customWidth="1"/>
    <col min="4" max="4" width="17.36328125" customWidth="1"/>
    <col min="5" max="5" width="14.1796875" customWidth="1"/>
    <col min="6" max="6" width="13" customWidth="1"/>
    <col min="7" max="7" width="5.6328125" customWidth="1"/>
    <col min="8" max="8" width="6.36328125" customWidth="1"/>
    <col min="9" max="9" width="6" customWidth="1"/>
    <col min="10" max="10" width="4.1796875" customWidth="1"/>
    <col min="11" max="11" width="12.453125" customWidth="1"/>
    <col min="12" max="12" width="8.453125" customWidth="1"/>
    <col min="13" max="13" width="5" customWidth="1"/>
    <col min="14" max="14" width="6.453125" customWidth="1"/>
    <col min="15" max="15" width="8.1796875" customWidth="1"/>
    <col min="16" max="16" width="10.6328125" customWidth="1"/>
    <col min="17" max="17" width="11.6328125" customWidth="1"/>
    <col min="18" max="18" width="22.81640625" bestFit="1" customWidth="1"/>
  </cols>
  <sheetData>
    <row r="1" spans="1:35" ht="26.25" customHeight="1">
      <c r="A1" s="3"/>
      <c r="B1" s="3"/>
      <c r="C1" s="3"/>
      <c r="D1" s="3"/>
      <c r="E1" s="3"/>
      <c r="F1" s="3"/>
      <c r="G1" s="3"/>
      <c r="H1" s="3"/>
      <c r="I1" s="3"/>
      <c r="J1" s="3"/>
      <c r="K1" s="3"/>
      <c r="L1" s="3"/>
      <c r="M1" s="3"/>
      <c r="N1" s="3"/>
      <c r="O1" s="3"/>
      <c r="P1" s="3"/>
    </row>
    <row r="2" spans="1:35" ht="21.75" customHeight="1">
      <c r="A2" s="3"/>
      <c r="B2" s="814" t="str">
        <f>+"Dashboard:  "&amp;"  "&amp;IF(+'Data Entry'!C4="Please Select","",'Data Entry'!C4&amp;" - ")&amp;IF('Data Entry'!G6="Please Select","",'Data Entry'!G6)</f>
        <v>Dashboard:    Georgia - HIV / AIDS</v>
      </c>
      <c r="C2" s="814"/>
      <c r="D2" s="814"/>
      <c r="E2" s="814"/>
      <c r="F2" s="814"/>
      <c r="G2" s="814"/>
      <c r="H2" s="814"/>
      <c r="I2" s="814"/>
      <c r="J2" s="814"/>
      <c r="K2" s="814"/>
      <c r="L2" s="814"/>
      <c r="M2" s="814"/>
      <c r="N2" s="814"/>
      <c r="O2" s="814"/>
      <c r="P2" s="814"/>
      <c r="Q2" s="814"/>
    </row>
    <row r="3" spans="1:35" ht="18.5">
      <c r="A3" s="3"/>
      <c r="B3" s="132" t="str">
        <f>+IF('Data Entry'!G8="Please Select","",'Data Entry'!G8)</f>
        <v>NFM</v>
      </c>
      <c r="C3" s="791" t="str">
        <f>+IF('Data Entry'!I8="Please Select","",'Data Entry'!I8)</f>
        <v>N/A</v>
      </c>
      <c r="D3" s="791"/>
      <c r="E3" s="790"/>
      <c r="F3" s="790"/>
      <c r="G3" s="790"/>
      <c r="H3" s="790"/>
      <c r="I3" s="817"/>
      <c r="J3" s="817"/>
      <c r="K3" s="817"/>
      <c r="L3" s="3"/>
      <c r="M3" s="3"/>
      <c r="O3" s="788" t="str">
        <f>+'Data Entry'!B16</f>
        <v>Report Period:</v>
      </c>
      <c r="P3" s="788"/>
      <c r="Q3" s="198" t="str">
        <f>+'Data Entry'!C16</f>
        <v>P12</v>
      </c>
    </row>
    <row r="4" spans="1:35" ht="12" customHeight="1">
      <c r="A4" s="3"/>
      <c r="B4" s="132" t="str">
        <f>+'Data Entry'!B12</f>
        <v>Latest Rating:</v>
      </c>
      <c r="C4" s="818" t="str">
        <f>+IF('Data Entry'!C12="Please Select","",'Data Entry'!C12)</f>
        <v>B1</v>
      </c>
      <c r="D4" s="818"/>
      <c r="E4" s="790" t="str">
        <f>+'Data Entry'!C8</f>
        <v>NCDC</v>
      </c>
      <c r="F4" s="790"/>
      <c r="G4" s="790"/>
      <c r="H4" s="790"/>
      <c r="I4" s="790"/>
      <c r="J4" s="790"/>
      <c r="K4" s="790"/>
      <c r="L4" s="790"/>
      <c r="M4" s="3"/>
      <c r="O4" s="333"/>
      <c r="P4" s="132" t="str">
        <f>+'Data Entry'!D16</f>
        <v>From:</v>
      </c>
      <c r="Q4" s="334">
        <f>+IF(ISBLANK('Data Entry'!E16),"",'Data Entry'!E16)</f>
        <v>43556</v>
      </c>
      <c r="Y4" s="71"/>
      <c r="Z4" s="71"/>
      <c r="AA4" s="71"/>
      <c r="AB4" s="71"/>
      <c r="AC4" s="71"/>
    </row>
    <row r="5" spans="1:35" ht="15.75" customHeight="1">
      <c r="A5" s="3"/>
      <c r="B5" s="132"/>
      <c r="C5" s="132"/>
      <c r="D5" s="790" t="str">
        <f>+'Data Entry'!G4</f>
        <v xml:space="preserve">Sustaining and Scaling up the Effective HIV/AIDS Prevention, Treatment and Care in Georgia </v>
      </c>
      <c r="E5" s="790"/>
      <c r="F5" s="790"/>
      <c r="G5" s="790"/>
      <c r="H5" s="790"/>
      <c r="I5" s="790"/>
      <c r="J5" s="790"/>
      <c r="K5" s="790"/>
      <c r="L5" s="790"/>
      <c r="M5" s="790"/>
      <c r="N5" s="790"/>
      <c r="P5" s="132" t="str">
        <f>+'Data Entry'!F16</f>
        <v>To:</v>
      </c>
      <c r="Q5" s="334">
        <f>+IF(ISBLANK('Data Entry'!G16),"",'Data Entry'!G16)</f>
        <v>43646</v>
      </c>
      <c r="S5" s="225"/>
      <c r="T5" s="225"/>
      <c r="U5" s="225"/>
      <c r="V5" s="225"/>
      <c r="W5" s="225"/>
      <c r="X5" s="225"/>
      <c r="Y5" s="71"/>
      <c r="Z5" s="71"/>
      <c r="AA5" s="71" t="s">
        <v>42</v>
      </c>
      <c r="AB5" s="71"/>
      <c r="AC5" s="71" t="s">
        <v>264</v>
      </c>
      <c r="AD5" s="225"/>
      <c r="AE5" s="225"/>
      <c r="AF5" s="225"/>
      <c r="AG5" s="225"/>
      <c r="AH5" s="225"/>
      <c r="AI5" s="225"/>
    </row>
    <row r="6" spans="1:35" ht="15.75" customHeight="1">
      <c r="A6" s="3"/>
      <c r="B6" s="132"/>
      <c r="C6" s="132"/>
      <c r="D6" s="223"/>
      <c r="E6" s="223"/>
      <c r="F6" s="816" t="s">
        <v>392</v>
      </c>
      <c r="G6" s="816"/>
      <c r="H6" s="816"/>
      <c r="I6" s="816"/>
      <c r="J6" s="816"/>
      <c r="K6" s="816"/>
      <c r="L6" s="223"/>
      <c r="M6" s="3"/>
      <c r="N6" s="3"/>
      <c r="O6" s="200"/>
      <c r="P6" s="256"/>
      <c r="S6" s="225"/>
      <c r="T6" s="225"/>
      <c r="U6" s="225"/>
      <c r="V6" s="225"/>
      <c r="W6" s="225"/>
      <c r="X6" s="225"/>
      <c r="Y6" s="71"/>
      <c r="Z6" s="71"/>
      <c r="AA6" s="71"/>
      <c r="AB6" s="71"/>
      <c r="AC6" s="71"/>
      <c r="AD6" s="225"/>
      <c r="AE6" s="225"/>
      <c r="AF6" s="225"/>
      <c r="AG6" s="225"/>
      <c r="AH6" s="225"/>
      <c r="AI6" s="225"/>
    </row>
    <row r="7" spans="1:35" ht="3" customHeight="1">
      <c r="A7" s="3"/>
      <c r="B7" s="132"/>
      <c r="C7" s="132"/>
      <c r="D7" s="223"/>
      <c r="E7" s="223"/>
      <c r="F7" s="223"/>
      <c r="G7" s="223"/>
      <c r="H7" s="223"/>
      <c r="I7" s="223"/>
      <c r="J7" s="223"/>
      <c r="K7" s="223"/>
      <c r="L7" s="223"/>
      <c r="M7" s="3"/>
      <c r="N7" s="3"/>
      <c r="O7" s="200"/>
      <c r="P7" s="199"/>
      <c r="Q7" s="199"/>
      <c r="S7" s="225"/>
      <c r="T7" s="225"/>
      <c r="U7" s="225"/>
      <c r="V7" s="225"/>
      <c r="W7" s="225"/>
      <c r="X7" s="225"/>
      <c r="Y7" s="71"/>
      <c r="Z7" s="71"/>
      <c r="AA7" s="71"/>
      <c r="AB7" s="71"/>
      <c r="AC7" s="71"/>
      <c r="AD7" s="225"/>
      <c r="AE7" s="225"/>
      <c r="AF7" s="225"/>
      <c r="AG7" s="225"/>
      <c r="AH7" s="225"/>
      <c r="AI7" s="225"/>
    </row>
    <row r="8" spans="1:35" ht="18.75" customHeight="1">
      <c r="A8" s="3"/>
      <c r="B8" s="815" t="str">
        <f>+'Data Entry'!B121</f>
        <v>Percentage of PWID that have received an HIV test during the reporting period and know their results</v>
      </c>
      <c r="C8" s="815"/>
      <c r="D8" s="815"/>
      <c r="E8" s="815"/>
      <c r="F8" s="815" t="str">
        <f>+'Data Entry'!B123</f>
        <v>Percentage of MSM reached with HIV prevention programs - defined package of services</v>
      </c>
      <c r="G8" s="815"/>
      <c r="H8" s="815"/>
      <c r="I8" s="815"/>
      <c r="J8" s="815"/>
      <c r="K8" s="815"/>
      <c r="L8" s="815" t="str">
        <f>+'Data Entry'!B125</f>
        <v xml:space="preserve">Percentage of people living with HIV currently receiving antiretroviral therapy </v>
      </c>
      <c r="M8" s="815"/>
      <c r="N8" s="815"/>
      <c r="O8" s="815"/>
      <c r="P8" s="815"/>
      <c r="Q8" s="815"/>
      <c r="S8" s="225"/>
      <c r="T8" s="225"/>
      <c r="U8" s="225"/>
      <c r="V8" s="225"/>
      <c r="W8" s="225"/>
      <c r="X8" s="225"/>
      <c r="Y8" s="71"/>
      <c r="Z8" s="71"/>
      <c r="AA8" s="71"/>
      <c r="AB8" s="71"/>
      <c r="AC8" s="71"/>
      <c r="AD8" s="225"/>
      <c r="AE8" s="225"/>
      <c r="AF8" s="225"/>
      <c r="AG8" s="225"/>
      <c r="AH8" s="225"/>
      <c r="AI8" s="225"/>
    </row>
    <row r="9" spans="1:35" ht="24" customHeight="1">
      <c r="A9" s="3"/>
      <c r="B9" s="438" t="s">
        <v>410</v>
      </c>
      <c r="C9" s="840"/>
      <c r="D9" s="843"/>
      <c r="E9" s="844"/>
      <c r="F9" s="438" t="s">
        <v>411</v>
      </c>
      <c r="G9" s="840"/>
      <c r="H9" s="845"/>
      <c r="I9" s="845"/>
      <c r="J9" s="845"/>
      <c r="K9" s="846"/>
      <c r="L9" s="438" t="s">
        <v>412</v>
      </c>
      <c r="M9" s="840"/>
      <c r="N9" s="841"/>
      <c r="O9" s="841"/>
      <c r="P9" s="841"/>
      <c r="Q9" s="842"/>
      <c r="S9" s="225"/>
      <c r="T9" s="225"/>
      <c r="U9" s="225"/>
      <c r="V9" s="225"/>
      <c r="W9" s="225"/>
      <c r="X9" s="225"/>
      <c r="Y9" s="225"/>
      <c r="Z9" s="225"/>
      <c r="AA9" s="225"/>
      <c r="AB9" s="225"/>
      <c r="AC9" s="225"/>
      <c r="AD9" s="225"/>
      <c r="AE9" s="225"/>
      <c r="AF9" s="225"/>
      <c r="AG9" s="225"/>
      <c r="AH9" s="225"/>
      <c r="AI9" s="225"/>
    </row>
    <row r="10" spans="1:35" ht="18.75" customHeight="1">
      <c r="A10" s="3"/>
      <c r="B10" s="132"/>
      <c r="C10" s="132"/>
      <c r="D10" s="223"/>
      <c r="E10" s="223"/>
      <c r="F10" s="223"/>
      <c r="G10" s="223"/>
      <c r="H10" s="223"/>
      <c r="I10" s="223"/>
      <c r="J10" s="223"/>
      <c r="K10" s="223"/>
      <c r="L10" s="223"/>
      <c r="M10" s="3"/>
      <c r="N10" s="3"/>
      <c r="O10" s="200"/>
      <c r="P10" s="199"/>
      <c r="S10" s="225"/>
      <c r="T10" s="225"/>
      <c r="U10" s="225"/>
      <c r="V10" s="225"/>
      <c r="W10" s="225"/>
      <c r="X10" s="225"/>
      <c r="Y10" s="225"/>
      <c r="Z10" s="225"/>
      <c r="AA10" s="225"/>
      <c r="AB10" s="225"/>
      <c r="AC10" s="225"/>
      <c r="AD10" s="225"/>
      <c r="AE10" s="225"/>
      <c r="AF10" s="225"/>
      <c r="AG10" s="225"/>
      <c r="AH10" s="225"/>
      <c r="AI10" s="225"/>
    </row>
    <row r="11" spans="1:35" ht="18.75" customHeight="1">
      <c r="A11" s="3"/>
      <c r="B11" s="132"/>
      <c r="C11" s="132"/>
      <c r="D11" s="223"/>
      <c r="E11" s="223"/>
      <c r="F11" s="223"/>
      <c r="G11" s="223"/>
      <c r="H11" s="223"/>
      <c r="I11" s="223"/>
      <c r="J11" s="223"/>
      <c r="K11" s="223"/>
      <c r="L11" s="223"/>
      <c r="M11" s="3"/>
      <c r="N11" s="3"/>
      <c r="O11" s="200"/>
      <c r="P11" s="199"/>
      <c r="S11" s="225"/>
      <c r="T11" s="225"/>
      <c r="U11" s="225"/>
      <c r="V11" s="225"/>
      <c r="W11" s="225"/>
      <c r="X11" s="225"/>
      <c r="Y11" s="225"/>
      <c r="Z11" s="225"/>
      <c r="AA11" s="225"/>
      <c r="AB11" s="225"/>
      <c r="AC11" s="225"/>
      <c r="AD11" s="225"/>
      <c r="AE11" s="225"/>
      <c r="AF11" s="225"/>
      <c r="AG11" s="225"/>
      <c r="AH11" s="225"/>
      <c r="AI11" s="225"/>
    </row>
    <row r="12" spans="1:35" ht="18.75" customHeight="1">
      <c r="A12" s="3"/>
      <c r="B12" s="132"/>
      <c r="C12" s="132"/>
      <c r="D12" s="223"/>
      <c r="E12" s="223"/>
      <c r="F12" s="223"/>
      <c r="G12" s="223"/>
      <c r="H12" s="223"/>
      <c r="I12" s="223"/>
      <c r="J12" s="223"/>
      <c r="K12" s="223"/>
      <c r="L12" s="223"/>
      <c r="M12" s="3"/>
      <c r="N12" s="3"/>
      <c r="O12" s="200"/>
      <c r="P12" s="199"/>
      <c r="S12" s="225"/>
      <c r="T12" s="225"/>
      <c r="U12" s="225"/>
      <c r="V12" s="225"/>
      <c r="W12" s="225"/>
      <c r="X12" s="225"/>
      <c r="Y12" s="225"/>
      <c r="Z12" s="225"/>
      <c r="AA12" s="225"/>
      <c r="AB12" s="225"/>
      <c r="AC12" s="225"/>
      <c r="AD12" s="225"/>
      <c r="AE12" s="225"/>
      <c r="AF12" s="225"/>
      <c r="AG12" s="225"/>
      <c r="AH12" s="225"/>
      <c r="AI12" s="225"/>
    </row>
    <row r="13" spans="1:35" ht="18.75" customHeight="1">
      <c r="A13" s="3"/>
      <c r="B13" s="132"/>
      <c r="C13" s="132"/>
      <c r="D13" s="223"/>
      <c r="E13" s="223"/>
      <c r="F13" s="223"/>
      <c r="G13" s="223"/>
      <c r="H13" s="223"/>
      <c r="I13" s="223"/>
      <c r="J13" s="223"/>
      <c r="K13" s="223"/>
      <c r="L13" s="223"/>
      <c r="M13" s="3"/>
      <c r="N13" s="3"/>
      <c r="O13" s="200"/>
      <c r="P13" s="199"/>
      <c r="S13" s="225"/>
      <c r="T13" s="225"/>
      <c r="U13" s="225"/>
      <c r="V13" s="225"/>
      <c r="W13" s="225"/>
      <c r="X13" s="225"/>
      <c r="Y13" s="225"/>
      <c r="Z13" s="225"/>
      <c r="AA13" s="225"/>
      <c r="AB13" s="225"/>
      <c r="AC13" s="225"/>
      <c r="AD13" s="225"/>
      <c r="AE13" s="225"/>
      <c r="AF13" s="225"/>
      <c r="AG13" s="225"/>
      <c r="AH13" s="225"/>
      <c r="AI13" s="225"/>
    </row>
    <row r="14" spans="1:35" ht="18.75" customHeight="1">
      <c r="A14" s="3"/>
      <c r="B14" s="132"/>
      <c r="C14" s="132"/>
      <c r="D14" s="223"/>
      <c r="E14" s="223"/>
      <c r="F14" s="223"/>
      <c r="G14" s="223"/>
      <c r="H14" s="223"/>
      <c r="I14" s="223"/>
      <c r="J14" s="223"/>
      <c r="K14" s="223"/>
      <c r="L14" s="223"/>
      <c r="M14" s="3"/>
      <c r="N14" s="3"/>
      <c r="O14" s="200"/>
      <c r="P14" s="199"/>
      <c r="S14" s="225"/>
      <c r="T14" s="225"/>
      <c r="U14" s="225"/>
      <c r="V14" s="225"/>
      <c r="W14" s="225"/>
      <c r="X14" s="225"/>
      <c r="Y14" s="225"/>
      <c r="Z14" s="225"/>
      <c r="AA14" s="225"/>
      <c r="AB14" s="225"/>
      <c r="AC14" s="225"/>
      <c r="AD14" s="225"/>
      <c r="AE14" s="225"/>
      <c r="AF14" s="225"/>
      <c r="AG14" s="225"/>
      <c r="AH14" s="225"/>
      <c r="AI14" s="225"/>
    </row>
    <row r="15" spans="1:35" ht="18.75" customHeight="1">
      <c r="A15" s="3"/>
      <c r="B15" s="132"/>
      <c r="C15" s="132"/>
      <c r="D15" s="223"/>
      <c r="E15" s="223"/>
      <c r="F15" s="223"/>
      <c r="G15" s="223"/>
      <c r="H15" s="223"/>
      <c r="I15" s="223"/>
      <c r="J15" s="223"/>
      <c r="K15" s="223"/>
      <c r="L15" s="223"/>
      <c r="M15" s="3"/>
      <c r="N15" s="3"/>
      <c r="O15" s="200"/>
      <c r="P15" s="199"/>
      <c r="S15" s="225"/>
      <c r="T15" s="225"/>
      <c r="U15" s="225"/>
      <c r="V15" s="225"/>
      <c r="W15" s="225"/>
      <c r="X15" s="225"/>
      <c r="Y15" s="225"/>
      <c r="Z15" s="225"/>
      <c r="AA15" s="225"/>
      <c r="AB15" s="225"/>
      <c r="AC15" s="225"/>
      <c r="AD15" s="225"/>
      <c r="AE15" s="225"/>
      <c r="AF15" s="225"/>
      <c r="AG15" s="225"/>
      <c r="AH15" s="225"/>
      <c r="AI15" s="225"/>
    </row>
    <row r="16" spans="1:35" ht="18.75" customHeight="1">
      <c r="A16" s="3"/>
      <c r="B16" s="132"/>
      <c r="C16" s="132"/>
      <c r="D16" s="223"/>
      <c r="E16" s="223"/>
      <c r="F16" s="223"/>
      <c r="G16" s="223"/>
      <c r="H16" s="223"/>
      <c r="I16" s="223"/>
      <c r="J16" s="223"/>
      <c r="K16" s="223"/>
      <c r="L16" s="223"/>
      <c r="M16" s="3"/>
      <c r="N16" s="3"/>
      <c r="O16" s="200"/>
      <c r="P16" s="199"/>
      <c r="S16" s="225"/>
      <c r="T16" s="225"/>
      <c r="U16" s="225"/>
      <c r="V16" s="225"/>
      <c r="W16" s="225"/>
      <c r="X16" s="225"/>
      <c r="Y16" s="225"/>
      <c r="Z16" s="225"/>
      <c r="AA16" s="225"/>
      <c r="AB16" s="225"/>
      <c r="AC16" s="225"/>
      <c r="AD16" s="225"/>
      <c r="AE16" s="225"/>
      <c r="AF16" s="225"/>
      <c r="AG16" s="225"/>
      <c r="AH16" s="225"/>
      <c r="AI16" s="225"/>
    </row>
    <row r="17" spans="1:35" ht="17.25" customHeight="1">
      <c r="A17" s="3"/>
      <c r="B17" s="132"/>
      <c r="C17" s="132"/>
      <c r="D17" s="223"/>
      <c r="E17" s="223"/>
      <c r="F17" s="223"/>
      <c r="G17" s="223"/>
      <c r="H17" s="223"/>
      <c r="I17" s="223"/>
      <c r="J17" s="223"/>
      <c r="K17" s="223"/>
      <c r="L17" s="223"/>
      <c r="M17" s="3"/>
      <c r="N17" s="3"/>
      <c r="O17" s="200"/>
      <c r="P17" s="199"/>
      <c r="S17" s="225"/>
      <c r="T17" s="225"/>
      <c r="U17" s="225"/>
      <c r="V17" s="225"/>
      <c r="W17" s="225"/>
      <c r="X17" s="225"/>
      <c r="Y17" s="225"/>
      <c r="Z17" s="225"/>
      <c r="AA17" s="225"/>
      <c r="AB17" s="225"/>
      <c r="AC17" s="225"/>
      <c r="AD17" s="225"/>
      <c r="AE17" s="225"/>
      <c r="AF17" s="225"/>
      <c r="AG17" s="225"/>
      <c r="AH17" s="225"/>
      <c r="AI17" s="225"/>
    </row>
    <row r="18" spans="1:35" ht="6" customHeight="1">
      <c r="A18" s="3"/>
      <c r="B18" s="136"/>
      <c r="C18" s="132"/>
      <c r="D18" s="133"/>
      <c r="E18" s="851"/>
      <c r="F18" s="851"/>
      <c r="G18" s="851"/>
      <c r="H18" s="851"/>
      <c r="I18" s="851"/>
      <c r="J18" s="851"/>
      <c r="K18" s="851"/>
      <c r="L18" s="3"/>
      <c r="M18" s="3"/>
      <c r="N18" s="3"/>
      <c r="O18" s="3"/>
      <c r="P18" s="3"/>
      <c r="S18" s="225"/>
      <c r="T18" s="225"/>
      <c r="U18" s="225"/>
      <c r="V18" s="225"/>
      <c r="W18" s="225"/>
      <c r="X18" s="225"/>
      <c r="Y18" s="225"/>
      <c r="Z18" s="225"/>
      <c r="AA18" s="225"/>
      <c r="AB18" s="225"/>
      <c r="AC18" s="225"/>
      <c r="AD18" s="225"/>
      <c r="AE18" s="225"/>
      <c r="AF18" s="225"/>
      <c r="AG18" s="225"/>
      <c r="AH18" s="225"/>
      <c r="AI18" s="225"/>
    </row>
    <row r="19" spans="1:35" ht="24" customHeight="1">
      <c r="A19" s="3"/>
      <c r="B19" s="852" t="s">
        <v>88</v>
      </c>
      <c r="C19" s="852"/>
      <c r="D19" s="852"/>
      <c r="E19" s="143" t="s">
        <v>85</v>
      </c>
      <c r="F19" s="143" t="s">
        <v>89</v>
      </c>
      <c r="G19" s="847" t="s">
        <v>332</v>
      </c>
      <c r="H19" s="848"/>
      <c r="I19" s="849" t="s">
        <v>333</v>
      </c>
      <c r="J19" s="850"/>
      <c r="K19" s="332" t="s">
        <v>334</v>
      </c>
      <c r="L19" s="853" t="s">
        <v>92</v>
      </c>
      <c r="M19" s="854"/>
      <c r="N19" s="854"/>
      <c r="O19" s="854"/>
      <c r="P19" s="854"/>
      <c r="Q19" s="855"/>
      <c r="S19" s="65" t="s">
        <v>90</v>
      </c>
      <c r="T19" s="66">
        <v>0</v>
      </c>
      <c r="U19" s="67">
        <v>0.3</v>
      </c>
      <c r="V19" s="67">
        <v>0.6</v>
      </c>
      <c r="W19" s="67">
        <v>0.9</v>
      </c>
      <c r="X19" s="67">
        <v>1</v>
      </c>
      <c r="Y19" s="71"/>
      <c r="Z19" s="71"/>
      <c r="AA19" s="65" t="s">
        <v>90</v>
      </c>
      <c r="AB19" s="66">
        <v>0</v>
      </c>
      <c r="AC19" s="67">
        <v>0.2</v>
      </c>
      <c r="AD19" s="67">
        <v>0.4</v>
      </c>
      <c r="AE19" s="67">
        <v>0.6</v>
      </c>
      <c r="AF19" s="67">
        <v>0.8</v>
      </c>
      <c r="AG19" s="71"/>
      <c r="AH19" s="71"/>
      <c r="AI19" s="71"/>
    </row>
    <row r="20" spans="1:35" ht="76.5" customHeight="1">
      <c r="A20" s="3"/>
      <c r="B20" s="823" t="str">
        <f>+'Data Entry'!B121</f>
        <v>Percentage of PWID that have received an HIV test during the reporting period and know their results</v>
      </c>
      <c r="C20" s="823"/>
      <c r="D20" s="823"/>
      <c r="E20" s="459">
        <f>'Data Entry'!S121</f>
        <v>17062.5</v>
      </c>
      <c r="F20" s="538">
        <f>'Data Entry'!S122</f>
        <v>16211</v>
      </c>
      <c r="G20" s="811">
        <f t="shared" ref="G20:G27" si="0">+IF(ISERROR(F20/E20),0,F20/E20)</f>
        <v>0.9500952380952381</v>
      </c>
      <c r="H20" s="812"/>
      <c r="I20" s="812"/>
      <c r="J20" s="812"/>
      <c r="K20" s="813"/>
      <c r="L20" s="832"/>
      <c r="M20" s="833"/>
      <c r="N20" s="833"/>
      <c r="O20" s="833"/>
      <c r="P20" s="833"/>
      <c r="Q20" s="834"/>
      <c r="R20" s="520"/>
      <c r="S20" s="65" t="s">
        <v>91</v>
      </c>
      <c r="T20" s="68">
        <v>0.3</v>
      </c>
      <c r="U20" s="67">
        <v>0.6</v>
      </c>
      <c r="V20" s="67">
        <v>0.9</v>
      </c>
      <c r="W20" s="67">
        <v>1</v>
      </c>
      <c r="X20" s="67">
        <v>2</v>
      </c>
      <c r="Y20" s="71"/>
      <c r="Z20" s="71"/>
      <c r="AA20" s="65" t="s">
        <v>91</v>
      </c>
      <c r="AB20" s="68">
        <v>0.2</v>
      </c>
      <c r="AC20" s="67">
        <v>0.4</v>
      </c>
      <c r="AD20" s="67">
        <v>0.6</v>
      </c>
      <c r="AE20" s="67">
        <v>0.8</v>
      </c>
      <c r="AF20" s="67">
        <v>1</v>
      </c>
      <c r="AG20" s="71"/>
      <c r="AH20" s="71"/>
      <c r="AI20" s="71"/>
    </row>
    <row r="21" spans="1:35" ht="92.25" customHeight="1">
      <c r="A21" s="3"/>
      <c r="B21" s="823" t="str">
        <f>+'Data Entry'!B123</f>
        <v>Percentage of MSM reached with HIV prevention programs - defined package of services</v>
      </c>
      <c r="C21" s="823"/>
      <c r="D21" s="823"/>
      <c r="E21" s="459">
        <f>'Data Entry'!S123</f>
        <v>4162.5</v>
      </c>
      <c r="F21" s="538">
        <f>'Data Entry'!S124</f>
        <v>4847</v>
      </c>
      <c r="G21" s="811">
        <f t="shared" si="0"/>
        <v>1.1644444444444444</v>
      </c>
      <c r="H21" s="812"/>
      <c r="I21" s="812"/>
      <c r="J21" s="812"/>
      <c r="K21" s="813"/>
      <c r="L21" s="832"/>
      <c r="M21" s="833"/>
      <c r="N21" s="833"/>
      <c r="O21" s="833"/>
      <c r="P21" s="833"/>
      <c r="Q21" s="834"/>
      <c r="R21" s="534"/>
      <c r="S21" s="69"/>
      <c r="T21" s="70" t="str">
        <f>"de "&amp;T19&amp;" a "&amp;T20</f>
        <v>de 0 a 0.3</v>
      </c>
      <c r="U21" s="70" t="str">
        <f>"de "&amp;U19&amp;" a "&amp;U20</f>
        <v>de 0.3 a 0.6</v>
      </c>
      <c r="V21" s="70" t="str">
        <f>"de "&amp;V19&amp;" a "&amp;V20</f>
        <v>de 0.6 a 0.9</v>
      </c>
      <c r="W21" s="70"/>
      <c r="X21" s="70"/>
      <c r="Y21" s="71"/>
      <c r="Z21" s="71"/>
      <c r="AA21" s="69"/>
      <c r="AB21" s="70"/>
      <c r="AC21" s="70"/>
      <c r="AD21" s="70" t="str">
        <f>"de "&amp;AD19&amp;" a "&amp;AD20</f>
        <v>de 0.4 a 0.6</v>
      </c>
      <c r="AE21" s="70" t="str">
        <f>"de "&amp;AE19&amp;" a "&amp;AE20</f>
        <v>de 0.6 a 0.8</v>
      </c>
      <c r="AF21" s="70" t="str">
        <f>"de "&amp;AF19&amp;" a "&amp;AF20</f>
        <v>de 0.8 a 1</v>
      </c>
      <c r="AG21" s="71"/>
      <c r="AH21" s="71"/>
      <c r="AI21" s="71"/>
    </row>
    <row r="22" spans="1:35" ht="60.75" customHeight="1">
      <c r="A22" s="3"/>
      <c r="B22" s="823" t="str">
        <f>+'Data Entry'!B125</f>
        <v xml:space="preserve">Percentage of people living with HIV currently receiving antiretroviral therapy </v>
      </c>
      <c r="C22" s="823"/>
      <c r="D22" s="823"/>
      <c r="E22" s="459">
        <f>'Data Entry'!S125</f>
        <v>5500</v>
      </c>
      <c r="F22" s="538">
        <f>'Data Entry'!S126</f>
        <v>4798</v>
      </c>
      <c r="G22" s="811">
        <f t="shared" si="0"/>
        <v>0.87236363636363634</v>
      </c>
      <c r="H22" s="812"/>
      <c r="I22" s="812"/>
      <c r="J22" s="812"/>
      <c r="K22" s="813"/>
      <c r="L22" s="832" t="s">
        <v>495</v>
      </c>
      <c r="M22" s="833"/>
      <c r="N22" s="833"/>
      <c r="O22" s="833"/>
      <c r="P22" s="833"/>
      <c r="Q22" s="834"/>
      <c r="S22" s="69"/>
      <c r="T22" s="67" t="e">
        <f t="shared" ref="T22:W33" si="1">IF($K20&gt;T$19,IF($K20&lt;=T$20,$K20,NA()),NA())</f>
        <v>#N/A</v>
      </c>
      <c r="U22" s="67" t="e">
        <f t="shared" si="1"/>
        <v>#N/A</v>
      </c>
      <c r="V22" s="67" t="e">
        <f t="shared" si="1"/>
        <v>#N/A</v>
      </c>
      <c r="W22" s="67"/>
      <c r="X22" s="67"/>
      <c r="Y22" s="71"/>
      <c r="Z22" s="196"/>
      <c r="AA22" s="67"/>
      <c r="AB22" s="67"/>
      <c r="AC22" s="67"/>
      <c r="AD22" s="67" t="e">
        <f t="shared" ref="AD22:AF24" si="2">IF($AA22&gt;AD$19,IF($AA22&lt;=AD$20,$AA22,NA()),NA())</f>
        <v>#N/A</v>
      </c>
      <c r="AE22" s="67" t="e">
        <f t="shared" si="2"/>
        <v>#N/A</v>
      </c>
      <c r="AF22" s="67" t="e">
        <f t="shared" si="2"/>
        <v>#N/A</v>
      </c>
      <c r="AG22" s="71"/>
      <c r="AH22" s="71"/>
      <c r="AI22" s="71"/>
    </row>
    <row r="23" spans="1:35" ht="72.75" customHeight="1">
      <c r="A23" s="3"/>
      <c r="B23" s="820" t="str">
        <f>+'Data Entry'!B127</f>
        <v>Percentage of PWID reached with HIV prevention programs - defined package of services</v>
      </c>
      <c r="C23" s="821"/>
      <c r="D23" s="822"/>
      <c r="E23" s="459">
        <f>'Data Entry'!S127</f>
        <v>18375</v>
      </c>
      <c r="F23" s="538">
        <f>'Data Entry'!S128</f>
        <v>24934</v>
      </c>
      <c r="G23" s="811">
        <f t="shared" si="0"/>
        <v>1.3569523809523809</v>
      </c>
      <c r="H23" s="812"/>
      <c r="I23" s="812"/>
      <c r="J23" s="812"/>
      <c r="K23" s="813"/>
      <c r="L23" s="836"/>
      <c r="M23" s="837"/>
      <c r="N23" s="837"/>
      <c r="O23" s="837"/>
      <c r="P23" s="837"/>
      <c r="Q23" s="838"/>
      <c r="R23" s="520"/>
      <c r="S23" s="69">
        <f>25049</f>
        <v>25049</v>
      </c>
      <c r="T23" s="67" t="e">
        <f t="shared" si="1"/>
        <v>#N/A</v>
      </c>
      <c r="U23" s="67" t="e">
        <f t="shared" si="1"/>
        <v>#N/A</v>
      </c>
      <c r="V23" s="67" t="e">
        <f t="shared" si="1"/>
        <v>#N/A</v>
      </c>
      <c r="W23" s="67"/>
      <c r="X23" s="67"/>
      <c r="Y23" s="71"/>
      <c r="Z23" s="196"/>
      <c r="AA23" s="67"/>
      <c r="AB23" s="67"/>
      <c r="AC23" s="67"/>
      <c r="AD23" s="67" t="e">
        <f t="shared" si="2"/>
        <v>#N/A</v>
      </c>
      <c r="AE23" s="67" t="e">
        <f t="shared" si="2"/>
        <v>#N/A</v>
      </c>
      <c r="AF23" s="67" t="e">
        <f t="shared" si="2"/>
        <v>#N/A</v>
      </c>
      <c r="AG23" s="71"/>
      <c r="AH23" s="71"/>
      <c r="AI23" s="71"/>
    </row>
    <row r="24" spans="1:35" ht="81.75" customHeight="1">
      <c r="A24" s="3"/>
      <c r="B24" s="823" t="str">
        <f>+'Data Entry'!B129</f>
        <v>Percentage of MSM that have received an HIV test during the reporting period and know their results</v>
      </c>
      <c r="C24" s="823"/>
      <c r="D24" s="823"/>
      <c r="E24" s="459">
        <f>'Data Entry'!S129</f>
        <v>2775</v>
      </c>
      <c r="F24" s="538">
        <f>'Data Entry'!S130</f>
        <v>2557</v>
      </c>
      <c r="G24" s="824">
        <f t="shared" si="0"/>
        <v>0.92144144144144147</v>
      </c>
      <c r="H24" s="825"/>
      <c r="I24" s="825"/>
      <c r="J24" s="825"/>
      <c r="K24" s="826"/>
      <c r="L24" s="832"/>
      <c r="M24" s="833"/>
      <c r="N24" s="833"/>
      <c r="O24" s="833"/>
      <c r="P24" s="833"/>
      <c r="Q24" s="834"/>
      <c r="S24" s="69"/>
      <c r="T24" s="67" t="e">
        <f t="shared" si="1"/>
        <v>#N/A</v>
      </c>
      <c r="U24" s="67" t="e">
        <f t="shared" si="1"/>
        <v>#N/A</v>
      </c>
      <c r="V24" s="67" t="e">
        <f t="shared" si="1"/>
        <v>#N/A</v>
      </c>
      <c r="W24" s="67"/>
      <c r="X24" s="67"/>
      <c r="Y24" s="71"/>
      <c r="Z24" s="196"/>
      <c r="AA24" s="67"/>
      <c r="AB24" s="67"/>
      <c r="AC24" s="67"/>
      <c r="AD24" s="67" t="e">
        <f t="shared" si="2"/>
        <v>#N/A</v>
      </c>
      <c r="AE24" s="67" t="e">
        <f t="shared" si="2"/>
        <v>#N/A</v>
      </c>
      <c r="AF24" s="67" t="e">
        <f t="shared" si="2"/>
        <v>#N/A</v>
      </c>
      <c r="AG24" s="71"/>
      <c r="AH24" s="71"/>
      <c r="AI24" s="71"/>
    </row>
    <row r="25" spans="1:35" ht="51" customHeight="1">
      <c r="A25" s="3"/>
      <c r="B25" s="823" t="str">
        <f>+'Data Entry'!B131</f>
        <v>Percentage of sex workers reached with HIV prevention programs - defined package of services</v>
      </c>
      <c r="C25" s="823"/>
      <c r="D25" s="823"/>
      <c r="E25" s="459">
        <f>'Data Entry'!S131</f>
        <v>1950</v>
      </c>
      <c r="F25" s="538">
        <f>'Data Entry'!S132</f>
        <v>2935</v>
      </c>
      <c r="G25" s="811">
        <f t="shared" si="0"/>
        <v>1.5051282051282051</v>
      </c>
      <c r="H25" s="812"/>
      <c r="I25" s="812"/>
      <c r="J25" s="812"/>
      <c r="K25" s="813"/>
      <c r="L25" s="832"/>
      <c r="M25" s="833"/>
      <c r="N25" s="833"/>
      <c r="O25" s="833"/>
      <c r="P25" s="833"/>
      <c r="Q25" s="834"/>
      <c r="S25" s="69"/>
      <c r="T25" s="67" t="e">
        <f t="shared" si="1"/>
        <v>#N/A</v>
      </c>
      <c r="U25" s="67" t="e">
        <f t="shared" si="1"/>
        <v>#N/A</v>
      </c>
      <c r="V25" s="67" t="e">
        <f t="shared" si="1"/>
        <v>#N/A</v>
      </c>
      <c r="W25" s="67"/>
      <c r="X25" s="67"/>
      <c r="Y25" s="71"/>
      <c r="Z25" s="71"/>
      <c r="AA25" s="71"/>
      <c r="AB25" s="71"/>
      <c r="AC25" s="71"/>
      <c r="AD25" s="71"/>
      <c r="AE25" s="71"/>
      <c r="AF25" s="71"/>
      <c r="AG25" s="71"/>
      <c r="AH25" s="71"/>
      <c r="AI25" s="71"/>
    </row>
    <row r="26" spans="1:35" ht="58.5" customHeight="1">
      <c r="A26" s="3"/>
      <c r="B26" s="823" t="str">
        <f>+'Data Entry'!B133</f>
        <v>Percentage of sex workers that have received an HIV test during the reporting period and know their results</v>
      </c>
      <c r="C26" s="823"/>
      <c r="D26" s="823"/>
      <c r="E26" s="459">
        <f>'Data Entry'!S133</f>
        <v>1462.5</v>
      </c>
      <c r="F26" s="538">
        <f>'Data Entry'!S134</f>
        <v>1393</v>
      </c>
      <c r="G26" s="811">
        <f t="shared" si="0"/>
        <v>0.95247863247863251</v>
      </c>
      <c r="H26" s="812"/>
      <c r="I26" s="812"/>
      <c r="J26" s="812"/>
      <c r="K26" s="813"/>
      <c r="L26" s="832"/>
      <c r="M26" s="833"/>
      <c r="N26" s="833"/>
      <c r="O26" s="833"/>
      <c r="P26" s="833"/>
      <c r="Q26" s="834"/>
      <c r="S26" s="69"/>
      <c r="T26" s="67" t="e">
        <f t="shared" si="1"/>
        <v>#N/A</v>
      </c>
      <c r="U26" s="67" t="e">
        <f t="shared" si="1"/>
        <v>#N/A</v>
      </c>
      <c r="V26" s="67" t="e">
        <f t="shared" si="1"/>
        <v>#N/A</v>
      </c>
      <c r="W26" s="67" t="e">
        <f t="shared" si="1"/>
        <v>#N/A</v>
      </c>
      <c r="X26" s="67" t="e">
        <f t="shared" ref="X26:X33" si="3">IF($K24&gt;X$19,IF($K24&lt;=X$20,1,NA()),NA())</f>
        <v>#N/A</v>
      </c>
      <c r="Y26" s="71"/>
      <c r="Z26" s="71"/>
      <c r="AA26" s="71"/>
      <c r="AB26" s="71"/>
      <c r="AC26" s="71"/>
      <c r="AD26" s="71"/>
      <c r="AE26" s="71"/>
      <c r="AF26" s="71"/>
      <c r="AG26" s="71"/>
      <c r="AH26" s="71"/>
      <c r="AI26" s="71"/>
    </row>
    <row r="27" spans="1:35" ht="61.5" customHeight="1">
      <c r="A27" s="3"/>
      <c r="B27" s="823" t="str">
        <f>+'Data Entry'!B135</f>
        <v>Percentage of other vulnerable populations (prisoners) that have received an HIV test during the reporting period and know their results</v>
      </c>
      <c r="C27" s="823"/>
      <c r="D27" s="823"/>
      <c r="E27" s="459">
        <f>'Data Entry'!S135</f>
        <v>2345</v>
      </c>
      <c r="F27" s="538">
        <f>'Data Entry'!S136</f>
        <v>3073</v>
      </c>
      <c r="G27" s="811">
        <f t="shared" si="0"/>
        <v>1.3104477611940299</v>
      </c>
      <c r="H27" s="812"/>
      <c r="I27" s="812"/>
      <c r="J27" s="812"/>
      <c r="K27" s="813"/>
      <c r="L27" s="832" t="s">
        <v>496</v>
      </c>
      <c r="M27" s="833"/>
      <c r="N27" s="833"/>
      <c r="O27" s="833"/>
      <c r="P27" s="833"/>
      <c r="Q27" s="834"/>
      <c r="S27" s="69"/>
      <c r="T27" s="67" t="e">
        <f t="shared" si="1"/>
        <v>#N/A</v>
      </c>
      <c r="U27" s="67" t="e">
        <f t="shared" si="1"/>
        <v>#N/A</v>
      </c>
      <c r="V27" s="67" t="e">
        <f t="shared" si="1"/>
        <v>#N/A</v>
      </c>
      <c r="W27" s="67" t="e">
        <f t="shared" si="1"/>
        <v>#N/A</v>
      </c>
      <c r="X27" s="67" t="e">
        <f t="shared" si="3"/>
        <v>#N/A</v>
      </c>
      <c r="Y27" s="71"/>
      <c r="Z27" s="71"/>
      <c r="AA27" s="71"/>
      <c r="AB27" s="71"/>
      <c r="AC27" s="71"/>
      <c r="AD27" s="71"/>
      <c r="AE27" s="71"/>
      <c r="AF27" s="71"/>
      <c r="AG27" s="71"/>
      <c r="AH27" s="71"/>
      <c r="AI27" s="71"/>
    </row>
    <row r="28" spans="1:35" ht="84.75" hidden="1" customHeight="1">
      <c r="A28" s="496"/>
      <c r="B28" s="831" t="s">
        <v>453</v>
      </c>
      <c r="C28" s="831"/>
      <c r="D28" s="831"/>
      <c r="E28" s="485"/>
      <c r="F28" s="485"/>
      <c r="G28" s="839" t="e">
        <f>F28/E28</f>
        <v>#DIV/0!</v>
      </c>
      <c r="H28" s="839"/>
      <c r="I28" s="839"/>
      <c r="J28" s="839"/>
      <c r="K28" s="839"/>
      <c r="L28" s="835"/>
      <c r="M28" s="835"/>
      <c r="N28" s="835"/>
      <c r="O28" s="835"/>
      <c r="P28" s="835"/>
      <c r="Q28" s="835"/>
      <c r="S28" s="69"/>
      <c r="T28" s="67" t="e">
        <f t="shared" si="1"/>
        <v>#N/A</v>
      </c>
      <c r="U28" s="67" t="e">
        <f t="shared" si="1"/>
        <v>#N/A</v>
      </c>
      <c r="V28" s="67" t="e">
        <f t="shared" si="1"/>
        <v>#N/A</v>
      </c>
      <c r="W28" s="67" t="e">
        <f t="shared" si="1"/>
        <v>#N/A</v>
      </c>
      <c r="X28" s="67" t="e">
        <f t="shared" si="3"/>
        <v>#N/A</v>
      </c>
      <c r="Y28" s="71"/>
      <c r="Z28" s="71"/>
      <c r="AA28" s="71"/>
      <c r="AB28" s="71"/>
      <c r="AC28" s="71"/>
      <c r="AD28" s="71"/>
      <c r="AE28" s="71"/>
      <c r="AF28" s="71"/>
      <c r="AG28" s="71"/>
      <c r="AH28" s="71"/>
      <c r="AI28" s="71"/>
    </row>
    <row r="29" spans="1:35" ht="49.5" customHeight="1">
      <c r="A29" s="3"/>
      <c r="S29" s="69"/>
      <c r="T29" s="67" t="e">
        <f t="shared" si="1"/>
        <v>#N/A</v>
      </c>
      <c r="U29" s="67" t="e">
        <f t="shared" si="1"/>
        <v>#N/A</v>
      </c>
      <c r="V29" s="67" t="e">
        <f t="shared" si="1"/>
        <v>#N/A</v>
      </c>
      <c r="W29" s="67" t="e">
        <f t="shared" si="1"/>
        <v>#N/A</v>
      </c>
      <c r="X29" s="67" t="e">
        <f t="shared" si="3"/>
        <v>#N/A</v>
      </c>
      <c r="Y29" s="71"/>
      <c r="Z29" s="71"/>
      <c r="AA29" s="71"/>
      <c r="AB29" s="71"/>
      <c r="AC29" s="71"/>
      <c r="AD29" s="71"/>
      <c r="AE29" s="71"/>
      <c r="AF29" s="71"/>
      <c r="AG29" s="71"/>
      <c r="AH29" s="71"/>
      <c r="AI29" s="71"/>
    </row>
    <row r="30" spans="1:35" ht="22.5" customHeight="1">
      <c r="A30" s="3"/>
      <c r="S30" s="69"/>
      <c r="T30" s="67" t="e">
        <f t="shared" si="1"/>
        <v>#N/A</v>
      </c>
      <c r="U30" s="67" t="e">
        <f t="shared" si="1"/>
        <v>#N/A</v>
      </c>
      <c r="V30" s="67" t="e">
        <f t="shared" si="1"/>
        <v>#N/A</v>
      </c>
      <c r="W30" s="67" t="e">
        <f t="shared" si="1"/>
        <v>#N/A</v>
      </c>
      <c r="X30" s="67" t="e">
        <f t="shared" si="3"/>
        <v>#N/A</v>
      </c>
      <c r="Y30" s="71"/>
      <c r="Z30" s="71"/>
      <c r="AA30" s="71"/>
      <c r="AB30" s="71"/>
      <c r="AC30" s="71"/>
      <c r="AD30" s="71"/>
      <c r="AE30" s="71"/>
      <c r="AF30" s="71"/>
      <c r="AG30" s="71"/>
      <c r="AH30" s="71"/>
      <c r="AI30" s="71"/>
    </row>
    <row r="31" spans="1:35" ht="22.5" customHeight="1">
      <c r="A31" s="3"/>
      <c r="B31" s="827"/>
      <c r="C31" s="827"/>
      <c r="D31" s="827"/>
      <c r="E31" s="828"/>
      <c r="F31" s="829"/>
      <c r="G31" s="830"/>
      <c r="H31" s="830"/>
      <c r="I31" s="830"/>
      <c r="J31" s="830"/>
      <c r="K31" s="828"/>
      <c r="L31" s="829"/>
      <c r="M31" s="830"/>
      <c r="N31" s="830"/>
      <c r="O31" s="830"/>
      <c r="P31" s="830"/>
      <c r="S31" s="69"/>
      <c r="T31" s="67" t="e">
        <f t="shared" si="1"/>
        <v>#N/A</v>
      </c>
      <c r="U31" s="67" t="e">
        <f t="shared" si="1"/>
        <v>#N/A</v>
      </c>
      <c r="V31" s="67" t="e">
        <f t="shared" si="1"/>
        <v>#N/A</v>
      </c>
      <c r="W31" s="67" t="e">
        <f t="shared" si="1"/>
        <v>#N/A</v>
      </c>
      <c r="X31" s="67" t="e">
        <f t="shared" si="3"/>
        <v>#N/A</v>
      </c>
      <c r="Y31" s="71"/>
      <c r="Z31" s="71"/>
      <c r="AA31" s="71"/>
      <c r="AB31" s="71"/>
      <c r="AC31" s="71"/>
      <c r="AD31" s="71"/>
      <c r="AE31" s="71"/>
      <c r="AF31" s="71"/>
      <c r="AG31" s="71"/>
      <c r="AH31" s="71"/>
      <c r="AI31" s="71"/>
    </row>
    <row r="32" spans="1:35">
      <c r="A32" s="3"/>
      <c r="B32" s="226"/>
      <c r="C32" s="226"/>
      <c r="D32" s="226"/>
      <c r="E32" s="226"/>
      <c r="F32" s="226"/>
      <c r="G32" s="226"/>
      <c r="H32" s="227"/>
      <c r="I32" s="226"/>
      <c r="J32" s="226"/>
      <c r="K32" s="226"/>
      <c r="L32" s="226"/>
      <c r="M32" s="226"/>
      <c r="N32" s="226"/>
      <c r="O32" s="226"/>
      <c r="P32" s="226"/>
      <c r="S32" s="69"/>
      <c r="T32" s="67" t="e">
        <f t="shared" si="1"/>
        <v>#N/A</v>
      </c>
      <c r="U32" s="67" t="e">
        <f t="shared" si="1"/>
        <v>#N/A</v>
      </c>
      <c r="V32" s="67" t="e">
        <f t="shared" si="1"/>
        <v>#N/A</v>
      </c>
      <c r="W32" s="67" t="e">
        <f t="shared" si="1"/>
        <v>#N/A</v>
      </c>
      <c r="X32" s="67" t="e">
        <f t="shared" si="3"/>
        <v>#N/A</v>
      </c>
      <c r="Y32" s="71"/>
      <c r="Z32" s="71"/>
      <c r="AA32" s="71"/>
      <c r="AB32" s="71"/>
      <c r="AC32" s="71"/>
      <c r="AD32" s="71"/>
      <c r="AE32" s="71"/>
      <c r="AF32" s="71"/>
      <c r="AG32" s="71"/>
      <c r="AH32" s="71"/>
      <c r="AI32" s="71"/>
    </row>
    <row r="33" spans="1:35">
      <c r="A33" s="3"/>
      <c r="B33" s="819"/>
      <c r="C33" s="819"/>
      <c r="D33" s="819"/>
      <c r="E33" s="819"/>
      <c r="F33" s="819"/>
      <c r="G33" s="819"/>
      <c r="H33" s="819"/>
      <c r="I33" s="819"/>
      <c r="J33" s="819"/>
      <c r="K33" s="819"/>
      <c r="L33" s="226"/>
      <c r="M33" s="226"/>
      <c r="N33" s="226"/>
      <c r="O33" s="226"/>
      <c r="P33" s="226"/>
      <c r="S33" s="69"/>
      <c r="T33" s="67" t="e">
        <f t="shared" si="1"/>
        <v>#N/A</v>
      </c>
      <c r="U33" s="67" t="e">
        <f t="shared" si="1"/>
        <v>#N/A</v>
      </c>
      <c r="V33" s="67" t="e">
        <f t="shared" si="1"/>
        <v>#N/A</v>
      </c>
      <c r="W33" s="67" t="e">
        <f t="shared" si="1"/>
        <v>#N/A</v>
      </c>
      <c r="X33" s="67" t="e">
        <f t="shared" si="3"/>
        <v>#N/A</v>
      </c>
      <c r="Y33" s="71"/>
      <c r="Z33" s="71"/>
      <c r="AA33" s="71"/>
      <c r="AB33" s="71"/>
      <c r="AC33" s="71"/>
      <c r="AD33" s="71"/>
      <c r="AE33" s="71"/>
      <c r="AF33" s="71"/>
      <c r="AG33" s="71"/>
      <c r="AH33" s="71"/>
      <c r="AI33" s="71"/>
    </row>
    <row r="34" spans="1:35">
      <c r="A34" s="3"/>
      <c r="B34" s="819"/>
      <c r="C34" s="819"/>
      <c r="D34" s="819"/>
      <c r="E34" s="819"/>
      <c r="F34" s="819"/>
      <c r="G34" s="819"/>
      <c r="H34" s="819"/>
      <c r="I34" s="819"/>
      <c r="J34" s="819"/>
      <c r="K34" s="819"/>
      <c r="L34" s="226"/>
      <c r="M34" s="226"/>
      <c r="N34" s="226"/>
      <c r="O34" s="226"/>
      <c r="P34" s="226"/>
      <c r="S34" s="71"/>
      <c r="T34" s="71"/>
      <c r="U34" s="71"/>
      <c r="V34" s="71"/>
      <c r="W34" s="71"/>
      <c r="X34" s="71"/>
      <c r="Y34" s="71"/>
      <c r="Z34" s="71"/>
      <c r="AA34" s="71"/>
      <c r="AB34" s="71"/>
      <c r="AC34" s="71"/>
      <c r="AD34" s="71"/>
      <c r="AE34" s="71"/>
      <c r="AF34" s="71"/>
      <c r="AG34" s="71"/>
      <c r="AH34" s="71"/>
      <c r="AI34" s="71"/>
    </row>
    <row r="35" spans="1:35">
      <c r="A35" s="3"/>
      <c r="B35" s="3"/>
      <c r="C35" s="3"/>
      <c r="D35" s="3"/>
      <c r="E35" s="3"/>
      <c r="F35" s="3"/>
      <c r="G35" s="3"/>
      <c r="H35" s="3"/>
      <c r="I35" s="100"/>
      <c r="J35" s="100"/>
      <c r="K35" s="100"/>
      <c r="L35" s="3"/>
      <c r="M35" s="3"/>
      <c r="N35" s="3"/>
      <c r="O35" s="3"/>
      <c r="P35" s="3"/>
      <c r="S35" s="71"/>
      <c r="T35" s="71"/>
      <c r="U35" s="71"/>
      <c r="V35" s="71"/>
      <c r="W35" s="71"/>
      <c r="X35" s="71"/>
      <c r="Y35" s="71"/>
      <c r="Z35" s="71"/>
      <c r="AA35" s="71"/>
      <c r="AB35" s="71"/>
      <c r="AC35" s="71"/>
      <c r="AD35" s="71"/>
      <c r="AE35" s="71"/>
      <c r="AF35" s="71"/>
      <c r="AG35" s="71"/>
      <c r="AH35" s="71"/>
      <c r="AI35" s="71"/>
    </row>
    <row r="36" spans="1:35">
      <c r="A36" s="3"/>
      <c r="B36" s="3"/>
      <c r="C36" s="3"/>
      <c r="D36" s="3"/>
      <c r="E36" s="3"/>
      <c r="F36" s="3"/>
      <c r="G36" s="3"/>
      <c r="H36" s="3"/>
      <c r="I36" s="144"/>
      <c r="J36" s="145"/>
      <c r="K36" s="145"/>
      <c r="L36" s="3"/>
      <c r="M36" s="3"/>
      <c r="N36" s="3"/>
      <c r="O36" s="3"/>
      <c r="P36" s="3"/>
      <c r="S36" s="71"/>
      <c r="T36" s="71"/>
      <c r="U36" s="71"/>
      <c r="V36" s="71"/>
      <c r="W36" s="71"/>
      <c r="X36" s="71"/>
      <c r="Y36" s="71"/>
      <c r="Z36" s="71"/>
      <c r="AA36" s="71"/>
      <c r="AB36" s="71"/>
      <c r="AC36" s="71"/>
      <c r="AD36" s="71"/>
      <c r="AE36" s="71"/>
      <c r="AF36" s="71"/>
      <c r="AG36" s="71"/>
      <c r="AH36" s="71"/>
      <c r="AI36" s="71"/>
    </row>
    <row r="37" spans="1:35">
      <c r="A37" s="3"/>
      <c r="B37" s="3"/>
      <c r="C37" s="3"/>
      <c r="D37" s="3"/>
      <c r="E37" s="3"/>
      <c r="F37" s="3"/>
      <c r="G37" s="3"/>
      <c r="H37" s="3"/>
      <c r="I37" s="146"/>
      <c r="J37" s="147"/>
      <c r="K37" s="102"/>
      <c r="L37" s="3"/>
      <c r="M37" s="3"/>
      <c r="N37" s="3"/>
      <c r="O37" s="3"/>
      <c r="P37" s="3"/>
      <c r="S37" s="71"/>
      <c r="T37" s="71"/>
      <c r="U37" s="71"/>
      <c r="V37" s="71"/>
      <c r="W37" s="71"/>
      <c r="X37" s="71"/>
      <c r="Y37" s="71"/>
      <c r="Z37" s="71"/>
      <c r="AA37" s="71"/>
      <c r="AB37" s="71"/>
      <c r="AC37" s="71"/>
      <c r="AD37" s="71"/>
      <c r="AE37" s="71"/>
      <c r="AF37" s="71"/>
      <c r="AG37" s="71"/>
      <c r="AH37" s="71"/>
      <c r="AI37" s="71"/>
    </row>
    <row r="38" spans="1:35">
      <c r="A38" s="3"/>
      <c r="B38" s="3"/>
      <c r="C38" s="3"/>
      <c r="D38" s="3"/>
      <c r="E38" s="3"/>
      <c r="F38" s="3"/>
      <c r="G38" s="3"/>
      <c r="H38" s="3"/>
      <c r="I38" s="148"/>
      <c r="J38" s="147"/>
      <c r="K38" s="102"/>
      <c r="L38" s="3"/>
      <c r="M38" s="3"/>
      <c r="N38" s="3"/>
      <c r="O38" s="3"/>
      <c r="P38" s="3"/>
      <c r="S38" s="71"/>
      <c r="T38" s="71"/>
      <c r="U38" s="71"/>
      <c r="V38" s="71"/>
      <c r="W38" s="71"/>
      <c r="X38" s="71"/>
      <c r="Y38" s="71"/>
      <c r="Z38" s="71"/>
      <c r="AA38" s="71"/>
      <c r="AB38" s="71"/>
      <c r="AC38" s="71"/>
      <c r="AD38" s="71"/>
      <c r="AE38" s="71"/>
      <c r="AF38" s="71"/>
      <c r="AG38" s="71"/>
      <c r="AH38" s="71"/>
      <c r="AI38" s="71"/>
    </row>
    <row r="39" spans="1:35">
      <c r="A39" s="3"/>
      <c r="B39" s="3"/>
      <c r="C39" s="3"/>
      <c r="D39" s="3"/>
      <c r="E39" s="3"/>
      <c r="F39" s="3"/>
      <c r="G39" s="3"/>
      <c r="H39" s="3"/>
      <c r="I39" s="146"/>
      <c r="J39" s="147"/>
      <c r="K39" s="102"/>
      <c r="L39" s="3"/>
      <c r="M39" s="3"/>
      <c r="N39" s="3"/>
      <c r="O39" s="3"/>
      <c r="P39" s="3"/>
      <c r="S39" s="71"/>
      <c r="T39" s="71"/>
      <c r="U39" s="71"/>
      <c r="V39" s="71"/>
      <c r="W39" s="71"/>
      <c r="X39" s="71"/>
      <c r="Y39" s="71"/>
      <c r="Z39" s="71"/>
      <c r="AA39" s="71"/>
      <c r="AB39" s="71"/>
      <c r="AC39" s="71"/>
      <c r="AD39" s="71"/>
      <c r="AE39" s="71"/>
      <c r="AF39" s="71"/>
      <c r="AG39" s="71"/>
      <c r="AH39" s="71"/>
      <c r="AI39" s="71"/>
    </row>
    <row r="40" spans="1:35">
      <c r="A40" s="3"/>
      <c r="B40" s="3"/>
      <c r="C40" s="3"/>
      <c r="D40" s="3"/>
      <c r="E40" s="3"/>
      <c r="F40" s="3"/>
      <c r="G40" s="3"/>
      <c r="H40" s="3"/>
      <c r="I40" s="3"/>
      <c r="J40" s="3"/>
      <c r="K40" s="3"/>
      <c r="L40" s="3"/>
      <c r="M40" s="3"/>
      <c r="N40" s="3"/>
      <c r="O40" s="3"/>
      <c r="P40" s="3"/>
      <c r="S40" s="71"/>
      <c r="T40" s="71"/>
      <c r="U40" s="71"/>
      <c r="V40" s="71"/>
      <c r="W40" s="71"/>
      <c r="X40" s="71"/>
      <c r="Y40" s="71"/>
      <c r="Z40" s="71"/>
      <c r="AA40" s="71"/>
      <c r="AB40" s="71"/>
      <c r="AC40" s="71"/>
      <c r="AD40" s="71"/>
      <c r="AE40" s="71"/>
      <c r="AF40" s="71"/>
      <c r="AG40" s="71"/>
      <c r="AH40" s="71"/>
      <c r="AI40" s="71"/>
    </row>
    <row r="41" spans="1:35">
      <c r="A41" s="3"/>
      <c r="B41" s="3"/>
      <c r="C41" s="3"/>
      <c r="D41" s="3"/>
      <c r="E41" s="3"/>
      <c r="F41" s="3"/>
      <c r="G41" s="3"/>
      <c r="H41" s="3"/>
      <c r="I41" s="3"/>
      <c r="J41" s="3"/>
      <c r="K41" s="3"/>
      <c r="L41" s="3"/>
      <c r="M41" s="3"/>
      <c r="N41" s="3"/>
      <c r="O41" s="3"/>
      <c r="P41" s="3"/>
      <c r="S41" s="71"/>
      <c r="T41" s="71"/>
      <c r="U41" s="71"/>
      <c r="V41" s="71"/>
      <c r="W41" s="71"/>
      <c r="X41" s="71"/>
      <c r="Y41" s="71"/>
      <c r="Z41" s="71"/>
      <c r="AA41" s="71"/>
      <c r="AB41" s="71"/>
      <c r="AC41" s="71"/>
      <c r="AD41" s="71"/>
      <c r="AE41" s="71"/>
      <c r="AF41" s="71"/>
      <c r="AG41" s="71"/>
      <c r="AH41" s="71"/>
      <c r="AI41" s="71"/>
    </row>
    <row r="42" spans="1:35">
      <c r="A42" s="3"/>
      <c r="B42" s="3"/>
      <c r="C42" s="3"/>
      <c r="D42" s="3"/>
      <c r="E42" s="3"/>
      <c r="F42" s="3"/>
      <c r="G42" s="3"/>
      <c r="H42" s="3"/>
      <c r="I42" s="3"/>
      <c r="J42" s="3"/>
      <c r="K42" s="3"/>
      <c r="L42" s="3"/>
      <c r="M42" s="3"/>
      <c r="N42" s="3"/>
      <c r="O42" s="3"/>
      <c r="P42" s="3"/>
      <c r="S42" s="64"/>
      <c r="T42" s="64"/>
      <c r="U42" s="64"/>
      <c r="V42" s="64"/>
      <c r="W42" s="64"/>
      <c r="X42" s="64"/>
      <c r="Y42" s="64"/>
      <c r="Z42" s="64"/>
      <c r="AA42" s="64"/>
      <c r="AB42" s="64"/>
    </row>
    <row r="43" spans="1:35">
      <c r="S43" s="64"/>
      <c r="T43" s="64"/>
      <c r="U43" s="64"/>
      <c r="V43" s="64"/>
      <c r="W43" s="64"/>
      <c r="X43" s="64"/>
      <c r="Y43" s="64"/>
      <c r="Z43" s="64"/>
      <c r="AA43" s="64"/>
      <c r="AB43" s="64"/>
    </row>
    <row r="44" spans="1:35">
      <c r="S44" s="64"/>
      <c r="T44" s="64"/>
      <c r="U44" s="64"/>
      <c r="V44" s="64"/>
      <c r="W44" s="64"/>
      <c r="X44" s="64"/>
      <c r="Y44" s="64"/>
      <c r="Z44" s="64"/>
      <c r="AA44" s="64"/>
      <c r="AB44" s="64"/>
    </row>
    <row r="45" spans="1:35">
      <c r="S45" s="64"/>
      <c r="T45" s="64"/>
      <c r="U45" s="64"/>
      <c r="V45" s="64"/>
      <c r="W45" s="64"/>
      <c r="X45" s="64"/>
      <c r="Y45" s="64"/>
      <c r="Z45" s="64"/>
      <c r="AA45" s="64"/>
      <c r="AB45" s="64"/>
    </row>
    <row r="46" spans="1:35">
      <c r="S46" s="64"/>
      <c r="T46" s="64"/>
      <c r="U46" s="64"/>
      <c r="V46" s="64"/>
      <c r="W46" s="64"/>
      <c r="X46" s="64"/>
      <c r="Y46" s="64"/>
      <c r="Z46" s="64"/>
      <c r="AA46" s="64"/>
      <c r="AB46" s="64"/>
    </row>
  </sheetData>
  <mergeCells count="52">
    <mergeCell ref="G28:K28"/>
    <mergeCell ref="M9:Q9"/>
    <mergeCell ref="C3:D3"/>
    <mergeCell ref="E4:L4"/>
    <mergeCell ref="B8:E8"/>
    <mergeCell ref="F8:K8"/>
    <mergeCell ref="C9:E9"/>
    <mergeCell ref="G9:K9"/>
    <mergeCell ref="B22:D22"/>
    <mergeCell ref="G19:H19"/>
    <mergeCell ref="I19:J19"/>
    <mergeCell ref="E18:K18"/>
    <mergeCell ref="B19:D19"/>
    <mergeCell ref="B20:D20"/>
    <mergeCell ref="B21:D21"/>
    <mergeCell ref="L19:Q19"/>
    <mergeCell ref="L31:P31"/>
    <mergeCell ref="L20:Q20"/>
    <mergeCell ref="L21:Q21"/>
    <mergeCell ref="L22:Q22"/>
    <mergeCell ref="L28:Q28"/>
    <mergeCell ref="L23:Q23"/>
    <mergeCell ref="L24:Q24"/>
    <mergeCell ref="L25:Q25"/>
    <mergeCell ref="L26:Q26"/>
    <mergeCell ref="L27:Q27"/>
    <mergeCell ref="B33:D34"/>
    <mergeCell ref="E33:G34"/>
    <mergeCell ref="H33:K34"/>
    <mergeCell ref="B23:D23"/>
    <mergeCell ref="B24:D24"/>
    <mergeCell ref="B25:D25"/>
    <mergeCell ref="B26:D26"/>
    <mergeCell ref="G23:K23"/>
    <mergeCell ref="G24:K24"/>
    <mergeCell ref="G25:K25"/>
    <mergeCell ref="B31:E31"/>
    <mergeCell ref="F31:K31"/>
    <mergeCell ref="B27:D27"/>
    <mergeCell ref="B28:D28"/>
    <mergeCell ref="G26:K26"/>
    <mergeCell ref="G27:K27"/>
    <mergeCell ref="G20:K20"/>
    <mergeCell ref="G21:K21"/>
    <mergeCell ref="G22:K22"/>
    <mergeCell ref="B2:Q2"/>
    <mergeCell ref="O3:P3"/>
    <mergeCell ref="D5:N5"/>
    <mergeCell ref="L8:Q8"/>
    <mergeCell ref="F6:K6"/>
    <mergeCell ref="E3:K3"/>
    <mergeCell ref="C4:D4"/>
  </mergeCells>
  <phoneticPr fontId="30" type="noConversion"/>
  <conditionalFormatting sqref="C4:D4">
    <cfRule type="cellIs" dxfId="11" priority="50" stopIfTrue="1" operator="equal">
      <formula>"C"</formula>
    </cfRule>
    <cfRule type="cellIs" dxfId="10" priority="51" stopIfTrue="1" operator="equal">
      <formula>"B2"</formula>
    </cfRule>
    <cfRule type="cellIs" dxfId="9" priority="52" stopIfTrue="1" operator="equal">
      <formula>"B1"</formula>
    </cfRule>
  </conditionalFormatting>
  <conditionalFormatting sqref="G20:G28">
    <cfRule type="cellIs" dxfId="8" priority="56" stopIfTrue="1" operator="between">
      <formula>0</formula>
      <formula>0.599</formula>
    </cfRule>
    <cfRule type="cellIs" dxfId="7" priority="57" stopIfTrue="1" operator="between">
      <formula>0.6</formula>
      <formula>0.899</formula>
    </cfRule>
    <cfRule type="cellIs" dxfId="6" priority="58" stopIfTrue="1" operator="greaterThanOrEqual">
      <formula>0.9</formula>
    </cfRule>
  </conditionalFormatting>
  <pageMargins left="0.70866141732283472" right="0.70866141732283472" top="0.74803149606299213" bottom="0.74803149606299213" header="0.31496062992125984" footer="0.31496062992125984"/>
  <pageSetup paperSize="9" scale="87" orientation="landscape" r:id="rId1"/>
  <headerFooter>
    <oddFooter>&amp;L&amp;F&amp;C&amp;A&amp;RV1.0          &amp;D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27"/>
  </sheetPr>
  <dimension ref="A1:O42"/>
  <sheetViews>
    <sheetView showGridLines="0" topLeftCell="A16" zoomScale="130" zoomScaleNormal="130" zoomScalePageLayoutView="130" workbookViewId="0">
      <selection activeCell="D40" sqref="D40:G40"/>
    </sheetView>
  </sheetViews>
  <sheetFormatPr defaultColWidth="11.453125" defaultRowHeight="11.5"/>
  <cols>
    <col min="1" max="1" width="1.1796875" style="31" customWidth="1"/>
    <col min="2" max="2" width="19.36328125" style="31" customWidth="1"/>
    <col min="3" max="3" width="1.1796875" style="31" customWidth="1"/>
    <col min="4" max="4" width="17.1796875" style="31" customWidth="1"/>
    <col min="5" max="5" width="17.453125" style="31" customWidth="1"/>
    <col min="6" max="6" width="9.6328125" style="31" customWidth="1"/>
    <col min="7" max="7" width="13" style="31" customWidth="1"/>
    <col min="8" max="8" width="4.36328125" style="31" customWidth="1"/>
    <col min="9" max="9" width="15.81640625" style="31" customWidth="1"/>
    <col min="10" max="10" width="3.453125" style="31" customWidth="1"/>
    <col min="11" max="11" width="7.453125" style="32" customWidth="1"/>
    <col min="12" max="12" width="14.36328125" style="31" customWidth="1"/>
    <col min="13" max="13" width="12" style="31" customWidth="1"/>
    <col min="14" max="14" width="5.453125" style="31" customWidth="1"/>
    <col min="15" max="15" width="2.453125" style="31" customWidth="1"/>
    <col min="16" max="16384" width="11.453125" style="31"/>
  </cols>
  <sheetData>
    <row r="1" spans="1:15" ht="38.25" customHeight="1">
      <c r="A1" s="150"/>
      <c r="B1" s="150"/>
      <c r="C1" s="150"/>
      <c r="D1" s="150"/>
      <c r="E1" s="150"/>
      <c r="F1" s="150"/>
      <c r="G1" s="150"/>
      <c r="H1" s="150"/>
      <c r="I1" s="150"/>
      <c r="J1" s="150"/>
      <c r="K1" s="151"/>
      <c r="L1" s="150"/>
      <c r="M1" s="150"/>
      <c r="N1" s="150"/>
    </row>
    <row r="2" spans="1:15" customFormat="1" ht="27.75" customHeight="1">
      <c r="A2" s="3"/>
      <c r="B2" s="814" t="str">
        <f>+"Dashboard:  "&amp;"  "&amp;IF(+'Data Entry'!C4="Please Select","",'Data Entry'!C4&amp;" - ")&amp;IF('Data Entry'!G6="Please Select","",'Data Entry'!G6)</f>
        <v>Dashboard:    Georgia - HIV / AIDS</v>
      </c>
      <c r="C2" s="814"/>
      <c r="D2" s="814"/>
      <c r="E2" s="814"/>
      <c r="F2" s="814"/>
      <c r="G2" s="814"/>
      <c r="H2" s="814"/>
      <c r="I2" s="814"/>
      <c r="J2" s="814"/>
      <c r="K2" s="814"/>
      <c r="L2" s="814"/>
      <c r="M2" s="814"/>
      <c r="N2" s="814"/>
      <c r="O2" s="73"/>
    </row>
    <row r="3" spans="1:15" customFormat="1" ht="18.5">
      <c r="A3" s="3"/>
      <c r="B3" s="132" t="str">
        <f>+IF('Data Entry'!G8="Please Select","",'Data Entry'!G8)</f>
        <v>NFM</v>
      </c>
      <c r="C3" s="791" t="str">
        <f>+IF('Data Entry'!I8="Please Select","",'Data Entry'!I8)</f>
        <v>N/A</v>
      </c>
      <c r="D3" s="791"/>
      <c r="E3" s="817"/>
      <c r="F3" s="817"/>
      <c r="G3" s="817"/>
      <c r="H3" s="817"/>
      <c r="I3" s="817"/>
      <c r="J3" s="817"/>
      <c r="K3" s="817"/>
      <c r="L3" s="132" t="str">
        <f>+'Data Entry'!B16</f>
        <v>Report Period:</v>
      </c>
      <c r="M3" s="198" t="str">
        <f>+'Data Entry'!C16</f>
        <v>P12</v>
      </c>
      <c r="N3" s="198"/>
      <c r="O3" s="31"/>
    </row>
    <row r="4" spans="1:15" customFormat="1" ht="14.5">
      <c r="A4" s="3"/>
      <c r="B4" s="132" t="str">
        <f>+'Data Entry'!B12</f>
        <v>Latest Rating:</v>
      </c>
      <c r="C4" s="818" t="str">
        <f>+IF('Data Entry'!C12="Please Select","",'Data Entry'!C12)</f>
        <v>B1</v>
      </c>
      <c r="D4" s="818"/>
      <c r="E4" s="790" t="str">
        <f>+'Data Entry'!C8</f>
        <v>NCDC</v>
      </c>
      <c r="F4" s="790"/>
      <c r="G4" s="790"/>
      <c r="H4" s="790"/>
      <c r="I4" s="790"/>
      <c r="J4" s="790"/>
      <c r="K4" s="790"/>
      <c r="L4" s="132" t="str">
        <f>+'Data Entry'!D16</f>
        <v>From:</v>
      </c>
      <c r="M4" s="199">
        <f>+IF(ISBLANK('Data Entry'!E16),"",'Data Entry'!E16)</f>
        <v>43556</v>
      </c>
      <c r="N4" s="199"/>
      <c r="O4" s="31"/>
    </row>
    <row r="5" spans="1:15" customFormat="1" ht="18.75" customHeight="1">
      <c r="A5" s="3"/>
      <c r="B5" s="132"/>
      <c r="C5" s="132"/>
      <c r="D5" s="133"/>
      <c r="E5" s="790" t="str">
        <f>+'Data Entry'!G4</f>
        <v xml:space="preserve">Sustaining and Scaling up the Effective HIV/AIDS Prevention, Treatment and Care in Georgia </v>
      </c>
      <c r="F5" s="790"/>
      <c r="G5" s="790"/>
      <c r="H5" s="790"/>
      <c r="I5" s="790"/>
      <c r="J5" s="790"/>
      <c r="K5" s="790"/>
      <c r="L5" s="132" t="str">
        <f>+'Data Entry'!F16</f>
        <v>To:</v>
      </c>
      <c r="M5" s="199">
        <f>+IF(ISBLANK('Data Entry'!G16),"",'Data Entry'!G16)</f>
        <v>43646</v>
      </c>
      <c r="N5" s="199"/>
    </row>
    <row r="6" spans="1:15" customFormat="1" ht="22.5" customHeight="1">
      <c r="A6" s="3"/>
      <c r="B6" s="137"/>
      <c r="C6" s="138"/>
      <c r="D6" s="139"/>
      <c r="E6" s="895" t="s">
        <v>315</v>
      </c>
      <c r="F6" s="895"/>
      <c r="G6" s="895"/>
      <c r="H6" s="895"/>
      <c r="I6" s="895"/>
      <c r="J6" s="895"/>
      <c r="K6" s="895"/>
      <c r="L6" s="2"/>
      <c r="M6" s="2"/>
      <c r="N6" s="2"/>
    </row>
    <row r="7" spans="1:15" s="33" customFormat="1" ht="4.5" customHeight="1">
      <c r="A7" s="152"/>
      <c r="B7" s="153"/>
      <c r="C7" s="153"/>
      <c r="D7" s="153"/>
      <c r="E7" s="153"/>
      <c r="F7" s="153"/>
      <c r="G7" s="153"/>
      <c r="H7" s="153"/>
      <c r="I7" s="153"/>
      <c r="J7" s="153"/>
      <c r="K7" s="153"/>
      <c r="L7" s="154"/>
      <c r="M7" s="154"/>
      <c r="N7" s="155"/>
    </row>
    <row r="8" spans="1:15" s="33" customFormat="1" ht="21" customHeight="1" thickBot="1">
      <c r="A8" s="152"/>
      <c r="B8" s="859" t="s">
        <v>98</v>
      </c>
      <c r="C8" s="859"/>
      <c r="D8" s="859"/>
      <c r="E8" s="859"/>
      <c r="F8" s="859"/>
      <c r="G8" s="859"/>
      <c r="H8" s="859"/>
      <c r="I8" s="859"/>
      <c r="J8" s="859"/>
      <c r="K8" s="859"/>
      <c r="L8" s="859"/>
      <c r="M8" s="859"/>
      <c r="N8" s="859"/>
    </row>
    <row r="9" spans="1:15" s="33" customFormat="1" ht="3.75" customHeight="1" thickBot="1">
      <c r="A9" s="152"/>
      <c r="B9" s="153"/>
      <c r="C9" s="153"/>
      <c r="D9" s="153"/>
      <c r="E9" s="153"/>
      <c r="F9" s="153"/>
      <c r="G9" s="153"/>
      <c r="H9" s="153"/>
      <c r="I9" s="153"/>
      <c r="J9" s="153"/>
      <c r="K9" s="153"/>
      <c r="L9" s="154"/>
      <c r="M9" s="154"/>
      <c r="N9" s="155"/>
    </row>
    <row r="10" spans="1:15" s="34" customFormat="1" ht="25.5" customHeight="1" thickBot="1">
      <c r="A10" s="156"/>
      <c r="B10" s="880" t="s">
        <v>93</v>
      </c>
      <c r="C10" s="872"/>
      <c r="D10" s="860" t="s">
        <v>97</v>
      </c>
      <c r="E10" s="861"/>
      <c r="F10" s="861"/>
      <c r="G10" s="862"/>
      <c r="H10" s="159"/>
      <c r="I10" s="860" t="s">
        <v>315</v>
      </c>
      <c r="J10" s="861"/>
      <c r="K10" s="861"/>
      <c r="L10" s="861"/>
      <c r="M10" s="861"/>
      <c r="N10" s="862"/>
    </row>
    <row r="11" spans="1:15" s="34" customFormat="1" ht="28.5" customHeight="1">
      <c r="A11" s="156"/>
      <c r="B11" s="409" t="s">
        <v>101</v>
      </c>
      <c r="C11" s="176"/>
      <c r="D11" s="883" t="str">
        <f>IF(ISBLANK(Finance!C9),"",(Finance!C9))</f>
        <v/>
      </c>
      <c r="E11" s="883"/>
      <c r="F11" s="883"/>
      <c r="G11" s="884"/>
      <c r="H11" s="182"/>
      <c r="I11" s="886"/>
      <c r="J11" s="887"/>
      <c r="K11" s="887"/>
      <c r="L11" s="887"/>
      <c r="M11" s="887"/>
      <c r="N11" s="888"/>
    </row>
    <row r="12" spans="1:15" s="34" customFormat="1" ht="27.75" customHeight="1">
      <c r="A12" s="156"/>
      <c r="B12" s="410" t="s">
        <v>102</v>
      </c>
      <c r="C12" s="177"/>
      <c r="D12" s="883" t="str">
        <f>IF(ISBLANK(Finance!C23),"",(Finance!C23))</f>
        <v/>
      </c>
      <c r="E12" s="883"/>
      <c r="F12" s="883"/>
      <c r="G12" s="884"/>
      <c r="H12" s="182"/>
      <c r="I12" s="874"/>
      <c r="J12" s="875"/>
      <c r="K12" s="875"/>
      <c r="L12" s="875"/>
      <c r="M12" s="875"/>
      <c r="N12" s="876"/>
    </row>
    <row r="13" spans="1:15" s="34" customFormat="1" ht="26.25" customHeight="1">
      <c r="A13" s="156"/>
      <c r="B13" s="410" t="s">
        <v>103</v>
      </c>
      <c r="C13" s="177"/>
      <c r="D13" s="883" t="str">
        <f>IF(ISBLANK(Finance!I9),"",(Finance!I9))</f>
        <v/>
      </c>
      <c r="E13" s="883"/>
      <c r="F13" s="883"/>
      <c r="G13" s="884"/>
      <c r="H13" s="182"/>
      <c r="I13" s="874"/>
      <c r="J13" s="875"/>
      <c r="K13" s="875"/>
      <c r="L13" s="875"/>
      <c r="M13" s="875"/>
      <c r="N13" s="876"/>
    </row>
    <row r="14" spans="1:15" s="34" customFormat="1" ht="28.5" customHeight="1" thickBot="1">
      <c r="A14" s="156"/>
      <c r="B14" s="411" t="s">
        <v>104</v>
      </c>
      <c r="C14" s="178"/>
      <c r="D14" s="881" t="str">
        <f>IF(ISBLANK(Finance!I23),"",(Finance!I23))</f>
        <v/>
      </c>
      <c r="E14" s="881"/>
      <c r="F14" s="881"/>
      <c r="G14" s="882"/>
      <c r="H14" s="182"/>
      <c r="I14" s="877"/>
      <c r="J14" s="878"/>
      <c r="K14" s="878"/>
      <c r="L14" s="878"/>
      <c r="M14" s="878"/>
      <c r="N14" s="879"/>
    </row>
    <row r="15" spans="1:15" s="34" customFormat="1" ht="4.5" customHeight="1">
      <c r="A15" s="156"/>
      <c r="B15" s="179"/>
      <c r="C15" s="180"/>
      <c r="D15" s="181"/>
      <c r="E15" s="181"/>
      <c r="F15" s="181"/>
      <c r="G15" s="181"/>
      <c r="H15" s="182"/>
      <c r="I15" s="183"/>
      <c r="J15" s="183"/>
      <c r="K15" s="183"/>
      <c r="L15" s="183"/>
      <c r="M15" s="183"/>
      <c r="N15" s="183"/>
      <c r="O15" s="75"/>
    </row>
    <row r="16" spans="1:15" s="33" customFormat="1" ht="21" customHeight="1" thickBot="1">
      <c r="A16" s="152"/>
      <c r="B16" s="859" t="s">
        <v>100</v>
      </c>
      <c r="C16" s="859"/>
      <c r="D16" s="859"/>
      <c r="E16" s="859"/>
      <c r="F16" s="859"/>
      <c r="G16" s="859"/>
      <c r="H16" s="859"/>
      <c r="I16" s="859"/>
      <c r="J16" s="859"/>
      <c r="K16" s="859"/>
      <c r="L16" s="859"/>
      <c r="M16" s="859"/>
      <c r="N16" s="859"/>
    </row>
    <row r="17" spans="1:15" s="34" customFormat="1" ht="3.75" customHeight="1" thickBot="1">
      <c r="A17" s="156"/>
      <c r="B17" s="165"/>
      <c r="C17" s="166"/>
      <c r="D17" s="167"/>
      <c r="E17" s="168"/>
      <c r="F17" s="169"/>
      <c r="G17" s="169"/>
      <c r="H17" s="170"/>
      <c r="I17" s="171"/>
      <c r="J17" s="172"/>
      <c r="K17" s="161"/>
      <c r="L17" s="162"/>
      <c r="M17" s="163"/>
      <c r="N17" s="164"/>
    </row>
    <row r="18" spans="1:15" s="34" customFormat="1" ht="22.5" customHeight="1" thickBot="1">
      <c r="A18" s="156"/>
      <c r="B18" s="872" t="s">
        <v>94</v>
      </c>
      <c r="C18" s="873"/>
      <c r="D18" s="892" t="s">
        <v>97</v>
      </c>
      <c r="E18" s="893"/>
      <c r="F18" s="893"/>
      <c r="G18" s="894"/>
      <c r="H18" s="159"/>
      <c r="I18" s="889" t="s">
        <v>315</v>
      </c>
      <c r="J18" s="890"/>
      <c r="K18" s="890"/>
      <c r="L18" s="890"/>
      <c r="M18" s="891"/>
      <c r="N18" s="891"/>
    </row>
    <row r="19" spans="1:15" s="34" customFormat="1" ht="21.75" customHeight="1">
      <c r="A19" s="156"/>
      <c r="B19" s="412" t="s">
        <v>109</v>
      </c>
      <c r="C19" s="184"/>
      <c r="D19" s="899" t="str">
        <f>IF(ISBLANK(Management!C8),"",(Management!C8))</f>
        <v/>
      </c>
      <c r="E19" s="899"/>
      <c r="F19" s="899"/>
      <c r="G19" s="900"/>
      <c r="H19" s="185"/>
      <c r="I19" s="863"/>
      <c r="J19" s="864"/>
      <c r="K19" s="864"/>
      <c r="L19" s="864"/>
      <c r="M19" s="864"/>
      <c r="N19" s="865"/>
    </row>
    <row r="20" spans="1:15" ht="24.75" customHeight="1">
      <c r="A20" s="150"/>
      <c r="B20" s="413" t="s">
        <v>110</v>
      </c>
      <c r="C20" s="186"/>
      <c r="D20" s="883" t="str">
        <f>IF(ISBLANK(Management!I8),"",(Management!I8))</f>
        <v/>
      </c>
      <c r="E20" s="883" t="e">
        <f>+'Data Entry'!D76/'Data Entry'!G76</f>
        <v>#DIV/0!</v>
      </c>
      <c r="F20" s="883" t="e">
        <f>+('Data Entry'!E76+'Data Entry'!F76)/'Data Entry'!G76</f>
        <v>#DIV/0!</v>
      </c>
      <c r="G20" s="885"/>
      <c r="H20" s="185"/>
      <c r="I20" s="869"/>
      <c r="J20" s="870"/>
      <c r="K20" s="870"/>
      <c r="L20" s="870"/>
      <c r="M20" s="870"/>
      <c r="N20" s="871"/>
      <c r="O20" s="35"/>
    </row>
    <row r="21" spans="1:15" ht="29.25" customHeight="1">
      <c r="A21" s="150"/>
      <c r="B21" s="414" t="s">
        <v>111</v>
      </c>
      <c r="C21" s="186"/>
      <c r="D21" s="883" t="str">
        <f>IF(ISBLANK(Management!C16),"",(Management!C16))</f>
        <v/>
      </c>
      <c r="E21" s="883"/>
      <c r="F21" s="883"/>
      <c r="G21" s="885"/>
      <c r="H21" s="185"/>
      <c r="I21" s="869"/>
      <c r="J21" s="870"/>
      <c r="K21" s="870"/>
      <c r="L21" s="870"/>
      <c r="M21" s="870"/>
      <c r="N21" s="871"/>
      <c r="O21" s="35"/>
    </row>
    <row r="22" spans="1:15" ht="26.25" customHeight="1">
      <c r="A22" s="150"/>
      <c r="B22" s="414" t="s">
        <v>112</v>
      </c>
      <c r="C22" s="186"/>
      <c r="D22" s="883" t="str">
        <f>IF(ISBLANK(Management!I16),"",(Management!I16))</f>
        <v/>
      </c>
      <c r="E22" s="883"/>
      <c r="F22" s="883"/>
      <c r="G22" s="885"/>
      <c r="H22" s="185"/>
      <c r="I22" s="869"/>
      <c r="J22" s="870"/>
      <c r="K22" s="870"/>
      <c r="L22" s="870"/>
      <c r="M22" s="870"/>
      <c r="N22" s="871"/>
      <c r="O22" s="35"/>
    </row>
    <row r="23" spans="1:15" ht="24.75" customHeight="1">
      <c r="A23" s="150"/>
      <c r="B23" s="414" t="s">
        <v>113</v>
      </c>
      <c r="C23" s="186"/>
      <c r="D23" s="883" t="str">
        <f>IF(ISBLANK(Management!C27),"",(Management!C27))</f>
        <v/>
      </c>
      <c r="E23" s="883"/>
      <c r="F23" s="883"/>
      <c r="G23" s="885"/>
      <c r="H23" s="185"/>
      <c r="I23" s="869"/>
      <c r="J23" s="870"/>
      <c r="K23" s="870"/>
      <c r="L23" s="870"/>
      <c r="M23" s="870"/>
      <c r="N23" s="871"/>
      <c r="O23" s="35"/>
    </row>
    <row r="24" spans="1:15" ht="27" customHeight="1" thickBot="1">
      <c r="A24" s="150"/>
      <c r="B24" s="415" t="s">
        <v>115</v>
      </c>
      <c r="C24" s="187"/>
      <c r="D24" s="902" t="str">
        <f>IF(ISBLANK(Management!I27),"",(Management!I27))</f>
        <v/>
      </c>
      <c r="E24" s="902"/>
      <c r="F24" s="902"/>
      <c r="G24" s="903"/>
      <c r="H24" s="185"/>
      <c r="I24" s="866"/>
      <c r="J24" s="867"/>
      <c r="K24" s="867"/>
      <c r="L24" s="867"/>
      <c r="M24" s="867"/>
      <c r="N24" s="868"/>
      <c r="O24" s="35"/>
    </row>
    <row r="25" spans="1:15" ht="4.5" customHeight="1">
      <c r="A25" s="152"/>
      <c r="B25" s="157"/>
      <c r="C25" s="158"/>
      <c r="D25" s="173"/>
      <c r="E25" s="174"/>
      <c r="F25" s="175"/>
      <c r="G25" s="175"/>
      <c r="H25" s="159"/>
      <c r="I25" s="174"/>
      <c r="J25" s="160"/>
      <c r="K25" s="161"/>
      <c r="L25" s="162"/>
      <c r="M25" s="163"/>
      <c r="N25" s="164"/>
      <c r="O25" s="35"/>
    </row>
    <row r="26" spans="1:15" s="33" customFormat="1" ht="21" customHeight="1" thickBot="1">
      <c r="A26" s="152"/>
      <c r="B26" s="859" t="s">
        <v>99</v>
      </c>
      <c r="C26" s="859"/>
      <c r="D26" s="859"/>
      <c r="E26" s="859"/>
      <c r="F26" s="859"/>
      <c r="G26" s="859"/>
      <c r="H26" s="859"/>
      <c r="I26" s="859"/>
      <c r="J26" s="859"/>
      <c r="K26" s="859"/>
      <c r="L26" s="859"/>
      <c r="M26" s="859"/>
      <c r="N26" s="859"/>
    </row>
    <row r="27" spans="1:15" ht="3.75" customHeight="1" thickBot="1">
      <c r="A27" s="152"/>
      <c r="B27" s="157"/>
      <c r="C27" s="158"/>
      <c r="D27" s="173"/>
      <c r="E27" s="174"/>
      <c r="F27" s="175"/>
      <c r="G27" s="175"/>
      <c r="H27" s="159"/>
      <c r="I27" s="174"/>
      <c r="J27" s="160"/>
      <c r="K27" s="161"/>
      <c r="L27" s="162"/>
      <c r="M27" s="163"/>
      <c r="N27" s="164"/>
      <c r="O27" s="35"/>
    </row>
    <row r="28" spans="1:15" ht="21.75" customHeight="1" thickBot="1">
      <c r="A28" s="150"/>
      <c r="B28" s="880" t="s">
        <v>7</v>
      </c>
      <c r="C28" s="873"/>
      <c r="D28" s="907" t="s">
        <v>97</v>
      </c>
      <c r="E28" s="908"/>
      <c r="F28" s="908"/>
      <c r="G28" s="909"/>
      <c r="H28" s="159"/>
      <c r="I28" s="907" t="s">
        <v>315</v>
      </c>
      <c r="J28" s="908"/>
      <c r="K28" s="908"/>
      <c r="L28" s="908"/>
      <c r="M28" s="908"/>
      <c r="N28" s="909"/>
      <c r="O28" s="35"/>
    </row>
    <row r="29" spans="1:15" ht="29.25" customHeight="1">
      <c r="A29" s="150"/>
      <c r="B29" s="416" t="s">
        <v>316</v>
      </c>
      <c r="C29" s="188"/>
      <c r="D29" s="910" t="str">
        <f>IF(ISBLANK(Programmatic!C9),"",(Programmatic!C9))</f>
        <v/>
      </c>
      <c r="E29" s="911"/>
      <c r="F29" s="911"/>
      <c r="G29" s="912"/>
      <c r="H29" s="185"/>
      <c r="I29" s="904"/>
      <c r="J29" s="905"/>
      <c r="K29" s="905"/>
      <c r="L29" s="905"/>
      <c r="M29" s="905"/>
      <c r="N29" s="906"/>
      <c r="O29" s="35"/>
    </row>
    <row r="30" spans="1:15" ht="21.75" customHeight="1">
      <c r="A30" s="150"/>
      <c r="B30" s="417" t="s">
        <v>317</v>
      </c>
      <c r="C30" s="189"/>
      <c r="D30" s="901" t="str">
        <f>IF(ISBLANK(Programmatic!G9),"",(Programmatic!G9))</f>
        <v/>
      </c>
      <c r="E30" s="897"/>
      <c r="F30" s="897"/>
      <c r="G30" s="898"/>
      <c r="H30" s="185"/>
      <c r="I30" s="856"/>
      <c r="J30" s="857"/>
      <c r="K30" s="857"/>
      <c r="L30" s="857"/>
      <c r="M30" s="857"/>
      <c r="N30" s="858"/>
      <c r="O30" s="35"/>
    </row>
    <row r="31" spans="1:15" ht="21.75" customHeight="1">
      <c r="A31" s="150"/>
      <c r="B31" s="417" t="s">
        <v>318</v>
      </c>
      <c r="C31" s="189"/>
      <c r="D31" s="901" t="str">
        <f>IF(ISBLANK(Programmatic!M9),"",(Programmatic!M9))</f>
        <v/>
      </c>
      <c r="E31" s="897"/>
      <c r="F31" s="897"/>
      <c r="G31" s="898"/>
      <c r="H31" s="185"/>
      <c r="I31" s="856"/>
      <c r="J31" s="857"/>
      <c r="K31" s="857"/>
      <c r="L31" s="857"/>
      <c r="M31" s="857"/>
      <c r="N31" s="858"/>
      <c r="O31" s="35"/>
    </row>
    <row r="32" spans="1:15" ht="21.75" customHeight="1">
      <c r="A32" s="150"/>
      <c r="B32" s="418" t="s">
        <v>105</v>
      </c>
      <c r="C32" s="189"/>
      <c r="D32" s="896" t="str">
        <f>IF(ISBLANK(Programmatic!L20),"",(Programmatic!L20))</f>
        <v/>
      </c>
      <c r="E32" s="897"/>
      <c r="F32" s="897"/>
      <c r="G32" s="898"/>
      <c r="H32" s="185"/>
      <c r="I32" s="856"/>
      <c r="J32" s="857"/>
      <c r="K32" s="857"/>
      <c r="L32" s="857"/>
      <c r="M32" s="857"/>
      <c r="N32" s="858"/>
      <c r="O32" s="35"/>
    </row>
    <row r="33" spans="1:15" ht="27" customHeight="1">
      <c r="A33" s="150"/>
      <c r="B33" s="418" t="s">
        <v>106</v>
      </c>
      <c r="C33" s="189"/>
      <c r="D33" s="896" t="str">
        <f>IF(ISBLANK(Programmatic!L21),"",(Programmatic!L21))</f>
        <v/>
      </c>
      <c r="E33" s="897"/>
      <c r="F33" s="897"/>
      <c r="G33" s="898"/>
      <c r="H33" s="185"/>
      <c r="I33" s="856"/>
      <c r="J33" s="857"/>
      <c r="K33" s="857"/>
      <c r="L33" s="857"/>
      <c r="M33" s="857"/>
      <c r="N33" s="858"/>
      <c r="O33" s="35"/>
    </row>
    <row r="34" spans="1:15" ht="21.75" customHeight="1">
      <c r="A34" s="150"/>
      <c r="B34" s="418" t="s">
        <v>107</v>
      </c>
      <c r="C34" s="189"/>
      <c r="D34" s="896" t="str">
        <f>IF(ISBLANK(Programmatic!L22),"",(Programmatic!L22))</f>
        <v>Annual Target</v>
      </c>
      <c r="E34" s="897"/>
      <c r="F34" s="897"/>
      <c r="G34" s="898"/>
      <c r="H34" s="185"/>
      <c r="I34" s="856"/>
      <c r="J34" s="857"/>
      <c r="K34" s="857"/>
      <c r="L34" s="857"/>
      <c r="M34" s="857"/>
      <c r="N34" s="858"/>
      <c r="O34" s="35"/>
    </row>
    <row r="35" spans="1:15" ht="21.75" customHeight="1">
      <c r="A35" s="150"/>
      <c r="B35" s="418" t="s">
        <v>108</v>
      </c>
      <c r="C35" s="232"/>
      <c r="D35" s="896" t="str">
        <f>IF(ISBLANK(Programmatic!L23),"",(Programmatic!L23))</f>
        <v/>
      </c>
      <c r="E35" s="897"/>
      <c r="F35" s="897"/>
      <c r="G35" s="898"/>
      <c r="H35" s="185"/>
      <c r="I35" s="856"/>
      <c r="J35" s="857"/>
      <c r="K35" s="857"/>
      <c r="L35" s="857"/>
      <c r="M35" s="857"/>
      <c r="N35" s="858"/>
      <c r="O35" s="35"/>
    </row>
    <row r="36" spans="1:15" ht="21.75" customHeight="1">
      <c r="A36" s="150"/>
      <c r="B36" s="418" t="s">
        <v>120</v>
      </c>
      <c r="C36" s="232"/>
      <c r="D36" s="896" t="str">
        <f>IF(ISBLANK(Programmatic!L24),"",(Programmatic!L24))</f>
        <v/>
      </c>
      <c r="E36" s="897"/>
      <c r="F36" s="897"/>
      <c r="G36" s="898"/>
      <c r="H36" s="185"/>
      <c r="I36" s="856"/>
      <c r="J36" s="857"/>
      <c r="K36" s="857"/>
      <c r="L36" s="857"/>
      <c r="M36" s="857"/>
      <c r="N36" s="858"/>
      <c r="O36" s="35"/>
    </row>
    <row r="37" spans="1:15" ht="21.75" customHeight="1">
      <c r="A37" s="150"/>
      <c r="B37" s="418" t="s">
        <v>121</v>
      </c>
      <c r="C37" s="232"/>
      <c r="D37" s="896" t="str">
        <f>IF(ISBLANK(Programmatic!L25),"",(Programmatic!L25))</f>
        <v/>
      </c>
      <c r="E37" s="897"/>
      <c r="F37" s="897"/>
      <c r="G37" s="898"/>
      <c r="H37" s="185"/>
      <c r="I37" s="856"/>
      <c r="J37" s="857"/>
      <c r="K37" s="857"/>
      <c r="L37" s="857"/>
      <c r="M37" s="857"/>
      <c r="N37" s="858"/>
      <c r="O37" s="35"/>
    </row>
    <row r="38" spans="1:15" ht="21.75" customHeight="1">
      <c r="A38" s="150"/>
      <c r="B38" s="418" t="s">
        <v>122</v>
      </c>
      <c r="C38" s="232"/>
      <c r="D38" s="896" t="str">
        <f>IF(ISBLANK(Programmatic!L26),"",(Programmatic!L26))</f>
        <v/>
      </c>
      <c r="E38" s="897"/>
      <c r="F38" s="897"/>
      <c r="G38" s="898"/>
      <c r="H38" s="185"/>
      <c r="I38" s="856"/>
      <c r="J38" s="857"/>
      <c r="K38" s="857"/>
      <c r="L38" s="857"/>
      <c r="M38" s="857"/>
      <c r="N38" s="858"/>
      <c r="O38" s="35"/>
    </row>
    <row r="39" spans="1:15" ht="21.75" customHeight="1">
      <c r="A39" s="150"/>
      <c r="B39" s="418" t="s">
        <v>123</v>
      </c>
      <c r="C39" s="232"/>
      <c r="D39" s="896" t="str">
        <f>IF(ISBLANK(Programmatic!L27),"",(Programmatic!L27))</f>
        <v>Number of prison inmates</v>
      </c>
      <c r="E39" s="897"/>
      <c r="F39" s="897"/>
      <c r="G39" s="898"/>
      <c r="H39" s="185"/>
      <c r="I39" s="856"/>
      <c r="J39" s="857"/>
      <c r="K39" s="857"/>
      <c r="L39" s="857"/>
      <c r="M39" s="857"/>
      <c r="N39" s="858"/>
      <c r="O39" s="35"/>
    </row>
    <row r="40" spans="1:15" ht="21.75" customHeight="1">
      <c r="A40" s="150"/>
      <c r="B40" s="418" t="s">
        <v>124</v>
      </c>
      <c r="C40" s="232"/>
      <c r="D40" s="896" t="str">
        <f>IF(ISBLANK(Programmatic!L28),"",(Programmatic!L28))</f>
        <v/>
      </c>
      <c r="E40" s="897"/>
      <c r="F40" s="897"/>
      <c r="G40" s="898"/>
      <c r="H40" s="185"/>
      <c r="I40" s="856"/>
      <c r="J40" s="857"/>
      <c r="K40" s="857"/>
      <c r="L40" s="857"/>
      <c r="M40" s="857"/>
      <c r="N40" s="858"/>
      <c r="O40" s="35"/>
    </row>
    <row r="41" spans="1:15" ht="21.75" customHeight="1" thickBot="1">
      <c r="A41" s="150"/>
      <c r="B41" s="418" t="s">
        <v>125</v>
      </c>
      <c r="C41" s="190"/>
      <c r="D41" s="896" t="str">
        <f>IF(ISBLANK(Programmatic!L29),"",(Programmatic!L29))</f>
        <v/>
      </c>
      <c r="E41" s="897"/>
      <c r="F41" s="897"/>
      <c r="G41" s="898"/>
      <c r="H41" s="185"/>
      <c r="I41" s="913"/>
      <c r="J41" s="914"/>
      <c r="K41" s="914"/>
      <c r="L41" s="914"/>
      <c r="M41" s="914"/>
      <c r="N41" s="915"/>
      <c r="O41" s="35"/>
    </row>
    <row r="42" spans="1:15" ht="13.5">
      <c r="A42" s="150"/>
      <c r="B42" s="191"/>
      <c r="C42" s="191"/>
      <c r="D42" s="192"/>
      <c r="E42" s="150"/>
      <c r="F42" s="191"/>
      <c r="G42" s="191"/>
      <c r="H42" s="150"/>
      <c r="I42" s="193"/>
      <c r="J42" s="150"/>
      <c r="K42" s="194"/>
      <c r="L42" s="194"/>
      <c r="M42" s="194"/>
      <c r="N42" s="194"/>
      <c r="O42" s="35"/>
    </row>
  </sheetData>
  <sheetProtection password="CFC9" sheet="1"/>
  <mergeCells count="65">
    <mergeCell ref="I36:N36"/>
    <mergeCell ref="B28:C28"/>
    <mergeCell ref="I38:N38"/>
    <mergeCell ref="I23:N23"/>
    <mergeCell ref="D41:G41"/>
    <mergeCell ref="I28:N28"/>
    <mergeCell ref="D40:G40"/>
    <mergeCell ref="D34:G34"/>
    <mergeCell ref="D29:G29"/>
    <mergeCell ref="D28:G28"/>
    <mergeCell ref="I34:N34"/>
    <mergeCell ref="D35:G35"/>
    <mergeCell ref="D32:G32"/>
    <mergeCell ref="D39:G39"/>
    <mergeCell ref="I40:N40"/>
    <mergeCell ref="I41:N41"/>
    <mergeCell ref="I35:N35"/>
    <mergeCell ref="D13:G13"/>
    <mergeCell ref="I37:N37"/>
    <mergeCell ref="D38:G38"/>
    <mergeCell ref="D37:G37"/>
    <mergeCell ref="D19:G19"/>
    <mergeCell ref="D21:G21"/>
    <mergeCell ref="D36:G36"/>
    <mergeCell ref="D30:G30"/>
    <mergeCell ref="D31:G31"/>
    <mergeCell ref="D24:G24"/>
    <mergeCell ref="D33:G33"/>
    <mergeCell ref="I29:N29"/>
    <mergeCell ref="I33:N33"/>
    <mergeCell ref="I30:N30"/>
    <mergeCell ref="I31:N31"/>
    <mergeCell ref="B26:N26"/>
    <mergeCell ref="D23:G23"/>
    <mergeCell ref="D12:G12"/>
    <mergeCell ref="I12:N12"/>
    <mergeCell ref="I22:N22"/>
    <mergeCell ref="B2:N2"/>
    <mergeCell ref="E5:K5"/>
    <mergeCell ref="E6:K6"/>
    <mergeCell ref="E3:K3"/>
    <mergeCell ref="C4:D4"/>
    <mergeCell ref="E4:K4"/>
    <mergeCell ref="C3:D3"/>
    <mergeCell ref="I11:N11"/>
    <mergeCell ref="I18:N18"/>
    <mergeCell ref="D18:G18"/>
    <mergeCell ref="D20:G20"/>
    <mergeCell ref="I21:N21"/>
    <mergeCell ref="I39:N39"/>
    <mergeCell ref="B8:N8"/>
    <mergeCell ref="I10:N10"/>
    <mergeCell ref="I19:N19"/>
    <mergeCell ref="I24:N24"/>
    <mergeCell ref="I20:N20"/>
    <mergeCell ref="B18:C18"/>
    <mergeCell ref="I13:N13"/>
    <mergeCell ref="I14:N14"/>
    <mergeCell ref="B10:C10"/>
    <mergeCell ref="D10:G10"/>
    <mergeCell ref="B16:N16"/>
    <mergeCell ref="D14:G14"/>
    <mergeCell ref="D11:G11"/>
    <mergeCell ref="I32:N32"/>
    <mergeCell ref="D22:G22"/>
  </mergeCells>
  <phoneticPr fontId="30" type="noConversion"/>
  <conditionalFormatting sqref="C4:D4">
    <cfRule type="cellIs" dxfId="5" priority="1" stopIfTrue="1" operator="equal">
      <formula>"C"</formula>
    </cfRule>
    <cfRule type="cellIs" dxfId="4" priority="2" stopIfTrue="1" operator="equal">
      <formula>"B2"</formula>
    </cfRule>
    <cfRule type="cellIs" dxfId="3" priority="3" stopIfTrue="1" operator="equal">
      <formula>"B1"</formula>
    </cfRule>
  </conditionalFormatting>
  <pageMargins left="0.70866141732283472" right="0.70866141732283472" top="0.74803149606299213" bottom="0.74803149606299213" header="0.31496062992125984" footer="0.31496062992125984"/>
  <pageSetup paperSize="9" scale="57" orientation="landscape"/>
  <headerFooter>
    <oddFooter>&amp;L&amp;F&amp;C&amp;A&amp;RV1.0          &amp;D</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27"/>
  </sheetPr>
  <dimension ref="A1:M43"/>
  <sheetViews>
    <sheetView showGridLines="0" zoomScale="95" zoomScaleNormal="95" zoomScaleSheetLayoutView="100" zoomScalePageLayoutView="95" workbookViewId="0"/>
  </sheetViews>
  <sheetFormatPr defaultColWidth="11" defaultRowHeight="14.5"/>
  <cols>
    <col min="1" max="1" width="4.1796875" customWidth="1"/>
    <col min="2" max="2" width="14.453125" customWidth="1"/>
    <col min="3" max="3" width="12.453125" customWidth="1"/>
    <col min="4" max="4" width="11.453125" customWidth="1"/>
    <col min="5" max="5" width="19" customWidth="1"/>
    <col min="6" max="6" width="1.453125" customWidth="1"/>
    <col min="7" max="7" width="11.453125" customWidth="1"/>
    <col min="8" max="8" width="9.453125" customWidth="1"/>
    <col min="9" max="9" width="11.453125" customWidth="1"/>
    <col min="10" max="10" width="12.453125" customWidth="1"/>
    <col min="11" max="11" width="10.453125" customWidth="1"/>
    <col min="12" max="12" width="9.6328125" customWidth="1"/>
  </cols>
  <sheetData>
    <row r="1" spans="1:13" ht="30.75" customHeight="1"/>
    <row r="2" spans="1:13" ht="27.75" customHeight="1">
      <c r="B2" s="803" t="str">
        <f>+"Dashboard:  "&amp;"  "&amp;IF(+'Data Entry'!C4="Please Select","",'Data Entry'!C4&amp;" - ")&amp;IF('Data Entry'!G6="Please Select","",'Data Entry'!G6)</f>
        <v>Dashboard:    Georgia - HIV / AIDS</v>
      </c>
      <c r="C2" s="803"/>
      <c r="D2" s="803"/>
      <c r="E2" s="803"/>
      <c r="F2" s="803"/>
      <c r="G2" s="803"/>
      <c r="H2" s="803"/>
      <c r="I2" s="803"/>
      <c r="J2" s="803"/>
      <c r="K2" s="803"/>
      <c r="L2" s="803"/>
    </row>
    <row r="3" spans="1:13">
      <c r="B3" s="24" t="str">
        <f>+IF('Data Entry'!G8="Please Select","",'Data Entry'!G8)</f>
        <v>NFM</v>
      </c>
      <c r="C3" s="801" t="str">
        <f>+IF('Data Entry'!I8="Please Select","",'Data Entry'!I8)</f>
        <v>N/A</v>
      </c>
      <c r="D3" s="801"/>
      <c r="E3" s="802"/>
      <c r="F3" s="802"/>
      <c r="G3" s="802"/>
      <c r="H3" s="802"/>
      <c r="I3" s="802"/>
      <c r="J3" s="805" t="str">
        <f>+'Data Entry'!B16</f>
        <v>Report Period:</v>
      </c>
      <c r="K3" s="805"/>
      <c r="L3" s="198" t="str">
        <f>+'Data Entry'!C16</f>
        <v>P12</v>
      </c>
      <c r="M3" s="85"/>
    </row>
    <row r="4" spans="1:13">
      <c r="B4" s="24" t="str">
        <f>+'Data Entry'!B12</f>
        <v>Latest Rating:</v>
      </c>
      <c r="C4" s="969" t="str">
        <f>+IF('Data Entry'!C12="Please Select","",'Data Entry'!C12)</f>
        <v>B1</v>
      </c>
      <c r="D4" s="969"/>
      <c r="E4" s="802" t="str">
        <f>+'Data Entry'!C8</f>
        <v>NCDC</v>
      </c>
      <c r="F4" s="802"/>
      <c r="G4" s="802"/>
      <c r="H4" s="802"/>
      <c r="I4" s="802"/>
      <c r="J4" s="805" t="str">
        <f>+'Data Entry'!D16</f>
        <v>From:</v>
      </c>
      <c r="K4" s="809"/>
      <c r="L4" s="199">
        <f>+IF(ISBLANK('Data Entry'!E16),"",'Data Entry'!E16)</f>
        <v>43556</v>
      </c>
    </row>
    <row r="5" spans="1:13" ht="18.75" customHeight="1">
      <c r="B5" s="24"/>
      <c r="C5" s="24"/>
      <c r="D5" s="802" t="str">
        <f>+'Data Entry'!G4</f>
        <v xml:space="preserve">Sustaining and Scaling up the Effective HIV/AIDS Prevention, Treatment and Care in Georgia </v>
      </c>
      <c r="E5" s="802"/>
      <c r="F5" s="802"/>
      <c r="G5" s="802"/>
      <c r="H5" s="802"/>
      <c r="I5" s="802"/>
      <c r="J5" s="802"/>
      <c r="K5" s="24" t="str">
        <f>+'Data Entry'!F16</f>
        <v>To:</v>
      </c>
      <c r="L5" s="199">
        <f>+IF(ISBLANK('Data Entry'!G16),"",'Data Entry'!G16)</f>
        <v>43646</v>
      </c>
    </row>
    <row r="6" spans="1:13" ht="18.5">
      <c r="B6" s="23"/>
      <c r="C6" s="24"/>
      <c r="D6" s="25"/>
      <c r="E6" s="804" t="s">
        <v>371</v>
      </c>
      <c r="F6" s="804"/>
      <c r="G6" s="804"/>
      <c r="H6" s="804"/>
      <c r="I6" s="804"/>
    </row>
    <row r="7" spans="1:13" ht="18.5">
      <c r="E7" s="72"/>
      <c r="F7" s="72"/>
      <c r="G7" s="72"/>
      <c r="H7" s="72"/>
      <c r="I7" s="72"/>
    </row>
    <row r="8" spans="1:13" s="33" customFormat="1" ht="21" customHeight="1" thickBot="1">
      <c r="B8" s="76" t="s">
        <v>95</v>
      </c>
      <c r="C8" s="76"/>
      <c r="D8" s="76"/>
      <c r="E8" s="76"/>
      <c r="F8" s="76"/>
      <c r="G8" s="76"/>
      <c r="H8" s="76"/>
      <c r="I8" s="76"/>
      <c r="J8" s="76"/>
      <c r="K8" s="76"/>
      <c r="L8" s="76"/>
    </row>
    <row r="9" spans="1:13" ht="6" customHeight="1">
      <c r="B9" s="74"/>
    </row>
    <row r="10" spans="1:13">
      <c r="B10" s="953"/>
      <c r="C10" s="954"/>
      <c r="D10" s="954"/>
      <c r="E10" s="954"/>
      <c r="F10" s="954"/>
      <c r="G10" s="954"/>
      <c r="H10" s="954"/>
      <c r="I10" s="954"/>
      <c r="J10" s="954"/>
      <c r="K10" s="954"/>
      <c r="L10" s="955"/>
    </row>
    <row r="11" spans="1:13">
      <c r="B11" s="956"/>
      <c r="C11" s="957"/>
      <c r="D11" s="957"/>
      <c r="E11" s="957"/>
      <c r="F11" s="957"/>
      <c r="G11" s="957"/>
      <c r="H11" s="957"/>
      <c r="I11" s="957"/>
      <c r="J11" s="957"/>
      <c r="K11" s="957"/>
      <c r="L11" s="958"/>
    </row>
    <row r="12" spans="1:13" ht="15" thickBot="1"/>
    <row r="13" spans="1:13" ht="26.25" customHeight="1" thickBot="1">
      <c r="B13" s="927" t="s">
        <v>305</v>
      </c>
      <c r="C13" s="928"/>
      <c r="D13" s="928"/>
      <c r="E13" s="929"/>
      <c r="F13" s="77"/>
      <c r="G13" s="923" t="s">
        <v>128</v>
      </c>
      <c r="H13" s="924"/>
      <c r="I13" s="924"/>
      <c r="J13" s="78" t="s">
        <v>96</v>
      </c>
      <c r="K13" s="924" t="s">
        <v>292</v>
      </c>
      <c r="L13" s="959"/>
    </row>
    <row r="14" spans="1:13">
      <c r="A14" s="920" t="s">
        <v>306</v>
      </c>
      <c r="B14" s="948"/>
      <c r="C14" s="948"/>
      <c r="D14" s="948"/>
      <c r="E14" s="949"/>
      <c r="F14" s="46"/>
      <c r="G14" s="965"/>
      <c r="H14" s="966"/>
      <c r="I14" s="966"/>
      <c r="J14" s="964"/>
      <c r="K14" s="966"/>
      <c r="L14" s="970"/>
    </row>
    <row r="15" spans="1:13">
      <c r="A15" s="921"/>
      <c r="B15" s="948"/>
      <c r="C15" s="948"/>
      <c r="D15" s="948"/>
      <c r="E15" s="949"/>
      <c r="F15" s="46"/>
      <c r="G15" s="925"/>
      <c r="H15" s="916"/>
      <c r="I15" s="916"/>
      <c r="J15" s="916"/>
      <c r="K15" s="916"/>
      <c r="L15" s="917"/>
    </row>
    <row r="16" spans="1:13">
      <c r="A16" s="921"/>
      <c r="B16" s="948"/>
      <c r="C16" s="948"/>
      <c r="D16" s="948"/>
      <c r="E16" s="949"/>
      <c r="F16" s="46"/>
      <c r="G16" s="930"/>
      <c r="H16" s="916"/>
      <c r="I16" s="916"/>
      <c r="J16" s="916"/>
      <c r="K16" s="916"/>
      <c r="L16" s="917"/>
    </row>
    <row r="17" spans="1:12">
      <c r="A17" s="921"/>
      <c r="B17" s="948"/>
      <c r="C17" s="948"/>
      <c r="D17" s="948"/>
      <c r="E17" s="949"/>
      <c r="F17" s="46"/>
      <c r="G17" s="925"/>
      <c r="H17" s="916"/>
      <c r="I17" s="916"/>
      <c r="J17" s="916"/>
      <c r="K17" s="916"/>
      <c r="L17" s="917"/>
    </row>
    <row r="18" spans="1:12">
      <c r="A18" s="921"/>
      <c r="B18" s="948"/>
      <c r="C18" s="948"/>
      <c r="D18" s="948"/>
      <c r="E18" s="949"/>
      <c r="F18" s="46"/>
      <c r="G18" s="960"/>
      <c r="H18" s="961"/>
      <c r="I18" s="962"/>
      <c r="J18" s="916"/>
      <c r="K18" s="916"/>
      <c r="L18" s="917"/>
    </row>
    <row r="19" spans="1:12" ht="30.75" customHeight="1">
      <c r="A19" s="921"/>
      <c r="B19" s="948"/>
      <c r="C19" s="948"/>
      <c r="D19" s="948"/>
      <c r="E19" s="949"/>
      <c r="F19" s="46"/>
      <c r="G19" s="937"/>
      <c r="H19" s="938"/>
      <c r="I19" s="963"/>
      <c r="J19" s="916"/>
      <c r="K19" s="916"/>
      <c r="L19" s="917"/>
    </row>
    <row r="20" spans="1:12">
      <c r="A20" s="921"/>
      <c r="B20" s="948"/>
      <c r="C20" s="948"/>
      <c r="D20" s="948"/>
      <c r="E20" s="949"/>
      <c r="F20" s="46"/>
      <c r="G20" s="925"/>
      <c r="H20" s="916"/>
      <c r="I20" s="916"/>
      <c r="J20" s="916"/>
      <c r="K20" s="916"/>
      <c r="L20" s="917"/>
    </row>
    <row r="21" spans="1:12">
      <c r="A21" s="921"/>
      <c r="B21" s="948"/>
      <c r="C21" s="948"/>
      <c r="D21" s="948"/>
      <c r="E21" s="949"/>
      <c r="F21" s="46"/>
      <c r="G21" s="925"/>
      <c r="H21" s="916"/>
      <c r="I21" s="916"/>
      <c r="J21" s="916"/>
      <c r="K21" s="916"/>
      <c r="L21" s="917"/>
    </row>
    <row r="22" spans="1:12">
      <c r="A22" s="921"/>
      <c r="B22" s="948"/>
      <c r="C22" s="948"/>
      <c r="D22" s="948"/>
      <c r="E22" s="949"/>
      <c r="F22" s="46"/>
      <c r="G22" s="925"/>
      <c r="H22" s="916"/>
      <c r="I22" s="916"/>
      <c r="J22" s="916"/>
      <c r="K22" s="916"/>
      <c r="L22" s="917"/>
    </row>
    <row r="23" spans="1:12">
      <c r="A23" s="921"/>
      <c r="B23" s="948"/>
      <c r="C23" s="948"/>
      <c r="D23" s="948"/>
      <c r="E23" s="949"/>
      <c r="F23" s="46"/>
      <c r="G23" s="925"/>
      <c r="H23" s="916"/>
      <c r="I23" s="916"/>
      <c r="J23" s="916"/>
      <c r="K23" s="916"/>
      <c r="L23" s="917"/>
    </row>
    <row r="24" spans="1:12">
      <c r="A24" s="921"/>
      <c r="B24" s="948"/>
      <c r="C24" s="948"/>
      <c r="D24" s="948"/>
      <c r="E24" s="949"/>
      <c r="F24" s="46"/>
      <c r="G24" s="930"/>
      <c r="H24" s="916"/>
      <c r="I24" s="916"/>
      <c r="J24" s="916"/>
      <c r="K24" s="916"/>
      <c r="L24" s="917"/>
    </row>
    <row r="25" spans="1:12" ht="15" thickBot="1">
      <c r="A25" s="922"/>
      <c r="B25" s="950"/>
      <c r="C25" s="950"/>
      <c r="D25" s="950"/>
      <c r="E25" s="951"/>
      <c r="F25" s="46"/>
      <c r="G25" s="931"/>
      <c r="H25" s="932"/>
      <c r="I25" s="932"/>
      <c r="J25" s="932"/>
      <c r="K25" s="932"/>
      <c r="L25" s="967"/>
    </row>
    <row r="27" spans="1:12" ht="18.5">
      <c r="E27" s="926" t="s">
        <v>335</v>
      </c>
      <c r="F27" s="926"/>
      <c r="G27" s="926"/>
      <c r="H27" s="926"/>
      <c r="I27" s="926"/>
    </row>
    <row r="28" spans="1:12" ht="6" customHeight="1">
      <c r="E28" s="72"/>
      <c r="F28" s="72"/>
      <c r="G28" s="72"/>
      <c r="H28" s="72"/>
      <c r="I28" s="72"/>
    </row>
    <row r="29" spans="1:12" s="33" customFormat="1" ht="21" customHeight="1" thickBot="1">
      <c r="B29" s="76" t="s">
        <v>95</v>
      </c>
      <c r="C29" s="76"/>
      <c r="D29" s="76"/>
      <c r="E29" s="76"/>
      <c r="F29" s="76"/>
      <c r="G29" s="76"/>
      <c r="H29" s="76"/>
      <c r="I29" s="76"/>
      <c r="J29" s="76"/>
      <c r="K29" s="76"/>
      <c r="L29" s="76"/>
    </row>
    <row r="30" spans="1:12" ht="6" customHeight="1" thickBot="1">
      <c r="B30" s="74"/>
    </row>
    <row r="31" spans="1:12" ht="21.75" customHeight="1" thickBot="1">
      <c r="B31" s="927" t="s">
        <v>128</v>
      </c>
      <c r="C31" s="928"/>
      <c r="D31" s="928"/>
      <c r="E31" s="929"/>
      <c r="F31" s="77"/>
      <c r="G31" s="923" t="s">
        <v>320</v>
      </c>
      <c r="H31" s="924"/>
      <c r="I31" s="924"/>
      <c r="J31" s="78" t="s">
        <v>294</v>
      </c>
      <c r="K31" s="924" t="s">
        <v>292</v>
      </c>
      <c r="L31" s="959"/>
    </row>
    <row r="32" spans="1:12" ht="14.25" customHeight="1">
      <c r="A32" s="920" t="s">
        <v>307</v>
      </c>
      <c r="B32" s="934"/>
      <c r="C32" s="935"/>
      <c r="D32" s="935"/>
      <c r="E32" s="936"/>
      <c r="F32" s="46"/>
      <c r="G32" s="952"/>
      <c r="H32" s="918"/>
      <c r="I32" s="918"/>
      <c r="J32" s="918"/>
      <c r="K32" s="918"/>
      <c r="L32" s="972"/>
    </row>
    <row r="33" spans="1:12" ht="16.5" customHeight="1">
      <c r="A33" s="921"/>
      <c r="B33" s="937"/>
      <c r="C33" s="938"/>
      <c r="D33" s="938"/>
      <c r="E33" s="939"/>
      <c r="F33" s="46"/>
      <c r="G33" s="933"/>
      <c r="H33" s="919"/>
      <c r="I33" s="919"/>
      <c r="J33" s="919"/>
      <c r="K33" s="919"/>
      <c r="L33" s="968"/>
    </row>
    <row r="34" spans="1:12">
      <c r="A34" s="921"/>
      <c r="B34" s="940" t="str">
        <f>IF(Recommendations!I43="","",Recommendations!I43)</f>
        <v/>
      </c>
      <c r="C34" s="941"/>
      <c r="D34" s="941"/>
      <c r="E34" s="942"/>
      <c r="F34" s="46"/>
      <c r="G34" s="933"/>
      <c r="H34" s="919"/>
      <c r="I34" s="919"/>
      <c r="J34" s="919"/>
      <c r="K34" s="919"/>
      <c r="L34" s="968"/>
    </row>
    <row r="35" spans="1:12">
      <c r="A35" s="921"/>
      <c r="B35" s="940"/>
      <c r="C35" s="941"/>
      <c r="D35" s="941"/>
      <c r="E35" s="942"/>
      <c r="F35" s="46"/>
      <c r="G35" s="933"/>
      <c r="H35" s="919"/>
      <c r="I35" s="919"/>
      <c r="J35" s="919"/>
      <c r="K35" s="919"/>
      <c r="L35" s="968"/>
    </row>
    <row r="36" spans="1:12">
      <c r="A36" s="921"/>
      <c r="B36" s="940" t="str">
        <f>+IF(Recommendations!I53="","",Recommendations!I53)</f>
        <v/>
      </c>
      <c r="C36" s="941"/>
      <c r="D36" s="941"/>
      <c r="E36" s="942"/>
      <c r="F36" s="46"/>
      <c r="G36" s="933"/>
      <c r="H36" s="919"/>
      <c r="I36" s="919"/>
      <c r="J36" s="919"/>
      <c r="K36" s="919"/>
      <c r="L36" s="968"/>
    </row>
    <row r="37" spans="1:12">
      <c r="A37" s="921"/>
      <c r="B37" s="940"/>
      <c r="C37" s="941"/>
      <c r="D37" s="941"/>
      <c r="E37" s="942"/>
      <c r="F37" s="46"/>
      <c r="G37" s="933"/>
      <c r="H37" s="919"/>
      <c r="I37" s="919"/>
      <c r="J37" s="919"/>
      <c r="K37" s="919"/>
      <c r="L37" s="968"/>
    </row>
    <row r="38" spans="1:12">
      <c r="A38" s="921"/>
      <c r="B38" s="940"/>
      <c r="C38" s="941"/>
      <c r="D38" s="941"/>
      <c r="E38" s="942"/>
      <c r="F38" s="46"/>
      <c r="G38" s="933"/>
      <c r="H38" s="919"/>
      <c r="I38" s="919"/>
      <c r="J38" s="919"/>
      <c r="K38" s="919"/>
      <c r="L38" s="968"/>
    </row>
    <row r="39" spans="1:12">
      <c r="A39" s="921"/>
      <c r="B39" s="940"/>
      <c r="C39" s="941"/>
      <c r="D39" s="941"/>
      <c r="E39" s="942"/>
      <c r="F39" s="46"/>
      <c r="G39" s="933"/>
      <c r="H39" s="919"/>
      <c r="I39" s="919"/>
      <c r="J39" s="919"/>
      <c r="K39" s="919"/>
      <c r="L39" s="968"/>
    </row>
    <row r="40" spans="1:12">
      <c r="A40" s="921"/>
      <c r="B40" s="940"/>
      <c r="C40" s="941"/>
      <c r="D40" s="941"/>
      <c r="E40" s="942"/>
      <c r="F40" s="46"/>
      <c r="G40" s="933"/>
      <c r="H40" s="919"/>
      <c r="I40" s="919"/>
      <c r="J40" s="919"/>
      <c r="K40" s="919"/>
      <c r="L40" s="968"/>
    </row>
    <row r="41" spans="1:12">
      <c r="A41" s="921"/>
      <c r="B41" s="940"/>
      <c r="C41" s="941"/>
      <c r="D41" s="941"/>
      <c r="E41" s="942"/>
      <c r="F41" s="46"/>
      <c r="G41" s="933"/>
      <c r="H41" s="919"/>
      <c r="I41" s="919"/>
      <c r="J41" s="919"/>
      <c r="K41" s="919"/>
      <c r="L41" s="968"/>
    </row>
    <row r="42" spans="1:12">
      <c r="A42" s="921"/>
      <c r="B42" s="940"/>
      <c r="C42" s="941"/>
      <c r="D42" s="941"/>
      <c r="E42" s="942"/>
      <c r="F42" s="46"/>
      <c r="G42" s="933"/>
      <c r="H42" s="919"/>
      <c r="I42" s="919"/>
      <c r="J42" s="919"/>
      <c r="K42" s="919"/>
      <c r="L42" s="968"/>
    </row>
    <row r="43" spans="1:12" ht="15" thickBot="1">
      <c r="A43" s="922"/>
      <c r="B43" s="943"/>
      <c r="C43" s="944"/>
      <c r="D43" s="944"/>
      <c r="E43" s="945"/>
      <c r="F43" s="46"/>
      <c r="G43" s="946"/>
      <c r="H43" s="947"/>
      <c r="I43" s="947"/>
      <c r="J43" s="947"/>
      <c r="K43" s="947"/>
      <c r="L43" s="971"/>
    </row>
  </sheetData>
  <sheetProtection password="CFC9" sheet="1"/>
  <mergeCells count="67">
    <mergeCell ref="K42:L43"/>
    <mergeCell ref="K36:L37"/>
    <mergeCell ref="K38:L39"/>
    <mergeCell ref="K32:L33"/>
    <mergeCell ref="J36:J37"/>
    <mergeCell ref="J40:J41"/>
    <mergeCell ref="J42:J43"/>
    <mergeCell ref="J38:J39"/>
    <mergeCell ref="K31:L31"/>
    <mergeCell ref="K24:L25"/>
    <mergeCell ref="K34:L35"/>
    <mergeCell ref="K40:L41"/>
    <mergeCell ref="B2:L2"/>
    <mergeCell ref="C4:D4"/>
    <mergeCell ref="K14:L15"/>
    <mergeCell ref="K16:L17"/>
    <mergeCell ref="E3:I3"/>
    <mergeCell ref="J3:K3"/>
    <mergeCell ref="E4:I4"/>
    <mergeCell ref="J4:K4"/>
    <mergeCell ref="E6:I6"/>
    <mergeCell ref="C3:D3"/>
    <mergeCell ref="G40:I41"/>
    <mergeCell ref="B38:E39"/>
    <mergeCell ref="A14:A25"/>
    <mergeCell ref="J18:J19"/>
    <mergeCell ref="J16:J17"/>
    <mergeCell ref="J14:J15"/>
    <mergeCell ref="B16:E17"/>
    <mergeCell ref="G14:I15"/>
    <mergeCell ref="B34:E35"/>
    <mergeCell ref="G34:I35"/>
    <mergeCell ref="J34:J35"/>
    <mergeCell ref="B36:E37"/>
    <mergeCell ref="G36:I37"/>
    <mergeCell ref="D5:J5"/>
    <mergeCell ref="B13:E13"/>
    <mergeCell ref="J24:J25"/>
    <mergeCell ref="B14:E15"/>
    <mergeCell ref="J22:J23"/>
    <mergeCell ref="G16:I17"/>
    <mergeCell ref="B18:E19"/>
    <mergeCell ref="B22:E23"/>
    <mergeCell ref="B20:E21"/>
    <mergeCell ref="J20:J21"/>
    <mergeCell ref="B10:L11"/>
    <mergeCell ref="K13:L13"/>
    <mergeCell ref="K18:L19"/>
    <mergeCell ref="G18:I19"/>
    <mergeCell ref="G13:I13"/>
    <mergeCell ref="K22:L23"/>
    <mergeCell ref="K20:L21"/>
    <mergeCell ref="J32:J33"/>
    <mergeCell ref="A32:A43"/>
    <mergeCell ref="G31:I31"/>
    <mergeCell ref="G20:I21"/>
    <mergeCell ref="G22:I23"/>
    <mergeCell ref="E27:I27"/>
    <mergeCell ref="B31:E31"/>
    <mergeCell ref="G24:I25"/>
    <mergeCell ref="G38:I39"/>
    <mergeCell ref="B32:E33"/>
    <mergeCell ref="B42:E43"/>
    <mergeCell ref="G42:I43"/>
    <mergeCell ref="B24:E25"/>
    <mergeCell ref="G32:I33"/>
    <mergeCell ref="B40:E41"/>
  </mergeCells>
  <phoneticPr fontId="30" type="noConversion"/>
  <conditionalFormatting sqref="C4:D4">
    <cfRule type="cellIs" dxfId="2" priority="1" stopIfTrue="1" operator="equal">
      <formula>"C"</formula>
    </cfRule>
    <cfRule type="cellIs" dxfId="1" priority="2" stopIfTrue="1" operator="equal">
      <formula>"B2"</formula>
    </cfRule>
    <cfRule type="cellIs" dxfId="0" priority="3" stopIfTrue="1" operator="equal">
      <formula>"B1"</formula>
    </cfRule>
  </conditionalFormatting>
  <pageMargins left="0.70866141732283472" right="0.70866141732283472" top="0.74803149606299213" bottom="0.74803149606299213" header="0.31496062992125984" footer="0.31496062992125984"/>
  <pageSetup paperSize="9" scale="70" orientation="landscape"/>
  <headerFooter>
    <oddFooter>&amp;L&amp;F&amp;C&amp;A&amp;RV1.0          &amp;D</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7AE33814D636243AB6A9FA2A045E8DA" ma:contentTypeVersion="3" ma:contentTypeDescription="Create a new document." ma:contentTypeScope="" ma:versionID="af1a29e97202afb25995f8da1615af72">
  <xsd:schema xmlns:xsd="http://www.w3.org/2001/XMLSchema" xmlns:p="http://schemas.microsoft.com/office/2006/metadata/properties" xmlns:ns1="http://schemas.microsoft.com/sharepoint/v3" xmlns:ns3="f127e3a1-6a43-4b35-8211-dfdf2a8cacea" targetNamespace="http://schemas.microsoft.com/office/2006/metadata/properties" ma:root="true" ma:fieldsID="563097b2b740befc2bcdae137e789546" ns1:_="" ns3:_="">
    <xsd:import namespace="http://schemas.microsoft.com/sharepoint/v3"/>
    <xsd:import namespace="f127e3a1-6a43-4b35-8211-dfdf2a8cacea"/>
    <xsd:element name="properties">
      <xsd:complexType>
        <xsd:sequence>
          <xsd:element name="documentManagement">
            <xsd:complexType>
              <xsd:all>
                <xsd:element ref="ns1:PublishingStartDate" minOccurs="0"/>
                <xsd:element ref="ns1:PublishingExpirationDate" minOccurs="0"/>
                <xsd:element ref="ns3:Nr"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dms="http://schemas.microsoft.com/office/2006/documentManagement/types" targetNamespace="f127e3a1-6a43-4b35-8211-dfdf2a8cacea" elementFormDefault="qualified">
    <xsd:import namespace="http://schemas.microsoft.com/office/2006/documentManagement/types"/>
    <xsd:element name="Nr" ma:index="11" nillable="true" ma:displayName="Nr" ma:internalName="Nr">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0FC5-D0A5-4050-99A6-A816642943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27e3a1-6a43-4b35-8211-dfdf2a8cacea"/>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FF8B9337-4B91-4BFB-AD68-7B155DF4A2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10</vt:i4>
      </vt:variant>
      <vt:variant>
        <vt:lpstr>Named Ranges</vt:lpstr>
      </vt:variant>
      <vt:variant>
        <vt:i4>22</vt:i4>
      </vt:variant>
    </vt:vector>
  </HeadingPairs>
  <TitlesOfParts>
    <vt:vector size="32" baseType="lpstr">
      <vt:lpstr>Menu</vt:lpstr>
      <vt:lpstr>List of Indicators</vt:lpstr>
      <vt:lpstr>Data Entry</vt:lpstr>
      <vt:lpstr>Grant Detail</vt:lpstr>
      <vt:lpstr>Finance</vt:lpstr>
      <vt:lpstr>Management</vt:lpstr>
      <vt:lpstr>Programmatic</vt:lpstr>
      <vt:lpstr>Recommendations</vt:lpstr>
      <vt:lpstr>Actions</vt:lpstr>
      <vt:lpstr>Setup</vt:lpstr>
      <vt:lpstr>Component</vt:lpstr>
      <vt:lpstr>Countries</vt:lpstr>
      <vt:lpstr>Currency</vt:lpstr>
      <vt:lpstr>LFA</vt:lpstr>
      <vt:lpstr>Medicaments</vt:lpstr>
      <vt:lpstr>PERIOD</vt:lpstr>
      <vt:lpstr>Phase</vt:lpstr>
      <vt:lpstr>Actions!Print_Area</vt:lpstr>
      <vt:lpstr>Finance!Print_Area</vt:lpstr>
      <vt:lpstr>Management!Print_Area</vt:lpstr>
      <vt:lpstr>Programmatic!Print_Area</vt:lpstr>
      <vt:lpstr>PrintA</vt:lpstr>
      <vt:lpstr>PrintDataF</vt:lpstr>
      <vt:lpstr>PrintDataM</vt:lpstr>
      <vt:lpstr>PrintF</vt:lpstr>
      <vt:lpstr>PrintGD</vt:lpstr>
      <vt:lpstr>Actions!PrintM</vt:lpstr>
      <vt:lpstr>PrintM</vt:lpstr>
      <vt:lpstr>PrintP</vt:lpstr>
      <vt:lpstr>PrintR</vt:lpstr>
      <vt:lpstr>Rating</vt:lpstr>
      <vt:lpstr>Round</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CCM_Generic_Dashboard_en</dc:title>
  <dc:subject>&amp;lt;p&amp;gt;Setup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subject>
  <dc:creator>Genc Kastrati</dc:creator>
  <cp:keywords/>
  <dc:description>&amp;lt;p&amp;gt;Setup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description>
  <cp:lastModifiedBy>molhsa</cp:lastModifiedBy>
  <cp:lastPrinted>2009-11-06T15:57:56Z</cp:lastPrinted>
  <dcterms:created xsi:type="dcterms:W3CDTF">2008-11-20T16:06:13Z</dcterms:created>
  <dcterms:modified xsi:type="dcterms:W3CDTF">2019-10-17T10:07:54Z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oot_Map">
    <vt:lpwstr>C:\Documents and Settings\rfplain\Desktop\Root_Map.xsd</vt:lpwstr>
  </property>
  <property fmtid="{D5CDD505-2E9C-101B-9397-08002B2CF9AE}" pid="3" name="ContentType">
    <vt:lpwstr>Document</vt:lpwstr>
  </property>
  <property fmtid="{D5CDD505-2E9C-101B-9397-08002B2CF9AE}" pid="4" name="Version">
    <vt:lpwstr>1.0</vt:lpwstr>
  </property>
  <property fmtid="{D5CDD505-2E9C-101B-9397-08002B2CF9AE}" pid="5" name="ContentTypeId">
    <vt:lpwstr>0x0101004BF1F6075714FF459EA7921B9223C8F9</vt:lpwstr>
  </property>
  <property fmtid="{D5CDD505-2E9C-101B-9397-08002B2CF9AE}" pid="6" name="EktContentLanguage">
    <vt:i4>1033</vt:i4>
  </property>
  <property fmtid="{D5CDD505-2E9C-101B-9397-08002B2CF9AE}" pid="7" name="EktQuickLink">
    <vt:lpwstr>DownloadAsset.aspx?id=10408</vt:lpwstr>
  </property>
  <property fmtid="{D5CDD505-2E9C-101B-9397-08002B2CF9AE}" pid="8" name="EktContentType">
    <vt:i4>101</vt:i4>
  </property>
  <property fmtid="{D5CDD505-2E9C-101B-9397-08002B2CF9AE}" pid="9" name="EktContentSubType">
    <vt:i4>0</vt:i4>
  </property>
  <property fmtid="{D5CDD505-2E9C-101B-9397-08002B2CF9AE}" pid="10" name="EktFolderName">
    <vt:lpwstr/>
  </property>
  <property fmtid="{D5CDD505-2E9C-101B-9397-08002B2CF9AE}" pid="11" name="EktCmsPath">
    <vt:lpwstr>&amp;lt;p&amp;gt;Setup  Actions  Recommendations  Programmatic  Management  Finance  Grant Detail  Data Entry  List of Indicators  Menu  Component  Countries  Currency  LFA  Medicaments  PERIOD  Phase  PrintA  PrintDataF  PrintDataM  PrintF  PrintGD  PrintM  Prin</vt:lpwstr>
  </property>
  <property fmtid="{D5CDD505-2E9C-101B-9397-08002B2CF9AE}" pid="12" name="EktExpiryType">
    <vt:i4>1</vt:i4>
  </property>
  <property fmtid="{D5CDD505-2E9C-101B-9397-08002B2CF9AE}" pid="13" name="EktDateCreated">
    <vt:filetime>2011-06-15T08:46:15Z</vt:filetime>
  </property>
  <property fmtid="{D5CDD505-2E9C-101B-9397-08002B2CF9AE}" pid="14" name="EktDateModified">
    <vt:filetime>2011-06-15T08:46:22Z</vt:filetime>
  </property>
  <property fmtid="{D5CDD505-2E9C-101B-9397-08002B2CF9AE}" pid="15" name="EktTaxCategory">
    <vt:lpwstr> #eksep# \Navigation\documents\ccm #eksep# </vt:lpwstr>
  </property>
  <property fmtid="{D5CDD505-2E9C-101B-9397-08002B2CF9AE}" pid="16" name="EktDisabledTaxCategory">
    <vt:lpwstr/>
  </property>
  <property fmtid="{D5CDD505-2E9C-101B-9397-08002B2CF9AE}" pid="17" name="EktCmsSize">
    <vt:i4>846336</vt:i4>
  </property>
  <property fmtid="{D5CDD505-2E9C-101B-9397-08002B2CF9AE}" pid="18" name="EktSearchable">
    <vt:i4>1</vt:i4>
  </property>
  <property fmtid="{D5CDD505-2E9C-101B-9397-08002B2CF9AE}" pid="19" name="EktEDescription">
    <vt:lpwstr>Summary &amp;lt;p&amp;gt;Setup  Actions  Recommendations  Programmatic  Management  Finance  Grant Detail  Data Entry  List of Indicators  Menu  Component  Countries  Currency  LFA  Medicaments  PERIOD  Phase  PrintA  PrintDataF  PrintDataM  PrintF  PrintGD  Prin</vt:lpwstr>
  </property>
  <property fmtid="{D5CDD505-2E9C-101B-9397-08002B2CF9AE}" pid="20" name="EktFile_Size">
    <vt:lpwstr>811 KB</vt:lpwstr>
  </property>
  <property fmtid="{D5CDD505-2E9C-101B-9397-08002B2CF9AE}" pid="21" name="EktFile_Type">
    <vt:lpwstr>XLS</vt:lpwstr>
  </property>
  <property fmtid="{D5CDD505-2E9C-101B-9397-08002B2CF9AE}" pid="22" name="ekttaxonomyenabled">
    <vt:i4>1</vt:i4>
  </property>
  <property fmtid="{D5CDD505-2E9C-101B-9397-08002B2CF9AE}" pid="23" name="Nr">
    <vt:lpwstr/>
  </property>
  <property fmtid="{D5CDD505-2E9C-101B-9397-08002B2CF9AE}" pid="24" name="PublishingExpirationDate">
    <vt:lpwstr/>
  </property>
  <property fmtid="{D5CDD505-2E9C-101B-9397-08002B2CF9AE}" pid="25" name="PublishingStartDate">
    <vt:lpwstr/>
  </property>
</Properties>
</file>