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730" windowHeight="11760" tabRatio="717" activeTab="8"/>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45621"/>
  <extLst>
    <ext xmlns:mx="http://schemas.microsoft.com/office/mac/excel/2008/main" uri="{7523E5D3-25F3-A5E0-1632-64F254C22452}">
      <mx:ArchID Flags="4"/>
    </ext>
  </extLst>
</workbook>
</file>

<file path=xl/calcChain.xml><?xml version="1.0" encoding="utf-8"?>
<calcChain xmlns="http://schemas.openxmlformats.org/spreadsheetml/2006/main">
  <c r="H108" i="29" l="1"/>
  <c r="N127" i="29" l="1"/>
  <c r="N121" i="29"/>
  <c r="G97" i="29" l="1"/>
  <c r="G96" i="29"/>
  <c r="D52" i="29"/>
  <c r="C55" i="29"/>
  <c r="C54" i="29"/>
  <c r="C53" i="29"/>
  <c r="G32" i="29"/>
  <c r="N132" i="29"/>
  <c r="N128" i="29"/>
  <c r="N130" i="29"/>
  <c r="N126" i="29"/>
  <c r="E24" i="37" s="1"/>
  <c r="N120" i="29"/>
  <c r="N124" i="29"/>
  <c r="N118" i="29"/>
  <c r="M132" i="29"/>
  <c r="M130" i="29"/>
  <c r="M128" i="29"/>
  <c r="M126" i="29"/>
  <c r="M124" i="29"/>
  <c r="M120" i="29"/>
  <c r="M118" i="29"/>
  <c r="C32" i="29"/>
  <c r="C34" i="29" s="1"/>
  <c r="D34" i="29" s="1"/>
  <c r="E32" i="29"/>
  <c r="F32" i="29"/>
  <c r="L127" i="29"/>
  <c r="L120" i="29"/>
  <c r="L132" i="29"/>
  <c r="L130" i="29"/>
  <c r="L128" i="29"/>
  <c r="L126" i="29"/>
  <c r="L124" i="29"/>
  <c r="L118" i="29"/>
  <c r="F96" i="29"/>
  <c r="G28" i="37"/>
  <c r="K127" i="29"/>
  <c r="K132" i="29"/>
  <c r="K130" i="29"/>
  <c r="K128" i="29"/>
  <c r="K126" i="29"/>
  <c r="K120" i="29"/>
  <c r="K124" i="29"/>
  <c r="K118" i="29"/>
  <c r="J127" i="29"/>
  <c r="J132" i="29"/>
  <c r="E109" i="29"/>
  <c r="G109" i="29" s="1"/>
  <c r="I109" i="29" s="1"/>
  <c r="K31" i="35"/>
  <c r="E110" i="29"/>
  <c r="G110" i="29"/>
  <c r="I110" i="29" s="1"/>
  <c r="K32" i="35"/>
  <c r="E111" i="29"/>
  <c r="G111" i="29" s="1"/>
  <c r="I111" i="29" s="1"/>
  <c r="K33" i="35"/>
  <c r="E108" i="29"/>
  <c r="G108" i="29"/>
  <c r="I108" i="29" s="1"/>
  <c r="K30" i="35"/>
  <c r="C90" i="29"/>
  <c r="D90" i="29" s="1"/>
  <c r="E90" i="29" s="1"/>
  <c r="J128" i="29"/>
  <c r="J120" i="29"/>
  <c r="J130" i="29"/>
  <c r="J126" i="29"/>
  <c r="J124" i="29"/>
  <c r="J118" i="29"/>
  <c r="E96" i="29"/>
  <c r="C47" i="29"/>
  <c r="H143" i="29"/>
  <c r="E27" i="37"/>
  <c r="C98" i="29"/>
  <c r="D98" i="29" s="1"/>
  <c r="E98" i="29" s="1"/>
  <c r="F98" i="29" s="1"/>
  <c r="G98" i="29" s="1"/>
  <c r="H98" i="29" s="1"/>
  <c r="I98" i="29" s="1"/>
  <c r="J98" i="29" s="1"/>
  <c r="K98" i="29" s="1"/>
  <c r="L98" i="29" s="1"/>
  <c r="M98" i="29" s="1"/>
  <c r="N98" i="29" s="1"/>
  <c r="D47" i="29"/>
  <c r="C33" i="29"/>
  <c r="D33" i="29"/>
  <c r="E33" i="29" s="1"/>
  <c r="F20" i="37"/>
  <c r="K145"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9" i="29"/>
  <c r="D11" i="42"/>
  <c r="J3" i="35"/>
  <c r="L3" i="35"/>
  <c r="H15" i="35"/>
  <c r="I3" i="30"/>
  <c r="K3" i="30"/>
  <c r="H8" i="30" s="1"/>
  <c r="D33" i="42"/>
  <c r="D34" i="42"/>
  <c r="D35" i="42"/>
  <c r="D36" i="42"/>
  <c r="D37" i="42"/>
  <c r="D38" i="42"/>
  <c r="D39" i="42"/>
  <c r="D40" i="42"/>
  <c r="D41" i="42"/>
  <c r="D32" i="42"/>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s="1"/>
  <c r="F100" i="29" s="1"/>
  <c r="G100" i="29" s="1"/>
  <c r="H100" i="29" s="1"/>
  <c r="I100" i="29" s="1"/>
  <c r="J100" i="29" s="1"/>
  <c r="K100" i="29" s="1"/>
  <c r="L100" i="29" s="1"/>
  <c r="M100" i="29" s="1"/>
  <c r="N100" i="29" s="1"/>
  <c r="C99" i="29"/>
  <c r="D99" i="29"/>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B15" i="35"/>
  <c r="H26" i="35"/>
  <c r="B3" i="32"/>
  <c r="R29" i="29"/>
  <c r="H7" i="35"/>
  <c r="C35" i="29"/>
  <c r="R30" i="29"/>
  <c r="D35" i="29"/>
  <c r="E20" i="37"/>
  <c r="H22" i="30"/>
  <c r="B8" i="30"/>
  <c r="B22" i="30"/>
  <c r="D30" i="42"/>
  <c r="D31" i="42"/>
  <c r="D29" i="42"/>
  <c r="E35" i="29" l="1"/>
  <c r="R31" i="29"/>
  <c r="E34" i="29"/>
  <c r="F34" i="29" s="1"/>
  <c r="G34" i="29" s="1"/>
  <c r="H34" i="29" s="1"/>
  <c r="I34" i="29" s="1"/>
  <c r="J34" i="29" s="1"/>
  <c r="K34" i="29" s="1"/>
  <c r="L34" i="29" s="1"/>
  <c r="M34" i="29" s="1"/>
  <c r="N34" i="29" s="1"/>
  <c r="G20" i="37"/>
  <c r="G22" i="37"/>
  <c r="G21" i="37"/>
  <c r="G25" i="37"/>
  <c r="G27" i="37"/>
  <c r="G26" i="37"/>
  <c r="G24" i="37"/>
  <c r="G23" i="37"/>
  <c r="J33" i="35"/>
  <c r="L33" i="35" s="1"/>
  <c r="K111" i="29"/>
  <c r="K108" i="29"/>
  <c r="J30" i="35"/>
  <c r="L30" i="35" s="1"/>
  <c r="J31" i="35"/>
  <c r="L31" i="35" s="1"/>
  <c r="K109" i="29"/>
  <c r="J32" i="35"/>
  <c r="L32" i="35" s="1"/>
  <c r="K110" i="29"/>
  <c r="C52" i="29"/>
  <c r="E52" i="29" s="1"/>
  <c r="F33" i="29"/>
  <c r="R32" i="29" l="1"/>
  <c r="F35" i="29"/>
  <c r="G33" i="29"/>
  <c r="H33" i="29" l="1"/>
  <c r="R33" i="29"/>
  <c r="G35" i="29"/>
  <c r="R34" i="29" l="1"/>
  <c r="I33" i="29"/>
  <c r="H35" i="29"/>
  <c r="I35" i="29" l="1"/>
  <c r="F47" i="29"/>
  <c r="J33" i="29"/>
  <c r="R35" i="29"/>
  <c r="K33" i="29" l="1"/>
  <c r="R49" i="29"/>
  <c r="J35" i="29"/>
  <c r="L33" i="29" l="1"/>
  <c r="R50" i="29"/>
  <c r="K35" i="29"/>
  <c r="L35" i="29" l="1"/>
  <c r="M33" i="29"/>
  <c r="M35" i="29" l="1"/>
  <c r="Q51" i="29"/>
  <c r="N33" i="29"/>
  <c r="N35" i="29" s="1"/>
  <c r="O31" i="29" s="1"/>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family val="2"/>
          </rPr>
          <t xml:space="preserve">If data are not available, do not enter zeros; rather, leave the cells in this table blank. </t>
        </r>
      </text>
    </comment>
    <comment ref="B94" author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<sst xmlns="http://schemas.openxmlformats.org/spreadsheetml/2006/main" count="612" uniqueCount="468">
  <si>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</si>
  <si>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</si>
  <si>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</si>
  <si>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</si>
  <si>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</si>
  <si>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</si>
  <si>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</si>
  <si>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</si>
  <si>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</si>
  <si>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</si>
  <si>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</si>
  <si>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</si>
  <si>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</si>
  <si>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</si>
  <si>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</si>
  <si>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</si>
  <si>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</si>
  <si>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</si>
  <si>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</si>
  <si>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</si>
  <si>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</si>
  <si>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</si>
  <si>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</si>
  <si>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</si>
  <si>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</si>
  <si>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</si>
  <si>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</si>
  <si>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</si>
  <si>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</si>
  <si>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</si>
  <si>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</si>
  <si>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</si>
  <si>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</si>
  <si>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</si>
  <si>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</si>
  <si>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</si>
  <si>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</si>
  <si>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</si>
  <si>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</si>
  <si>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</si>
  <si>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</si>
  <si>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</si>
  <si>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</si>
  <si>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</si>
  <si>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</si>
  <si>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</si>
  <si>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</si>
  <si>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</si>
  <si>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</si>
  <si>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</si>
  <si>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</si>
  <si>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</si>
  <si>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</si>
  <si>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</si>
  <si>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</si>
  <si>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</si>
  <si>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</si>
  <si>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</si>
  <si>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</si>
  <si>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</si>
  <si>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</si>
  <si>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</si>
  <si>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</si>
  <si>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</si>
  <si>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</si>
  <si>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</si>
  <si>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</si>
  <si>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</si>
  <si>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</si>
  <si>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</si>
  <si>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</si>
  <si>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</si>
  <si>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</si>
  <si>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</si>
  <si>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</si>
  <si>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</si>
  <si>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</si>
  <si>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</si>
  <si>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</si>
  <si>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</si>
  <si>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</si>
  <si>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</si>
  <si>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</si>
  <si>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</si>
  <si>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</si>
  <si>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</si>
  <si>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</si>
  <si>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</si>
  <si>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</si>
  <si>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</si>
  <si>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</si>
  <si>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</si>
  <si>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</si>
  <si>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</si>
  <si>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</si>
  <si>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</si>
  <si>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</si>
  <si>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</si>
  <si>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</si>
  <si>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</si>
  <si>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</si>
  <si>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</si>
  <si>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</si>
  <si>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</si>
  <si>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</si>
  <si>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</si>
  <si>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</si>
  <si>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</si>
  <si>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</si>
  <si>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</si>
  <si>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</si>
  <si>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</si>
  <si>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</si>
  <si>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</si>
  <si>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</si>
  <si>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</si>
  <si>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</si>
  <si>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</si>
  <si>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</si>
  <si>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</si>
  <si>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</si>
  <si>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</si>
  <si>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</si>
  <si>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</si>
  <si>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</si>
  <si>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</si>
  <si>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</si>
  <si>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</si>
  <si>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</si>
  <si>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</si>
  <si>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</si>
  <si>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</si>
  <si>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</si>
  <si>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</si>
  <si>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</si>
  <si>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</si>
  <si>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</si>
  <si>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</si>
  <si>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</si>
  <si>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</si>
  <si>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</si>
  <si>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</si>
  <si>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</si>
  <si>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</si>
  <si>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</si>
  <si>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</si>
  <si>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</si>
  <si>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</si>
  <si>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</si>
  <si>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</si>
  <si>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</si>
  <si>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</si>
  <si>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</si>
  <si>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</si>
  <si>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</si>
  <si>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</si>
  <si>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</si>
  <si>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</si>
  <si>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</si>
  <si>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</si>
  <si>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</si>
  <si>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</si>
  <si>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</si>
  <si>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</si>
  <si>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</si>
  <si>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</si>
  <si>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</si>
  <si>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</si>
  <si>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</si>
  <si>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</si>
  <si>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</si>
  <si>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</si>
  <si>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</si>
  <si>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</si>
  <si>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</si>
  <si>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</si>
  <si>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</si>
  <si>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</si>
  <si>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</si>
  <si>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</si>
  <si>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</si>
  <si>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</si>
  <si>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</si>
  <si>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</si>
  <si>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</si>
  <si>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</si>
  <si>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</si>
  <si>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</si>
  <si>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</si>
  <si>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</si>
  <si>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</si>
  <si>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</si>
  <si>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</si>
  <si>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</si>
  <si>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</si>
  <si>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</si>
  <si>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</si>
  <si>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</si>
  <si>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</si>
  <si>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</si>
  <si>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</si>
  <si>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</si>
  <si>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</si>
  <si>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</si>
  <si>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</si>
  <si>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</si>
  <si>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</si>
  <si>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</si>
  <si>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</si>
  <si>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</si>
  <si>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</si>
  <si>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</si>
  <si>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</si>
  <si>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</si>
  <si>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</si>
  <si>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</si>
  <si>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</si>
  <si>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</si>
  <si>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</si>
  <si>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</si>
  <si>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</si>
  <si>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</si>
  <si>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</si>
  <si>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</si>
  <si>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</si>
  <si>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</si>
  <si>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</si>
  <si>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</si>
  <si>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</si>
  <si>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</si>
  <si>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</si>
  <si>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</si>
  <si>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</si>
  <si>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</si>
  <si>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</si>
  <si>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</si>
  <si>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</si>
  <si>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</si>
  <si>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</si>
  <si>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</si>
  <si>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</si>
  <si>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</si>
  <si>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</si>
  <si>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</si>
  <si>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</si>
  <si>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</si>
  <si>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</si>
  <si>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</si>
  <si>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</si>
  <si>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</si>
  <si>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</si>
  <si>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</si>
  <si>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</si>
  <si>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</si>
  <si>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</si>
  <si>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</si>
  <si>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</si>
  <si>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</si>
  <si>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</si>
  <si>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</si>
  <si>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</si>
  <si>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</si>
  <si>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</si>
  <si>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</si>
  <si>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</si>
  <si>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</si>
  <si>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</si>
  <si>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</si>
  <si>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</si>
  <si>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</si>
  <si>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</si>
  <si>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</si>
  <si>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</si>
  <si>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</si>
  <si>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</si>
  <si>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</si>
  <si>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</si>
  <si>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</si>
  <si>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</si>
  <si>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</si>
  <si>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</si>
  <si>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</si>
  <si>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</si>
  <si>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</si>
  <si>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</si>
  <si>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</si>
  <si>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</si>
  <si>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</si>
  <si>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</si>
  <si>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</si>
  <si>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</si>
  <si>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</si>
  <si>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</si>
  <si>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</si>
  <si>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</si>
  <si>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</si>
  <si>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</si>
  <si>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</si>
  <si>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</si>
  <si>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</si>
  <si>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</si>
  <si>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</si>
  <si>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</si>
  <si>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</si>
  <si>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</si>
  <si>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</si>
  <si>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</si>
  <si>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</si>
  <si>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</si>
  <si>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</si>
  <si>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</si>
  <si>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</si>
  <si>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</si>
  <si>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</si>
  <si>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</si>
  <si>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</si>
  <si>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</si>
  <si>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</si>
  <si>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</si>
  <si>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</si>
  <si>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</si>
  <si>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</si>
  <si>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</si>
  <si>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</si>
  <si>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</si>
  <si>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</si>
  <si>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</si>
  <si>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</si>
  <si>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</si>
  <si>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</si>
  <si>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</si>
  <si>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</si>
  <si>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</si>
  <si>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</si>
  <si>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</si>
  <si>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</si>
  <si>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</si>
  <si>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</si>
  <si>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</si>
  <si>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</si>
  <si>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</si>
  <si>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</si>
  <si>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</si>
  <si>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</si>
  <si>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</si>
  <si>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</si>
  <si>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</si>
  <si>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</si>
  <si>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</si>
  <si>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</si>
  <si>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</si>
  <si>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</si>
  <si>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</si>
  <si>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</si>
  <si>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</si>
  <si>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</si>
  <si>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</si>
  <si>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</si>
  <si>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</si>
  <si>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</si>
  <si>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</si>
  <si>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</si>
  <si>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</si>
  <si>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</si>
  <si>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</si>
  <si>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</si>
  <si>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</si>
  <si>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</si>
  <si>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</si>
  <si>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</si>
  <si>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</si>
  <si>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</si>
  <si>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</si>
  <si>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</si>
  <si>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</si>
  <si>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</si>
  <si>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</si>
  <si>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</si>
  <si>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</si>
  <si>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</si>
  <si>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</si>
  <si>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</si>
  <si>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</si>
  <si>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</si>
  <si>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</si>
  <si>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</si>
  <si>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</si>
  <si>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</si>
  <si>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</si>
  <si>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</si>
  <si>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</si>
  <si>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</si>
  <si>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</si>
  <si>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</si>
  <si>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</si>
  <si>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</si>
  <si>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</si>
  <si>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</si>
  <si>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</si>
  <si>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</si>
  <si>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</si>
  <si>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</si>
  <si>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</si>
  <si>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</si>
  <si>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</si>
  <si>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</si>
  <si>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</si>
  <si>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</si>
  <si>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</si>
  <si>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</si>
  <si>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</si>
  <si>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</si>
  <si>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</si>
  <si>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</si>
  <si>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</si>
  <si>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</si>
  <si>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</si>
  <si>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</si>
  <si>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</si>
  <si>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</si>
  <si>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</si>
  <si>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</si>
  <si>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</si>
  <si>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</si>
  <si>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</si>
  <si>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</si>
  <si>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</si>
  <si>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</si>
  <si>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</si>
  <si>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</si>
  <si>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</si>
  <si>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</si>
  <si>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</si>
  <si>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</si>
  <si>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</si>
  <si>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</si>
  <si>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</si>
  <si>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</si>
  <si>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</si>
  <si>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</si>
  <si>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</si>
  <si>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</si>
  <si>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</si>
  <si>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</si>
  <si>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</si>
  <si>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</si>
  <si>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IDACIRC</t>
  </si>
  <si>
    <t>HAPSF</t>
  </si>
  <si>
    <t>GHRN</t>
  </si>
  <si>
    <t>IMPHA</t>
  </si>
  <si>
    <t>CIF</t>
  </si>
  <si>
    <t>Equality</t>
  </si>
  <si>
    <t>Tanadgoma</t>
  </si>
  <si>
    <t>2 Projects</t>
  </si>
  <si>
    <t>NFM Grant Requirements</t>
  </si>
  <si>
    <t>Jul-Sep 2016</t>
  </si>
  <si>
    <t>Oct-Dec 2017</t>
  </si>
  <si>
    <t>Jan-Mar 2017</t>
  </si>
  <si>
    <t xml:space="preserve">Gyongyver Jakab </t>
  </si>
  <si>
    <t>Condoms (Tanadgoma)</t>
  </si>
  <si>
    <t xml:space="preserve"> Percentage of individuals receiving Opioid Substitution Therapy who received treatment for at least 6 months</t>
  </si>
  <si>
    <t>Jan-Jun 2017</t>
  </si>
  <si>
    <t>Jan-Sep 2017</t>
  </si>
  <si>
    <t>Jan-Mar 2018</t>
  </si>
  <si>
    <t>Jan-Dec 2017</t>
  </si>
  <si>
    <t>Condoms (EM)</t>
  </si>
  <si>
    <t>Procurement is at the final stage, delivery is anticipated in July,2018</t>
  </si>
  <si>
    <t>Programatic indicator: Percentage of MSM that have received an HIV testing during the current reporting period and know their results. Requires attention and close follow up. The data of Q2 will inform OC recommendaton.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</si>
</sst>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L_a_r_i_-;\-* #,##0.00\ _L_a_r_i_-;_-* &quot;-&quot;??\ _L_a_r_i_-;_-@_-"/>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4">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1"/>
      <color theme="0"/>
      <name val="Calibri"/>
      <family val="2"/>
      <scheme val="minor"/>
    </font>
    <font>
      <sz val="9"/>
      <name val="Calibri"/>
      <family val="2"/>
      <scheme val="minor"/>
    </font>
    <font>
      <b/>
      <sz val="11"/>
      <color theme="0"/>
      <name val="Calibri"/>
      <family val="2"/>
      <scheme val="minor"/>
    </font>
    <font>
      <sz val="11"/>
      <color theme="0" tint="-0.14999847407452621"/>
      <name val="Calibri"/>
      <family val="2"/>
      <scheme val="minor"/>
    </font>
    <font>
      <i/>
      <sz val="11"/>
      <color theme="0" tint="-0.14999847407452621"/>
      <name val="Calibri"/>
      <family val="2"/>
    </font>
    <font>
      <sz val="11"/>
      <color theme="0" tint="-0.14999847407452621"/>
      <name val="Calibri"/>
      <family val="2"/>
    </font>
    <font>
      <sz val="11"/>
      <color rgb="FFFF0000"/>
      <name val="Calibri"/>
      <family val="2"/>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64"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1" fillId="0" borderId="0"/>
    <xf numFmtId="164" fontId="131" fillId="0" borderId="0"/>
    <xf numFmtId="164" fontId="131" fillId="0" borderId="0"/>
    <xf numFmtId="164"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164" fontId="131"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1" fillId="0" borderId="9" applyNumberFormat="0" applyFill="0" applyAlignment="0" applyProtection="0"/>
    <xf numFmtId="0" fontId="76" fillId="0" borderId="0" applyNumberFormat="0" applyFill="0" applyBorder="0" applyAlignment="0" applyProtection="0"/>
    <xf numFmtId="43" fontId="136" fillId="0" borderId="0" applyFont="0" applyFill="0" applyBorder="0" applyAlignment="0" applyProtection="0"/>
  </cellStyleXfs>
  <cellXfs count="967">
    <xf numFmtId="0" fontId="0" fillId="0" borderId="0" xfId="0"/>
    <xf numFmtId="164" fontId="16" fillId="0" borderId="0" xfId="39" applyFont="1" applyFill="1" applyAlignment="1">
      <alignment vertical="center"/>
    </xf>
    <xf numFmtId="0" fontId="0" fillId="0" borderId="0" xfId="0" applyBorder="1" applyProtection="1"/>
    <xf numFmtId="0" fontId="0" fillId="0" borderId="0" xfId="0" applyProtection="1"/>
    <xf numFmtId="164" fontId="22" fillId="0" borderId="0" xfId="39" applyFont="1" applyFill="1" applyAlignment="1" applyProtection="1">
      <alignment vertical="center"/>
    </xf>
    <xf numFmtId="0" fontId="21" fillId="0" borderId="0" xfId="0" applyFont="1" applyProtection="1"/>
    <xf numFmtId="164" fontId="19" fillId="0" borderId="0" xfId="50" applyFont="1" applyFill="1" applyAlignment="1" applyProtection="1"/>
    <xf numFmtId="164" fontId="19" fillId="0" borderId="0" xfId="50" applyFont="1" applyFill="1" applyAlignment="1" applyProtection="1">
      <alignment horizontal="center"/>
    </xf>
    <xf numFmtId="164" fontId="19" fillId="0" borderId="0" xfId="50" applyFont="1" applyFill="1" applyAlignment="1" applyProtection="1">
      <alignment horizontal="right"/>
    </xf>
    <xf numFmtId="164" fontId="19" fillId="0" borderId="0" xfId="50" applyFont="1" applyFill="1" applyBorder="1" applyAlignment="1" applyProtection="1">
      <alignment horizontal="center"/>
    </xf>
    <xf numFmtId="164" fontId="131" fillId="0" borderId="0" xfId="49" applyProtection="1"/>
    <xf numFmtId="164" fontId="15" fillId="0" borderId="0" xfId="49" applyFont="1" applyProtection="1"/>
    <xf numFmtId="0" fontId="18" fillId="0" borderId="0" xfId="49" applyNumberFormat="1" applyFont="1" applyBorder="1" applyProtection="1"/>
    <xf numFmtId="164" fontId="131" fillId="0" borderId="0" xfId="51" applyProtection="1"/>
    <xf numFmtId="164" fontId="131" fillId="0" borderId="0" xfId="51" applyFill="1" applyBorder="1" applyAlignment="1" applyProtection="1">
      <alignment horizontal="left"/>
    </xf>
    <xf numFmtId="0" fontId="0" fillId="0" borderId="0" xfId="0" applyFill="1" applyBorder="1" applyProtection="1"/>
    <xf numFmtId="164" fontId="131" fillId="0" borderId="0" xfId="51" applyFill="1" applyBorder="1" applyProtection="1"/>
    <xf numFmtId="0" fontId="15" fillId="0" borderId="0" xfId="0" applyFont="1" applyProtection="1"/>
    <xf numFmtId="164"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28" applyNumberFormat="1" applyFont="1" applyAlignment="1">
      <alignment horizontal="left"/>
    </xf>
    <xf numFmtId="164"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164" fontId="28" fillId="0" borderId="0" xfId="0" applyNumberFormat="1" applyFont="1" applyFill="1" applyBorder="1" applyAlignment="1"/>
    <xf numFmtId="164"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9" fillId="0" borderId="0" xfId="49" applyFont="1" applyProtection="1"/>
    <xf numFmtId="164"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164"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164"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4"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61" applyFont="1" applyBorder="1" applyAlignment="1" applyProtection="1"/>
    <xf numFmtId="164" fontId="131" fillId="0" borderId="14" xfId="61" applyFill="1" applyBorder="1" applyAlignment="1" applyProtection="1">
      <alignment vertical="center"/>
    </xf>
    <xf numFmtId="164" fontId="3" fillId="0" borderId="14" xfId="61" applyFont="1" applyFill="1" applyBorder="1" applyAlignment="1" applyProtection="1">
      <alignment vertical="center"/>
    </xf>
    <xf numFmtId="164" fontId="31" fillId="0" borderId="0" xfId="61" applyFont="1" applyBorder="1" applyAlignment="1" applyProtection="1"/>
    <xf numFmtId="164" fontId="131" fillId="0" borderId="0" xfId="61" applyFill="1" applyBorder="1" applyAlignment="1" applyProtection="1">
      <alignment vertical="center"/>
    </xf>
    <xf numFmtId="164"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164" fontId="38" fillId="0" borderId="20" xfId="61" applyFont="1" applyBorder="1" applyAlignment="1" applyProtection="1"/>
    <xf numFmtId="164" fontId="39" fillId="0" borderId="20" xfId="61" applyFont="1" applyFill="1" applyBorder="1" applyAlignment="1" applyProtection="1">
      <alignment vertical="center"/>
    </xf>
    <xf numFmtId="164" fontId="39" fillId="0" borderId="20" xfId="61" applyFont="1" applyFill="1" applyBorder="1" applyAlignment="1" applyProtection="1">
      <alignment horizontal="center" vertical="center"/>
    </xf>
    <xf numFmtId="164" fontId="39" fillId="0" borderId="0" xfId="61" applyFont="1" applyFill="1" applyBorder="1" applyAlignment="1" applyProtection="1">
      <alignment vertical="center"/>
    </xf>
    <xf numFmtId="164" fontId="38" fillId="0" borderId="0" xfId="61" applyFont="1" applyBorder="1" applyAlignment="1" applyProtection="1"/>
    <xf numFmtId="164"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164" fontId="101" fillId="0" borderId="0" xfId="28" applyFont="1" applyFill="1" applyBorder="1" applyProtection="1"/>
    <xf numFmtId="164" fontId="0" fillId="0" borderId="0" xfId="0" applyNumberFormat="1" applyFill="1" applyBorder="1" applyProtection="1"/>
    <xf numFmtId="164" fontId="68" fillId="0" borderId="26" xfId="61" applyFont="1" applyFill="1" applyBorder="1" applyAlignment="1" applyProtection="1"/>
    <xf numFmtId="164"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7" fillId="0" borderId="0" xfId="0" applyNumberFormat="1" applyFont="1" applyBorder="1" applyProtection="1"/>
    <xf numFmtId="164"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164" fontId="17" fillId="0" borderId="0" xfId="47" applyFont="1" applyFill="1" applyAlignment="1" applyProtection="1">
      <alignment horizontal="center" vertical="center"/>
    </xf>
    <xf numFmtId="164" fontId="16" fillId="0" borderId="0" xfId="47" applyFont="1" applyFill="1" applyAlignment="1" applyProtection="1">
      <alignment vertical="center"/>
    </xf>
    <xf numFmtId="0" fontId="84" fillId="0" borderId="0" xfId="0" applyFont="1"/>
    <xf numFmtId="164" fontId="14" fillId="0" borderId="0" xfId="0" applyNumberFormat="1" applyFont="1" applyAlignment="1" applyProtection="1">
      <alignment horizontal="center"/>
    </xf>
    <xf numFmtId="164"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4" fillId="0" borderId="43" xfId="0" applyNumberFormat="1" applyFont="1" applyFill="1" applyBorder="1" applyAlignment="1" applyProtection="1">
      <alignment vertical="center"/>
    </xf>
    <xf numFmtId="164"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164" fontId="92" fillId="0" borderId="26" xfId="61" applyFont="1" applyFill="1" applyBorder="1" applyAlignment="1" applyProtection="1"/>
    <xf numFmtId="164"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164"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164"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164"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164"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164" fontId="115" fillId="0" borderId="20" xfId="61" applyFont="1" applyFill="1" applyBorder="1" applyAlignment="1" applyProtection="1">
      <alignment vertical="center"/>
    </xf>
    <xf numFmtId="0" fontId="24" fillId="0" borderId="0" xfId="0" applyFont="1" applyProtection="1"/>
    <xf numFmtId="164"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164"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6" xfId="0" applyFill="1" applyBorder="1" applyProtection="1"/>
    <xf numFmtId="164"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164"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164"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164"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41" xfId="58" applyFont="1" applyBorder="1" applyAlignment="1" applyProtection="1">
      <alignment horizontal="right"/>
    </xf>
    <xf numFmtId="164"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164"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164" fontId="39" fillId="24" borderId="87" xfId="61" applyFont="1" applyFill="1" applyBorder="1" applyAlignment="1" applyProtection="1">
      <alignment horizontal="center" vertical="center"/>
    </xf>
    <xf numFmtId="164"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164"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164"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102" xfId="28" applyNumberFormat="1" applyFont="1" applyFill="1" applyBorder="1" applyAlignment="1" applyProtection="1">
      <alignment horizontal="center"/>
    </xf>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10" xfId="28" applyNumberFormat="1" applyFont="1" applyFill="1" applyBorder="1" applyAlignment="1" applyProtection="1">
      <alignment horizontal="center"/>
    </xf>
    <xf numFmtId="166" fontId="131" fillId="0" borderId="57" xfId="28" applyNumberFormat="1" applyFont="1" applyFill="1" applyBorder="1" applyProtection="1"/>
    <xf numFmtId="49" fontId="0" fillId="39" borderId="10" xfId="0" applyNumberFormat="1" applyFill="1" applyBorder="1" applyAlignment="1" applyProtection="1">
      <alignment horizontal="center"/>
      <protection locked="0"/>
    </xf>
    <xf numFmtId="15" fontId="1" fillId="39" borderId="10" xfId="58" applyNumberFormat="1" applyFont="1" applyFill="1" applyBorder="1" applyAlignment="1" applyProtection="1">
      <alignment horizontal="center"/>
      <protection locked="0"/>
    </xf>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0" fontId="133" fillId="0" borderId="0" xfId="0" applyFont="1"/>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0" fontId="138" fillId="0" borderId="0" xfId="0" applyFont="1" applyAlignment="1">
      <alignment horizontal="left" vertical="top" wrapText="1"/>
    </xf>
    <xf numFmtId="1" fontId="135" fillId="36" borderId="153" xfId="0" applyNumberFormat="1" applyFont="1" applyFill="1" applyBorder="1" applyAlignment="1" applyProtection="1">
      <alignment horizontal="center" vertical="center"/>
    </xf>
    <xf numFmtId="1" fontId="15" fillId="36" borderId="153" xfId="0" applyNumberFormat="1" applyFont="1" applyFill="1" applyBorder="1" applyAlignment="1" applyProtection="1">
      <alignment horizontal="center" vertical="center"/>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40" fillId="0" borderId="0" xfId="0" applyFont="1" applyBorder="1" applyProtection="1"/>
    <xf numFmtId="0" fontId="141" fillId="0" borderId="0" xfId="0" applyFont="1" applyFill="1" applyBorder="1" applyAlignment="1" applyProtection="1">
      <alignment horizontal="center" vertical="center" wrapText="1"/>
    </xf>
    <xf numFmtId="0" fontId="142" fillId="0" borderId="0" xfId="0" applyFont="1" applyFill="1" applyBorder="1" applyAlignment="1" applyProtection="1">
      <alignment horizontal="center" vertical="center"/>
    </xf>
    <xf numFmtId="0" fontId="140" fillId="0" borderId="0" xfId="0" applyFont="1" applyFill="1" applyBorder="1" applyAlignment="1" applyProtection="1">
      <alignment horizontal="center" vertical="center"/>
    </xf>
    <xf numFmtId="0" fontId="140" fillId="0" borderId="0" xfId="0" applyFont="1" applyBorder="1" applyAlignment="1" applyProtection="1">
      <alignment horizontal="center" vertical="center"/>
    </xf>
    <xf numFmtId="0" fontId="140" fillId="0" borderId="0" xfId="0" applyFont="1" applyBorder="1" applyAlignment="1">
      <alignment horizontal="center" vertical="center"/>
    </xf>
    <xf numFmtId="15" fontId="140" fillId="0" borderId="0" xfId="0" applyNumberFormat="1" applyFont="1" applyFill="1" applyBorder="1" applyAlignment="1" applyProtection="1">
      <alignment horizontal="center" vertical="center"/>
      <protection locked="0"/>
    </xf>
    <xf numFmtId="0" fontId="140" fillId="0" borderId="0" xfId="0" applyFont="1" applyFill="1" applyBorder="1" applyAlignment="1" applyProtection="1">
      <alignment horizontal="center" vertical="center"/>
      <protection locked="0"/>
    </xf>
    <xf numFmtId="49" fontId="139" fillId="40" borderId="10" xfId="0" applyNumberFormat="1" applyFont="1" applyFill="1" applyBorder="1" applyProtection="1">
      <protection locked="0"/>
    </xf>
    <xf numFmtId="49" fontId="139" fillId="40" borderId="102" xfId="0" applyNumberFormat="1" applyFont="1" applyFill="1" applyBorder="1" applyAlignment="1" applyProtection="1">
      <alignment horizontal="left"/>
      <protection locked="0"/>
    </xf>
    <xf numFmtId="164" fontId="137" fillId="40" borderId="10" xfId="28" applyFont="1" applyFill="1" applyBorder="1" applyProtection="1">
      <protection locked="0"/>
    </xf>
    <xf numFmtId="164" fontId="137" fillId="40" borderId="10" xfId="28" applyNumberFormat="1" applyFont="1" applyFill="1" applyBorder="1" applyProtection="1">
      <protection locked="0"/>
    </xf>
    <xf numFmtId="164" fontId="137" fillId="40" borderId="102" xfId="28" applyNumberFormat="1" applyFont="1" applyFill="1" applyBorder="1" applyProtection="1">
      <protection locked="0"/>
    </xf>
    <xf numFmtId="166" fontId="137" fillId="40" borderId="10" xfId="28" applyNumberFormat="1" applyFont="1" applyFill="1" applyBorder="1" applyProtection="1">
      <protection locked="0"/>
    </xf>
    <xf numFmtId="166" fontId="137" fillId="40" borderId="102" xfId="28" applyNumberFormat="1" applyFont="1" applyFill="1" applyBorder="1" applyProtection="1">
      <protection locked="0"/>
    </xf>
    <xf numFmtId="166" fontId="137" fillId="40" borderId="10" xfId="28" applyNumberFormat="1" applyFont="1" applyFill="1" applyBorder="1" applyProtection="1"/>
    <xf numFmtId="166" fontId="137" fillId="40" borderId="10" xfId="28" applyNumberFormat="1" applyFont="1" applyFill="1" applyBorder="1" applyAlignment="1" applyProtection="1">
      <alignment horizontal="center"/>
      <protection locked="0"/>
    </xf>
    <xf numFmtId="166" fontId="137" fillId="40" borderId="102" xfId="28" applyNumberFormat="1" applyFont="1" applyFill="1" applyBorder="1" applyAlignment="1" applyProtection="1">
      <alignment horizontal="center"/>
      <protection locked="0"/>
    </xf>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1" fontId="143" fillId="36" borderId="153" xfId="0" applyNumberFormat="1" applyFont="1" applyFill="1" applyBorder="1" applyAlignment="1" applyProtection="1">
      <alignment horizontal="center" vertical="center"/>
    </xf>
    <xf numFmtId="164" fontId="17" fillId="31" borderId="0" xfId="39"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11" xfId="0" applyBorder="1" applyAlignment="1">
      <alignment horizontal="center"/>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0" fillId="0" borderId="111" xfId="0" applyBorder="1" applyAlignment="1">
      <alignment horizontal="center" wrapText="1"/>
    </xf>
    <xf numFmtId="0" fontId="0" fillId="0" borderId="0"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164"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164"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164"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63" fillId="0" borderId="27" xfId="0" applyFont="1" applyBorder="1" applyAlignment="1">
      <alignment horizontal="justify" vertical="center" wrapText="1"/>
    </xf>
    <xf numFmtId="164"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0" fontId="67" fillId="0" borderId="45"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45"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67" fillId="22" borderId="45" xfId="0" applyNumberFormat="1" applyFont="1" applyFill="1" applyBorder="1" applyAlignment="1" applyProtection="1">
      <alignment horizontal="center" vertical="center" wrapText="1"/>
      <protection locked="0"/>
    </xf>
    <xf numFmtId="49" fontId="2"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164" fontId="61" fillId="32" borderId="0" xfId="39" applyFont="1" applyFill="1" applyAlignment="1" applyProtection="1">
      <alignment horizontal="center" vertic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0" fontId="114" fillId="0" borderId="0" xfId="0" applyFont="1" applyAlignment="1" applyProtection="1">
      <alignment horizontal="right"/>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0" fontId="67" fillId="27" borderId="45" xfId="0" applyFont="1" applyFill="1" applyBorder="1" applyAlignment="1" applyProtection="1">
      <alignment horizontal="center" vertical="center" wrapText="1"/>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0" fontId="114" fillId="0" borderId="142"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164" fontId="15" fillId="39" borderId="10" xfId="58" applyFont="1" applyFill="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49" fontId="0" fillId="0" borderId="10" xfId="0" applyNumberFormat="1" applyBorder="1" applyAlignment="1" applyProtection="1">
      <alignment horizontal="center"/>
      <protection locked="0"/>
    </xf>
    <xf numFmtId="0" fontId="0" fillId="19" borderId="144" xfId="0" applyFill="1" applyBorder="1" applyAlignment="1" applyProtection="1">
      <alignment horizontal="center" vertical="center" textRotation="90"/>
    </xf>
    <xf numFmtId="164"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164" fontId="24" fillId="24" borderId="41" xfId="58" applyFont="1" applyFill="1" applyBorder="1" applyAlignment="1" applyProtection="1">
      <alignment horizontal="center"/>
    </xf>
    <xf numFmtId="164" fontId="1" fillId="0" borderId="41" xfId="58" applyFont="1" applyFill="1" applyBorder="1" applyAlignment="1" applyProtection="1">
      <alignment horizontal="right"/>
    </xf>
    <xf numFmtId="164"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164" fontId="106" fillId="32" borderId="0" xfId="39" applyFont="1" applyFill="1" applyAlignment="1" applyProtection="1">
      <alignment horizontal="center" vertical="center"/>
    </xf>
    <xf numFmtId="164"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164" fontId="1" fillId="0" borderId="41" xfId="58" applyFont="1" applyBorder="1" applyAlignment="1" applyProtection="1">
      <alignment horizontal="right"/>
    </xf>
    <xf numFmtId="164" fontId="20" fillId="0" borderId="0" xfId="50" applyFont="1" applyFill="1" applyAlignment="1" applyProtection="1">
      <alignment horizontal="right" vertical="center"/>
    </xf>
    <xf numFmtId="164" fontId="24" fillId="24" borderId="0" xfId="50" applyFont="1" applyFill="1" applyAlignment="1" applyProtection="1">
      <alignment horizontal="center" vertical="center" wrapText="1"/>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1" borderId="0" xfId="58" applyFont="1" applyFill="1" applyBorder="1" applyAlignment="1" applyProtection="1">
      <alignment horizontal="center"/>
    </xf>
    <xf numFmtId="0" fontId="111" fillId="0" borderId="0" xfId="0" applyFont="1" applyAlignment="1" applyProtection="1">
      <alignment horizontal="center"/>
    </xf>
    <xf numFmtId="164" fontId="110" fillId="0" borderId="122" xfId="0" applyNumberFormat="1" applyFont="1" applyBorder="1" applyAlignment="1" applyProtection="1">
      <alignment horizontal="center" vertical="center" wrapText="1"/>
    </xf>
    <xf numFmtId="164" fontId="110" fillId="0" borderId="123" xfId="0" applyNumberFormat="1" applyFont="1" applyBorder="1" applyAlignment="1" applyProtection="1">
      <alignment horizontal="center" vertical="center" wrapText="1"/>
    </xf>
    <xf numFmtId="164"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164" fontId="28" fillId="0" borderId="0" xfId="0" applyNumberFormat="1" applyFont="1" applyAlignment="1">
      <alignment horizontal="left"/>
    </xf>
    <xf numFmtId="164" fontId="14" fillId="0" borderId="0" xfId="0" applyNumberFormat="1" applyFont="1" applyAlignment="1">
      <alignment horizontal="center"/>
    </xf>
    <xf numFmtId="164" fontId="61" fillId="32" borderId="0" xfId="48" applyFont="1" applyFill="1" applyAlignment="1">
      <alignment horizontal="center" vertical="center"/>
    </xf>
    <xf numFmtId="0" fontId="111" fillId="0" borderId="0" xfId="0" applyFont="1" applyAlignment="1">
      <alignment horizontal="center"/>
    </xf>
    <xf numFmtId="164"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164" fontId="61" fillId="32" borderId="0" xfId="48" applyFont="1" applyFill="1" applyAlignment="1" applyProtection="1">
      <alignment horizontal="center" vertical="center"/>
    </xf>
    <xf numFmtId="0" fontId="34" fillId="0" borderId="111" xfId="0" applyFont="1" applyBorder="1" applyAlignment="1" applyProtection="1">
      <alignment horizontal="left" vertical="center"/>
    </xf>
    <xf numFmtId="164" fontId="111"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31" borderId="0" xfId="59" applyFont="1" applyFill="1" applyBorder="1" applyAlignment="1" applyProtection="1">
      <alignment horizontal="center"/>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0" fontId="28" fillId="0" borderId="10" xfId="0" applyFont="1" applyBorder="1" applyAlignment="1" applyProtection="1">
      <alignment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0" fontId="78" fillId="0" borderId="177" xfId="0" applyFont="1" applyFill="1" applyBorder="1" applyAlignment="1" applyProtection="1">
      <alignment horizont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111" fillId="0" borderId="0" xfId="0" applyFont="1" applyBorder="1" applyAlignment="1" applyProtection="1">
      <alignment horizontal="center"/>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17" xfId="0" applyFont="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0" fontId="77" fillId="21" borderId="224"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6" xfId="0" applyFont="1" applyFill="1" applyBorder="1" applyAlignment="1" applyProtection="1">
      <alignment horizontal="left"/>
      <protection locked="0"/>
    </xf>
    <xf numFmtId="0" fontId="33" fillId="0" borderId="0" xfId="0" applyFont="1" applyAlignment="1">
      <alignment horizontal="center"/>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21" fillId="0" borderId="229"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77" fillId="21" borderId="211" xfId="53" applyNumberFormat="1" applyFont="1" applyFill="1" applyBorder="1" applyAlignment="1">
      <alignment horizontal="center" vertical="center" wrapText="1"/>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17" fontId="21" fillId="0" borderId="37" xfId="0" applyNumberFormat="1"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37"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0" fontId="21" fillId="0" borderId="218" xfId="0" applyFont="1" applyBorder="1" applyAlignment="1" applyProtection="1">
      <alignment horizontal="left"/>
      <protection locked="0"/>
    </xf>
    <xf numFmtId="164" fontId="15" fillId="31" borderId="0" xfId="60" applyFont="1" applyFill="1" applyBorder="1" applyAlignment="1" applyProtection="1">
      <alignment horizontal="center"/>
      <protection locked="0"/>
    </xf>
    <xf numFmtId="0" fontId="21" fillId="0" borderId="237" xfId="0" applyFont="1" applyFill="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237" xfId="0" applyFont="1" applyBorder="1" applyAlignment="1" applyProtection="1">
      <alignment horizontal="left"/>
      <protection locked="0"/>
    </xf>
    <xf numFmtId="164" fontId="17" fillId="32" borderId="0" xfId="39" applyFont="1" applyFill="1" applyAlignment="1">
      <alignment horizontal="center" vertical="center"/>
    </xf>
  </cellXfs>
  <cellStyles count="6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extLst xmlns:c16r2="http://schemas.microsoft.com/office/drawing/2015/06/char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5225295.17</c:v>
                </c:pt>
                <c:pt idx="3">
                  <c:v>7544332.8900000006</c:v>
                </c:pt>
                <c:pt idx="4">
                  <c:v>8193411.8400000008</c:v>
                </c:pt>
                <c:pt idx="5">
                  <c:v>9443642.0300000012</c:v>
                </c:pt>
                <c:pt idx="6">
                  <c:v>10252237.880000001</c:v>
                </c:pt>
                <c:pt idx="7">
                  <c:v>10252237.880000001</c:v>
                </c:pt>
                <c:pt idx="8">
                  <c:v>10252237.880000001</c:v>
                </c:pt>
                <c:pt idx="9">
                  <c:v>10252237.880000001</c:v>
                </c:pt>
                <c:pt idx="10">
                  <c:v>10252237.880000001</c:v>
                </c:pt>
                <c:pt idx="11">
                  <c:v>10252237.880000001</c:v>
                </c:pt>
              </c:numCache>
            </c:numRef>
          </c:val>
          <c:extLst xmlns:c16r2="http://schemas.microsoft.com/office/drawing/2015/06/char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10642304"/>
        <c:axId val="110644224"/>
      </c:barChart>
      <c:catAx>
        <c:axId val="11064230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10644224"/>
        <c:crosses val="autoZero"/>
        <c:auto val="1"/>
        <c:lblAlgn val="ctr"/>
        <c:lblOffset val="100"/>
        <c:tickLblSkip val="1"/>
        <c:tickMarkSkip val="1"/>
        <c:noMultiLvlLbl val="0"/>
      </c:catAx>
      <c:valAx>
        <c:axId val="1106442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1064230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pt idx="1">
                  <c:v>4000</c:v>
                </c:pt>
                <c:pt idx="2" formatCode="#,##0">
                  <c:v>4550</c:v>
                </c:pt>
                <c:pt idx="3" formatCode="#,##0">
                  <c:v>4550</c:v>
                </c:pt>
                <c:pt idx="4" formatCode="#,##0">
                  <c:v>4550</c:v>
                </c:pt>
                <c:pt idx="5" formatCode="#,##0">
                  <c:v>4550</c:v>
                </c:pt>
                <c:pt idx="6" formatCode="#,##0">
                  <c:v>5100</c:v>
                </c:pt>
              </c:numCache>
            </c:numRef>
          </c:val>
          <c:extLst xmlns:c16r2="http://schemas.microsoft.com/office/drawing/2015/06/char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pt idx="1">
                  <c:v>3638</c:v>
                </c:pt>
                <c:pt idx="2" formatCode="#,##0">
                  <c:v>3786</c:v>
                </c:pt>
                <c:pt idx="3" formatCode="#,##0">
                  <c:v>3899</c:v>
                </c:pt>
                <c:pt idx="4" formatCode="#,##0">
                  <c:v>4100</c:v>
                </c:pt>
                <c:pt idx="5" formatCode="#,##0">
                  <c:v>4144</c:v>
                </c:pt>
                <c:pt idx="6" formatCode="#,##0">
                  <c:v>4260</c:v>
                </c:pt>
              </c:numCache>
            </c:numRef>
          </c:val>
          <c:extLst xmlns:c16r2="http://schemas.microsoft.com/office/drawing/2015/06/char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125600128"/>
        <c:axId val="125601664"/>
      </c:barChart>
      <c:catAx>
        <c:axId val="125600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5601664"/>
        <c:crosses val="autoZero"/>
        <c:auto val="1"/>
        <c:lblAlgn val="ctr"/>
        <c:lblOffset val="100"/>
        <c:tickLblSkip val="1"/>
        <c:tickMarkSkip val="1"/>
        <c:noMultiLvlLbl val="0"/>
      </c:catAx>
      <c:valAx>
        <c:axId val="1256016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5600128"/>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pt idx="1">
                  <c:v>25347</c:v>
                </c:pt>
                <c:pt idx="2" formatCode="#,##0">
                  <c:v>6958</c:v>
                </c:pt>
                <c:pt idx="3" formatCode="#,##0">
                  <c:v>13916</c:v>
                </c:pt>
                <c:pt idx="4" formatCode="#,##0">
                  <c:v>20874</c:v>
                </c:pt>
                <c:pt idx="5" formatCode="#,##0">
                  <c:v>27832</c:v>
                </c:pt>
                <c:pt idx="6" formatCode="#,##0">
                  <c:v>7875</c:v>
                </c:pt>
              </c:numCache>
            </c:numRef>
          </c:val>
          <c:extLst xmlns:c16r2="http://schemas.microsoft.com/office/drawing/2015/06/char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pt idx="1">
                  <c:v>28279</c:v>
                </c:pt>
                <c:pt idx="2" formatCode="#,##0">
                  <c:v>7219</c:v>
                </c:pt>
                <c:pt idx="3" formatCode="#,##0">
                  <c:v>16129</c:v>
                </c:pt>
                <c:pt idx="4" formatCode="#,##0">
                  <c:v>18626</c:v>
                </c:pt>
                <c:pt idx="5" formatCode="#,##0">
                  <c:v>26294</c:v>
                </c:pt>
                <c:pt idx="6" formatCode="#,##0">
                  <c:v>5762</c:v>
                </c:pt>
              </c:numCache>
            </c:numRef>
          </c:val>
          <c:extLst xmlns:c16r2="http://schemas.microsoft.com/office/drawing/2015/06/char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126753408"/>
        <c:axId val="126800256"/>
      </c:barChart>
      <c:catAx>
        <c:axId val="12675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6800256"/>
        <c:crosses val="autoZero"/>
        <c:auto val="1"/>
        <c:lblAlgn val="ctr"/>
        <c:lblOffset val="100"/>
        <c:tickLblSkip val="1"/>
        <c:tickMarkSkip val="1"/>
        <c:noMultiLvlLbl val="0"/>
      </c:catAx>
      <c:valAx>
        <c:axId val="12680025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6753408"/>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extLst xmlns:c16r2="http://schemas.microsoft.com/office/drawing/2015/06/char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5225295.17</c:v>
                </c:pt>
                <c:pt idx="3">
                  <c:v>7544332.8900000006</c:v>
                </c:pt>
                <c:pt idx="4">
                  <c:v>8193411.8400000008</c:v>
                </c:pt>
                <c:pt idx="5">
                  <c:v>9443642.0300000012</c:v>
                </c:pt>
                <c:pt idx="6">
                  <c:v>10252237.880000001</c:v>
                </c:pt>
                <c:pt idx="7">
                  <c:v>10252237.880000001</c:v>
                </c:pt>
                <c:pt idx="8">
                  <c:v>10252237.880000001</c:v>
                </c:pt>
                <c:pt idx="9">
                  <c:v>10252237.880000001</c:v>
                </c:pt>
                <c:pt idx="10">
                  <c:v>10252237.880000001</c:v>
                </c:pt>
              </c:numCache>
            </c:numRef>
          </c:val>
          <c:extLst xmlns:c16r2="http://schemas.microsoft.com/office/drawing/2015/06/char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122359808"/>
        <c:axId val="122361344"/>
      </c:areaChart>
      <c:catAx>
        <c:axId val="122359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22361344"/>
        <c:crosses val="autoZero"/>
        <c:auto val="1"/>
        <c:lblAlgn val="ctr"/>
        <c:lblOffset val="100"/>
        <c:tickLblSkip val="8"/>
        <c:tickMarkSkip val="1"/>
        <c:noMultiLvlLbl val="0"/>
      </c:catAx>
      <c:valAx>
        <c:axId val="12236134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2235980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9443642.0300000012</c:v>
                </c:pt>
                <c:pt idx="1">
                  <c:v>3611180.6231515231</c:v>
                </c:pt>
                <c:pt idx="2">
                  <c:v>4738714.7007294167</c:v>
                </c:pt>
                <c:pt idx="3">
                  <c:v>4933810.419312316</c:v>
                </c:pt>
              </c:numCache>
            </c:numRef>
          </c:val>
          <c:extLst xmlns:c16r2="http://schemas.microsoft.com/office/drawing/2015/06/char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808595.85</c:v>
                </c:pt>
                <c:pt idx="1">
                  <c:v>266126</c:v>
                </c:pt>
                <c:pt idx="2">
                  <c:v>742036</c:v>
                </c:pt>
                <c:pt idx="3">
                  <c:v>697452.7</c:v>
                </c:pt>
              </c:numCache>
            </c:numRef>
          </c:val>
          <c:extLst xmlns:c16r2="http://schemas.microsoft.com/office/drawing/2015/06/char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121840768"/>
        <c:axId val="121842304"/>
      </c:barChart>
      <c:catAx>
        <c:axId val="12184076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1842304"/>
        <c:crossesAt val="0"/>
        <c:auto val="1"/>
        <c:lblAlgn val="ctr"/>
        <c:lblOffset val="100"/>
        <c:noMultiLvlLbl val="0"/>
      </c:catAx>
      <c:valAx>
        <c:axId val="121842304"/>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184076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1205878.5875242837</c:v>
                </c:pt>
                <c:pt idx="1">
                  <c:v>727586.2795508391</c:v>
                </c:pt>
                <c:pt idx="2">
                  <c:v>4081814.8258208768</c:v>
                </c:pt>
                <c:pt idx="3">
                  <c:v>166613.00749550312</c:v>
                </c:pt>
                <c:pt idx="4">
                  <c:v>4826080.179094634</c:v>
                </c:pt>
              </c:numCache>
            </c:numRef>
          </c:val>
          <c:extLst xmlns:c16r2="http://schemas.microsoft.com/office/drawing/2015/06/char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772064.45418238104</c:v>
                </c:pt>
                <c:pt idx="1">
                  <c:v>481661.85302290798</c:v>
                </c:pt>
                <c:pt idx="2">
                  <c:v>3405411.38447162</c:v>
                </c:pt>
                <c:pt idx="3">
                  <c:v>95651.246798623688</c:v>
                </c:pt>
                <c:pt idx="4">
                  <c:v>3416992.3227150906</c:v>
                </c:pt>
              </c:numCache>
            </c:numRef>
          </c:val>
          <c:extLst xmlns:c16r2="http://schemas.microsoft.com/office/drawing/2015/06/char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121873536"/>
        <c:axId val="121875072"/>
      </c:barChart>
      <c:catAx>
        <c:axId val="121873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21875072"/>
        <c:crosses val="autoZero"/>
        <c:auto val="1"/>
        <c:lblAlgn val="ctr"/>
        <c:lblOffset val="100"/>
        <c:tickMarkSkip val="1"/>
        <c:noMultiLvlLbl val="0"/>
      </c:catAx>
      <c:valAx>
        <c:axId val="1218750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2187353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57A2-4CDC-8CE0-0E085F052E53}"/>
                </c:ext>
                <c:ext xmlns:c15="http://schemas.microsoft.com/office/drawing/2012/chart" uri="{CE6537A1-D6FC-4f65-9D91-7224C49458BB}">
                  <c15:layout/>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16</c:v>
                </c:pt>
              </c:numCache>
            </c:numRef>
          </c:val>
          <c:extLst xmlns:c16r2="http://schemas.microsoft.com/office/drawing/2015/06/char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125181312"/>
        <c:axId val="12519129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Entry'!$D$79</c:f>
              <c:numCache>
                <c:formatCode>General</c:formatCode>
                <c:ptCount val="1"/>
                <c:pt idx="0">
                  <c:v>16</c:v>
                </c:pt>
              </c:numCache>
            </c:numRef>
          </c:val>
          <c:extLst xmlns:c16r2="http://schemas.microsoft.com/office/drawing/2015/06/char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125192832"/>
        <c:axId val="125198720"/>
      </c:barChart>
      <c:catAx>
        <c:axId val="125181312"/>
        <c:scaling>
          <c:orientation val="minMax"/>
        </c:scaling>
        <c:delete val="1"/>
        <c:axPos val="l"/>
        <c:majorTickMark val="out"/>
        <c:minorTickMark val="none"/>
        <c:tickLblPos val="nextTo"/>
        <c:crossAx val="125191296"/>
        <c:crosses val="autoZero"/>
        <c:auto val="1"/>
        <c:lblAlgn val="ctr"/>
        <c:lblOffset val="100"/>
        <c:noMultiLvlLbl val="0"/>
      </c:catAx>
      <c:valAx>
        <c:axId val="12519129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5181312"/>
        <c:crosses val="max"/>
        <c:crossBetween val="between"/>
      </c:valAx>
      <c:catAx>
        <c:axId val="125192832"/>
        <c:scaling>
          <c:orientation val="minMax"/>
        </c:scaling>
        <c:delete val="1"/>
        <c:axPos val="l"/>
        <c:majorTickMark val="out"/>
        <c:minorTickMark val="none"/>
        <c:tickLblPos val="nextTo"/>
        <c:crossAx val="125198720"/>
        <c:crosses val="autoZero"/>
        <c:auto val="0"/>
        <c:lblAlgn val="ctr"/>
        <c:lblOffset val="100"/>
        <c:noMultiLvlLbl val="0"/>
      </c:catAx>
      <c:valAx>
        <c:axId val="125198720"/>
        <c:scaling>
          <c:orientation val="minMax"/>
        </c:scaling>
        <c:delete val="0"/>
        <c:axPos val="b"/>
        <c:numFmt formatCode="0%" sourceLinked="1"/>
        <c:majorTickMark val="none"/>
        <c:minorTickMark val="none"/>
        <c:tickLblPos val="none"/>
        <c:spPr>
          <a:ln w="3175">
            <a:solidFill>
              <a:srgbClr val="000000"/>
            </a:solidFill>
            <a:prstDash val="solid"/>
          </a:ln>
        </c:spPr>
        <c:crossAx val="125192832"/>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Entry'!$C$84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Entry'!$F$84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Entry'!$G$84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125258752"/>
        <c:axId val="125264640"/>
      </c:barChart>
      <c:catAx>
        <c:axId val="125258752"/>
        <c:scaling>
          <c:orientation val="minMax"/>
        </c:scaling>
        <c:delete val="0"/>
        <c:axPos val="b"/>
        <c:majorTickMark val="none"/>
        <c:minorTickMark val="none"/>
        <c:tickLblPos val="none"/>
        <c:spPr>
          <a:ln w="3175">
            <a:solidFill>
              <a:srgbClr val="000000"/>
            </a:solidFill>
            <a:prstDash val="solid"/>
          </a:ln>
        </c:spPr>
        <c:crossAx val="125264640"/>
        <c:crosses val="autoZero"/>
        <c:auto val="0"/>
        <c:lblAlgn val="ctr"/>
        <c:lblOffset val="100"/>
        <c:tickMarkSkip val="1"/>
        <c:noMultiLvlLbl val="0"/>
      </c:catAx>
      <c:valAx>
        <c:axId val="1252646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258752"/>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1"/>
                <c:pt idx="0">
                  <c:v>NFM Grant Requirements</c:v>
                </c:pt>
              </c:strCache>
            </c:strRef>
          </c:cat>
          <c:val>
            <c:numRef>
              <c:f>'Data Entry'!$D$72:$D$73</c:f>
              <c:numCache>
                <c:formatCode>0</c:formatCode>
                <c:ptCount val="2"/>
                <c:pt idx="0">
                  <c:v>4</c:v>
                </c:pt>
              </c:numCache>
            </c:numRef>
          </c:val>
          <c:extLst xmlns:c16r2="http://schemas.microsoft.com/office/drawing/2015/06/char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1"/>
                <c:pt idx="0">
                  <c:v>NFM Grant Requirements</c:v>
                </c:pt>
              </c:strCache>
            </c:strRef>
          </c:cat>
          <c:val>
            <c:numRef>
              <c:f>'Data Entry'!$E$72:$E$73</c:f>
              <c:numCache>
                <c:formatCode>0</c:formatCode>
                <c:ptCount val="2"/>
                <c:pt idx="0">
                  <c:v>4</c:v>
                </c:pt>
              </c:numCache>
            </c:numRef>
          </c:val>
          <c:extLst xmlns:c16r2="http://schemas.microsoft.com/office/drawing/2015/06/char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xmlns:c16r2="http://schemas.microsoft.com/office/drawing/2015/06/chart">
                <c:ext xmlns:c16="http://schemas.microsoft.com/office/drawing/2014/chart" uri="{C3380CC4-5D6E-409C-BE32-E72D297353CC}">
                  <c16:uniqueId val="{00000002-7D77-426D-8180-9FF2722F8EB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Entry'!$F$72:$F$73</c:f>
              <c:numCache>
                <c:formatCode>0</c:formatCode>
                <c:ptCount val="2"/>
                <c:pt idx="0">
                  <c:v>0</c:v>
                </c:pt>
              </c:numCache>
            </c:numRef>
          </c:val>
          <c:extLst xmlns:c16r2="http://schemas.microsoft.com/office/drawing/2015/06/char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125310848"/>
        <c:axId val="125312384"/>
      </c:barChart>
      <c:catAx>
        <c:axId val="1253108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312384"/>
        <c:crosses val="autoZero"/>
        <c:auto val="1"/>
        <c:lblAlgn val="ctr"/>
        <c:lblOffset val="100"/>
        <c:tickLblSkip val="1"/>
        <c:tickMarkSkip val="1"/>
        <c:noMultiLvlLbl val="0"/>
      </c:catAx>
      <c:valAx>
        <c:axId val="12531238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310848"/>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xmlns:c16r2="http://schemas.microsoft.com/office/drawing/2015/06/char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125366272"/>
        <c:axId val="125367808"/>
      </c:barChart>
      <c:catAx>
        <c:axId val="1253662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5367808"/>
        <c:crosses val="autoZero"/>
        <c:auto val="1"/>
        <c:lblAlgn val="ctr"/>
        <c:lblOffset val="100"/>
        <c:noMultiLvlLbl val="0"/>
      </c:catAx>
      <c:valAx>
        <c:axId val="12536780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5366272"/>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extLst xmlns:c16r2="http://schemas.microsoft.com/office/drawing/2015/06/char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1245108.6140275572</c:v>
                </c:pt>
                <c:pt idx="2">
                  <c:v>1470070.521603412</c:v>
                </c:pt>
                <c:pt idx="3">
                  <c:v>2069658.8399816109</c:v>
                </c:pt>
                <c:pt idx="4">
                  <c:v>2649687.9109227825</c:v>
                </c:pt>
                <c:pt idx="5">
                  <c:v>2781587.6509227827</c:v>
                </c:pt>
                <c:pt idx="6">
                  <c:v>2812179.3109227829</c:v>
                </c:pt>
                <c:pt idx="7">
                  <c:v>2812179.3109227829</c:v>
                </c:pt>
                <c:pt idx="8">
                  <c:v>2812179.3109227829</c:v>
                </c:pt>
                <c:pt idx="9">
                  <c:v>2812179.3109227829</c:v>
                </c:pt>
                <c:pt idx="10">
                  <c:v>2812179.3109227829</c:v>
                </c:pt>
                <c:pt idx="11">
                  <c:v>2812179.3109227829</c:v>
                </c:pt>
              </c:numCache>
            </c:numRef>
          </c:val>
          <c:smooth val="0"/>
          <c:extLst xmlns:c16r2="http://schemas.microsoft.com/office/drawing/2015/06/char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790694.85894063814</c:v>
                </c:pt>
                <c:pt idx="2">
                  <c:v>1208639.8589406381</c:v>
                </c:pt>
                <c:pt idx="3">
                  <c:v>1573477.8589406381</c:v>
                </c:pt>
                <c:pt idx="4">
                  <c:v>2155606.8589406381</c:v>
                </c:pt>
                <c:pt idx="5">
                  <c:v>2798110.8589406381</c:v>
                </c:pt>
                <c:pt idx="6">
                  <c:v>2951520.8589406381</c:v>
                </c:pt>
                <c:pt idx="7">
                  <c:v>2951520.8589406381</c:v>
                </c:pt>
                <c:pt idx="8">
                  <c:v>2951520.8589406381</c:v>
                </c:pt>
                <c:pt idx="9">
                  <c:v>2951520.8589406381</c:v>
                </c:pt>
                <c:pt idx="10">
                  <c:v>2951520.8589406381</c:v>
                </c:pt>
                <c:pt idx="11">
                  <c:v>2951520.8589406381</c:v>
                </c:pt>
              </c:numCache>
            </c:numRef>
          </c:val>
          <c:smooth val="0"/>
          <c:extLst xmlns:c16r2="http://schemas.microsoft.com/office/drawing/2015/06/char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125469056"/>
        <c:axId val="125470976"/>
      </c:lineChart>
      <c:catAx>
        <c:axId val="125469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25470976"/>
        <c:crosses val="autoZero"/>
        <c:auto val="1"/>
        <c:lblAlgn val="ctr"/>
        <c:lblOffset val="100"/>
        <c:tickLblSkip val="1"/>
        <c:tickMarkSkip val="1"/>
        <c:noMultiLvlLbl val="0"/>
      </c:catAx>
      <c:valAx>
        <c:axId val="12547097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25469056"/>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pt idx="1">
                  <c:v>4250</c:v>
                </c:pt>
                <c:pt idx="2" formatCode="#,##0">
                  <c:v>1487.5</c:v>
                </c:pt>
                <c:pt idx="3" formatCode="#,##0">
                  <c:v>2975</c:v>
                </c:pt>
                <c:pt idx="4" formatCode="#,##0">
                  <c:v>4462.5</c:v>
                </c:pt>
                <c:pt idx="5" formatCode="#,##0">
                  <c:v>5950</c:v>
                </c:pt>
                <c:pt idx="6" formatCode="#,##0">
                  <c:v>2125</c:v>
                </c:pt>
              </c:numCache>
            </c:numRef>
          </c:val>
          <c:extLst xmlns:c16r2="http://schemas.microsoft.com/office/drawing/2015/06/char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pt idx="1">
                  <c:v>3826</c:v>
                </c:pt>
                <c:pt idx="2" formatCode="#,##0">
                  <c:v>1383</c:v>
                </c:pt>
                <c:pt idx="3" formatCode="#,##0">
                  <c:v>2314</c:v>
                </c:pt>
                <c:pt idx="4" formatCode="#,##0">
                  <c:v>3126</c:v>
                </c:pt>
                <c:pt idx="5" formatCode="#,##0">
                  <c:v>3846</c:v>
                </c:pt>
                <c:pt idx="6" formatCode="#,##0">
                  <c:v>1857</c:v>
                </c:pt>
              </c:numCache>
            </c:numRef>
          </c:val>
          <c:extLst xmlns:c16r2="http://schemas.microsoft.com/office/drawing/2015/06/char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110089728"/>
        <c:axId val="110091264"/>
      </c:barChart>
      <c:catAx>
        <c:axId val="110089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0091264"/>
        <c:crosses val="autoZero"/>
        <c:auto val="1"/>
        <c:lblAlgn val="ctr"/>
        <c:lblOffset val="100"/>
        <c:tickLblSkip val="1"/>
        <c:tickMarkSkip val="1"/>
        <c:noMultiLvlLbl val="0"/>
      </c:catAx>
      <c:valAx>
        <c:axId val="1100912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0089728"/>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 xmlns:a16="http://schemas.microsoft.com/office/drawing/2014/main"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 xmlns:a16="http://schemas.microsoft.com/office/drawing/2014/main"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 xmlns:a16="http://schemas.microsoft.com/office/drawing/2014/main"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 xmlns:a16="http://schemas.microsoft.com/office/drawing/2014/main"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 xmlns:a16="http://schemas.microsoft.com/office/drawing/2014/main"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 xmlns:a16="http://schemas.microsoft.com/office/drawing/2014/main"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 xmlns:a16="http://schemas.microsoft.com/office/drawing/2014/main"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 xmlns:a16="http://schemas.microsoft.com/office/drawing/2014/main"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 xmlns:a16="http://schemas.microsoft.com/office/drawing/2014/main"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a:extLst>
            <a:ext uri="{FF2B5EF4-FFF2-40B4-BE49-F238E27FC236}">
              <a16:creationId xmlns=""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 xmlns:a16="http://schemas.microsoft.com/office/drawing/2014/main"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 xmlns:a16="http://schemas.microsoft.com/office/drawing/2014/main"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 xmlns:a16="http://schemas.microsoft.com/office/drawing/2014/main"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 xmlns:a16="http://schemas.microsoft.com/office/drawing/2014/main"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 xmlns:a16="http://schemas.microsoft.com/office/drawing/2014/main"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 xmlns:a16="http://schemas.microsoft.com/office/drawing/2014/main"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30" t="str">
        <f>+'Grant Detail'!B3:J3</f>
        <v>Dashboard:  Georgia - HIV / AIDS</v>
      </c>
      <c r="C2" s="530"/>
      <c r="D2" s="530"/>
      <c r="E2" s="530"/>
      <c r="F2" s="530"/>
      <c r="G2" s="530"/>
      <c r="H2" s="530"/>
      <c r="I2" s="530"/>
      <c r="J2" s="530"/>
      <c r="K2" s="530"/>
      <c r="L2" s="530"/>
      <c r="M2" s="1"/>
      <c r="N2" s="1"/>
      <c r="O2" s="1"/>
    </row>
    <row r="4" spans="2:15" ht="21">
      <c r="B4" s="531" t="str">
        <f>+IF('Data Entry'!G6="Please Select", "",'Data Entry'!G6) &amp;"  "&amp;+IF('Data Entry'!G8="Please Select", "", 'Data Entry'!G8&amp;",  ")&amp;+IF('Data Entry'!I8="Please Select","",'Data Entry'!I8)</f>
        <v>HIV / AIDS  NFM,  N/A</v>
      </c>
      <c r="C4" s="531"/>
      <c r="D4" s="531"/>
      <c r="E4" s="532"/>
      <c r="F4" s="229"/>
      <c r="G4" s="229"/>
      <c r="H4" s="350" t="str">
        <f>+'Data Entry'!B6&amp;" "&amp;+'Data Entry'!C6</f>
        <v>Grant No.: GEO-H-NCDC</v>
      </c>
      <c r="I4" s="350"/>
      <c r="J4" s="228"/>
      <c r="K4" s="229"/>
      <c r="L4" s="229"/>
    </row>
    <row r="22" spans="2:12" ht="26.25">
      <c r="B22" s="533" t="s">
        <v>405</v>
      </c>
      <c r="C22" s="534"/>
      <c r="D22" s="534"/>
      <c r="E22" s="534"/>
      <c r="F22" s="534"/>
      <c r="G22" s="534"/>
      <c r="H22" s="534"/>
      <c r="I22" s="534"/>
      <c r="J22" s="534"/>
      <c r="K22" s="534"/>
      <c r="L22" s="534"/>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66" t="str">
        <f>'Grant Detail'!B3:J3</f>
        <v>Dashboard:  Georgia - HIV / AIDS</v>
      </c>
      <c r="C3" s="966"/>
      <c r="D3" s="966"/>
      <c r="E3" s="966"/>
      <c r="F3" s="966"/>
      <c r="G3" s="966"/>
      <c r="H3" s="966"/>
      <c r="I3" s="1"/>
    </row>
    <row r="6" spans="2:15" ht="18.75">
      <c r="B6" s="919" t="s">
        <v>319</v>
      </c>
      <c r="C6" s="919"/>
      <c r="D6" s="919"/>
      <c r="E6" s="919"/>
      <c r="F6" s="919"/>
      <c r="G6" s="919"/>
      <c r="H6" s="919"/>
    </row>
    <row r="8" spans="2:15" ht="18.75">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6" t="s">
        <v>372</v>
      </c>
      <c r="J9" s="86" t="s">
        <v>372</v>
      </c>
      <c r="M9" s="19"/>
      <c r="N9" s="19"/>
      <c r="O9" s="19"/>
    </row>
    <row r="10" spans="2:15">
      <c r="B10" s="57" t="s">
        <v>27</v>
      </c>
      <c r="C10" s="57" t="s">
        <v>18</v>
      </c>
      <c r="D10" s="57" t="s">
        <v>16</v>
      </c>
      <c r="E10" s="57" t="s">
        <v>17</v>
      </c>
      <c r="F10" s="57" t="s">
        <v>105</v>
      </c>
      <c r="G10" s="411" t="s">
        <v>43</v>
      </c>
      <c r="H10" s="60" t="s">
        <v>48</v>
      </c>
      <c r="I10" s="27" t="s">
        <v>299</v>
      </c>
      <c r="J10" s="86" t="s">
        <v>130</v>
      </c>
      <c r="M10" s="19"/>
      <c r="N10" s="19"/>
      <c r="O10" s="19"/>
    </row>
    <row r="11" spans="2:15">
      <c r="B11" s="57" t="s">
        <v>33</v>
      </c>
      <c r="C11" s="57" t="s">
        <v>13</v>
      </c>
      <c r="D11" s="57" t="s">
        <v>19</v>
      </c>
      <c r="E11" s="57" t="s">
        <v>15</v>
      </c>
      <c r="F11" s="57" t="s">
        <v>106</v>
      </c>
      <c r="G11" s="411" t="s">
        <v>44</v>
      </c>
      <c r="H11" s="60" t="s">
        <v>49</v>
      </c>
      <c r="I11" s="27" t="s">
        <v>300</v>
      </c>
      <c r="J11" s="86" t="s">
        <v>131</v>
      </c>
      <c r="M11" s="19"/>
      <c r="N11" s="19"/>
      <c r="O11" s="19"/>
    </row>
    <row r="12" spans="2:15">
      <c r="B12" s="57" t="s">
        <v>34</v>
      </c>
      <c r="D12" s="57" t="s">
        <v>22</v>
      </c>
      <c r="E12" s="57" t="s">
        <v>23</v>
      </c>
      <c r="F12" s="57" t="s">
        <v>107</v>
      </c>
      <c r="G12" s="411" t="s">
        <v>45</v>
      </c>
      <c r="H12" s="60" t="s">
        <v>50</v>
      </c>
      <c r="I12" s="27" t="s">
        <v>301</v>
      </c>
      <c r="J12" s="86" t="s">
        <v>132</v>
      </c>
      <c r="M12" s="195"/>
      <c r="N12" s="19"/>
      <c r="O12" s="19"/>
    </row>
    <row r="13" spans="2:15">
      <c r="B13" s="57" t="s">
        <v>83</v>
      </c>
      <c r="D13" s="57" t="s">
        <v>24</v>
      </c>
      <c r="E13" s="58"/>
      <c r="F13" s="57" t="s">
        <v>108</v>
      </c>
      <c r="G13" s="411" t="s">
        <v>46</v>
      </c>
      <c r="H13" s="60" t="s">
        <v>51</v>
      </c>
      <c r="I13" s="27" t="s">
        <v>302</v>
      </c>
      <c r="J13" s="86" t="s">
        <v>133</v>
      </c>
      <c r="M13" s="195"/>
      <c r="N13" s="19"/>
      <c r="O13" s="19"/>
    </row>
    <row r="14" spans="2:15">
      <c r="B14" s="57" t="s">
        <v>84</v>
      </c>
      <c r="D14" s="57" t="s">
        <v>37</v>
      </c>
      <c r="F14" s="57" t="s">
        <v>120</v>
      </c>
      <c r="G14" s="411"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0"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49" t="str">
        <f>+"Dashboard: "&amp;" "&amp;+IF('Data Entry'!C4="Please Select","",'Data Entry'!C4&amp;" - ")&amp;+IF('Data Entry'!G6="Please Select","",'Data Entry'!G6)</f>
        <v>Dashboard:  Georgia - HIV / AIDS</v>
      </c>
      <c r="C2" s="549"/>
      <c r="D2" s="549"/>
      <c r="E2" s="549"/>
      <c r="F2" s="549"/>
      <c r="G2" s="549"/>
      <c r="H2" s="549"/>
      <c r="I2" s="549"/>
      <c r="J2" s="549"/>
      <c r="K2" s="549"/>
      <c r="L2" s="549"/>
      <c r="M2" s="549"/>
    </row>
    <row r="3" spans="1:15" ht="15.75" customHeight="1">
      <c r="A3" s="3"/>
      <c r="B3" s="220"/>
      <c r="C3" s="220"/>
      <c r="D3" s="220"/>
      <c r="E3" s="220"/>
      <c r="F3" s="220"/>
      <c r="G3" s="220"/>
      <c r="H3" s="220"/>
      <c r="I3" s="220"/>
      <c r="J3" s="220"/>
      <c r="K3" s="221"/>
      <c r="L3" s="221"/>
      <c r="M3" s="3"/>
    </row>
    <row r="5" spans="1:15" ht="23.25">
      <c r="B5" s="548" t="s">
        <v>283</v>
      </c>
      <c r="C5" s="548"/>
      <c r="D5" s="548"/>
      <c r="E5" s="548"/>
      <c r="F5" s="548"/>
      <c r="G5" s="548"/>
      <c r="H5" s="548"/>
      <c r="I5" s="548"/>
      <c r="J5" s="548"/>
      <c r="K5" s="548"/>
      <c r="L5" s="548"/>
      <c r="M5" s="548"/>
      <c r="N5" s="548"/>
      <c r="O5" s="548"/>
    </row>
    <row r="7" spans="1:15" ht="21">
      <c r="B7" s="550" t="s">
        <v>272</v>
      </c>
      <c r="C7" s="551"/>
      <c r="D7" s="552"/>
      <c r="E7" s="550" t="s">
        <v>273</v>
      </c>
      <c r="F7" s="551"/>
      <c r="G7" s="551"/>
      <c r="H7" s="551"/>
      <c r="I7" s="552"/>
      <c r="J7" s="550" t="s">
        <v>274</v>
      </c>
      <c r="K7" s="551"/>
      <c r="L7" s="552"/>
      <c r="M7" s="550" t="s">
        <v>347</v>
      </c>
      <c r="N7" s="551"/>
      <c r="O7" s="552"/>
    </row>
    <row r="8" spans="1:15" ht="92.25" customHeight="1">
      <c r="B8" s="561" t="str">
        <f>+'Data Entry'!B27</f>
        <v>F1: Budget and disbursements by Global Fund</v>
      </c>
      <c r="C8" s="562"/>
      <c r="D8" s="563"/>
      <c r="E8" s="553" t="s">
        <v>393</v>
      </c>
      <c r="F8" s="554"/>
      <c r="G8" s="554"/>
      <c r="H8" s="554"/>
      <c r="I8" s="555"/>
      <c r="J8" s="536" t="s">
        <v>348</v>
      </c>
      <c r="K8" s="537"/>
      <c r="L8" s="538"/>
      <c r="M8" s="536" t="s">
        <v>394</v>
      </c>
      <c r="N8" s="537"/>
      <c r="O8" s="538"/>
    </row>
    <row r="9" spans="1:15" ht="117.75" customHeight="1">
      <c r="B9" s="561" t="str">
        <f>+'Data Entry'!B36</f>
        <v>F2: Budget and actual expenditures by Grant Objective</v>
      </c>
      <c r="C9" s="562"/>
      <c r="D9" s="563"/>
      <c r="E9" s="544" t="s">
        <v>356</v>
      </c>
      <c r="F9" s="545"/>
      <c r="G9" s="545"/>
      <c r="H9" s="545"/>
      <c r="I9" s="546"/>
      <c r="J9" s="536" t="s">
        <v>350</v>
      </c>
      <c r="K9" s="537"/>
      <c r="L9" s="538"/>
      <c r="M9" s="536" t="s">
        <v>394</v>
      </c>
      <c r="N9" s="537"/>
      <c r="O9" s="538"/>
    </row>
    <row r="10" spans="1:15" ht="152.25" customHeight="1">
      <c r="B10" s="556" t="str">
        <f>+'Data Entry'!B49</f>
        <v>F3: Disbursements and expenditures</v>
      </c>
      <c r="C10" s="559"/>
      <c r="D10" s="560"/>
      <c r="E10" s="544" t="s">
        <v>395</v>
      </c>
      <c r="F10" s="545"/>
      <c r="G10" s="545"/>
      <c r="H10" s="545"/>
      <c r="I10" s="546"/>
      <c r="J10" s="536" t="s">
        <v>357</v>
      </c>
      <c r="K10" s="537"/>
      <c r="L10" s="538"/>
      <c r="M10" s="536" t="s">
        <v>349</v>
      </c>
      <c r="N10" s="537"/>
      <c r="O10" s="538"/>
    </row>
    <row r="11" spans="1:15" ht="279.75" customHeight="1">
      <c r="B11" s="556" t="str">
        <f>+'Data Entry'!B58</f>
        <v>F4: Latest PR reporting and disbursement cycle</v>
      </c>
      <c r="C11" s="557"/>
      <c r="D11" s="558"/>
      <c r="E11" s="544" t="s">
        <v>406</v>
      </c>
      <c r="F11" s="545"/>
      <c r="G11" s="545"/>
      <c r="H11" s="545"/>
      <c r="I11" s="546"/>
      <c r="J11" s="536" t="s">
        <v>358</v>
      </c>
      <c r="K11" s="537"/>
      <c r="L11" s="538"/>
      <c r="M11" s="536" t="s">
        <v>277</v>
      </c>
      <c r="N11" s="537"/>
      <c r="O11" s="538"/>
    </row>
    <row r="12" spans="1:15" s="19" customFormat="1">
      <c r="B12" s="535"/>
      <c r="C12" s="535"/>
      <c r="D12" s="535"/>
      <c r="E12" s="539"/>
      <c r="F12" s="539"/>
      <c r="G12" s="539"/>
      <c r="H12" s="539"/>
      <c r="I12" s="539"/>
      <c r="J12" s="539"/>
      <c r="K12" s="539"/>
      <c r="L12" s="539"/>
      <c r="M12" s="539"/>
      <c r="N12" s="539"/>
      <c r="O12" s="539"/>
    </row>
    <row r="13" spans="1:15" s="19" customFormat="1">
      <c r="B13" s="547"/>
      <c r="C13" s="547"/>
      <c r="D13" s="547"/>
      <c r="E13" s="540"/>
      <c r="F13" s="540"/>
      <c r="G13" s="540"/>
      <c r="H13" s="540"/>
      <c r="I13" s="540"/>
      <c r="J13" s="540"/>
      <c r="K13" s="540"/>
      <c r="L13" s="540"/>
      <c r="M13" s="540"/>
      <c r="N13" s="540"/>
      <c r="O13" s="540"/>
    </row>
    <row r="14" spans="1:15" s="19" customFormat="1">
      <c r="B14" s="547"/>
      <c r="C14" s="547"/>
      <c r="D14" s="547"/>
      <c r="E14" s="540"/>
      <c r="F14" s="540"/>
      <c r="G14" s="540"/>
      <c r="H14" s="540"/>
      <c r="I14" s="540"/>
      <c r="J14" s="540"/>
      <c r="K14" s="540"/>
      <c r="L14" s="540"/>
      <c r="M14" s="540"/>
      <c r="N14" s="540"/>
      <c r="O14" s="540"/>
    </row>
    <row r="15" spans="1:15" s="19" customFormat="1">
      <c r="B15" s="547"/>
      <c r="C15" s="547"/>
      <c r="D15" s="547"/>
      <c r="E15" s="540"/>
      <c r="F15" s="540"/>
      <c r="G15" s="540"/>
      <c r="H15" s="540"/>
      <c r="I15" s="540"/>
      <c r="J15" s="540"/>
      <c r="K15" s="540"/>
      <c r="L15" s="540"/>
      <c r="M15" s="540"/>
      <c r="N15" s="540"/>
      <c r="O15" s="540"/>
    </row>
    <row r="16" spans="1:15" ht="23.25">
      <c r="B16" s="548" t="s">
        <v>284</v>
      </c>
      <c r="C16" s="548"/>
      <c r="D16" s="548"/>
      <c r="E16" s="548"/>
      <c r="F16" s="548"/>
      <c r="G16" s="548"/>
      <c r="H16" s="548"/>
      <c r="I16" s="548"/>
      <c r="J16" s="548"/>
      <c r="K16" s="548"/>
      <c r="L16" s="548"/>
      <c r="M16" s="548"/>
      <c r="N16" s="548"/>
      <c r="O16" s="548"/>
    </row>
    <row r="18" spans="1:15" ht="21">
      <c r="B18" s="541" t="s">
        <v>272</v>
      </c>
      <c r="C18" s="542"/>
      <c r="D18" s="543"/>
      <c r="E18" s="541" t="s">
        <v>273</v>
      </c>
      <c r="F18" s="542"/>
      <c r="G18" s="542"/>
      <c r="H18" s="542"/>
      <c r="I18" s="543"/>
      <c r="J18" s="541" t="s">
        <v>274</v>
      </c>
      <c r="K18" s="542"/>
      <c r="L18" s="543"/>
      <c r="M18" s="541" t="s">
        <v>275</v>
      </c>
      <c r="N18" s="542"/>
      <c r="O18" s="543"/>
    </row>
    <row r="19" spans="1:15" ht="114" customHeight="1">
      <c r="B19" s="561" t="str">
        <f>+'Data Entry'!B69</f>
        <v>M1: Status of Conditions Precedent (CPs) and Time Bound Actions (TBAs)</v>
      </c>
      <c r="C19" s="594"/>
      <c r="D19" s="595"/>
      <c r="E19" s="544" t="s">
        <v>282</v>
      </c>
      <c r="F19" s="545"/>
      <c r="G19" s="545"/>
      <c r="H19" s="545"/>
      <c r="I19" s="546"/>
      <c r="J19" s="536" t="s">
        <v>351</v>
      </c>
      <c r="K19" s="537"/>
      <c r="L19" s="538"/>
      <c r="M19" s="536" t="s">
        <v>352</v>
      </c>
      <c r="N19" s="537"/>
      <c r="O19" s="538"/>
    </row>
    <row r="20" spans="1:15" ht="102.75" customHeight="1">
      <c r="B20" s="561" t="str">
        <f>+'Data Entry'!B76</f>
        <v>M2: Status of key PR management positions</v>
      </c>
      <c r="C20" s="594"/>
      <c r="D20" s="595"/>
      <c r="E20" s="544" t="s">
        <v>396</v>
      </c>
      <c r="F20" s="545"/>
      <c r="G20" s="545"/>
      <c r="H20" s="545"/>
      <c r="I20" s="546"/>
      <c r="J20" s="536" t="s">
        <v>279</v>
      </c>
      <c r="K20" s="537"/>
      <c r="L20" s="538"/>
      <c r="M20" s="536" t="s">
        <v>278</v>
      </c>
      <c r="N20" s="537"/>
      <c r="O20" s="538"/>
    </row>
    <row r="21" spans="1:15" ht="111.75" customHeight="1">
      <c r="B21" s="561" t="str">
        <f>+'Data Entry'!B81</f>
        <v xml:space="preserve">M3: Contractual arrangements (SRs) </v>
      </c>
      <c r="C21" s="594"/>
      <c r="D21" s="595"/>
      <c r="E21" s="596" t="s">
        <v>0</v>
      </c>
      <c r="F21" s="545"/>
      <c r="G21" s="545"/>
      <c r="H21" s="545"/>
      <c r="I21" s="546"/>
      <c r="J21" s="536" t="s">
        <v>353</v>
      </c>
      <c r="K21" s="537"/>
      <c r="L21" s="538"/>
      <c r="M21" s="536" t="s">
        <v>354</v>
      </c>
      <c r="N21" s="537"/>
      <c r="O21" s="538"/>
    </row>
    <row r="22" spans="1:15" ht="74.25" customHeight="1">
      <c r="B22" s="561" t="str">
        <f>+'Data Entry'!B86</f>
        <v>M4: Number of complete reports received on time</v>
      </c>
      <c r="C22" s="594"/>
      <c r="D22" s="595"/>
      <c r="E22" s="596" t="s">
        <v>407</v>
      </c>
      <c r="F22" s="603"/>
      <c r="G22" s="603"/>
      <c r="H22" s="603"/>
      <c r="I22" s="604"/>
      <c r="J22" s="536" t="s">
        <v>359</v>
      </c>
      <c r="K22" s="537"/>
      <c r="L22" s="538"/>
      <c r="M22" s="536" t="s">
        <v>280</v>
      </c>
      <c r="N22" s="537"/>
      <c r="O22" s="538"/>
    </row>
    <row r="23" spans="1:15" ht="207.75" customHeight="1">
      <c r="B23" s="597" t="str">
        <f>+'Data Entry'!B92</f>
        <v>M5: Budget and Procurement of health products, health equipment, medicines and pharmaceuticals</v>
      </c>
      <c r="C23" s="598"/>
      <c r="D23" s="599"/>
      <c r="E23" s="605" t="s">
        <v>360</v>
      </c>
      <c r="F23" s="606"/>
      <c r="G23" s="606"/>
      <c r="H23" s="606"/>
      <c r="I23" s="607"/>
      <c r="J23" s="617" t="s">
        <v>276</v>
      </c>
      <c r="K23" s="618"/>
      <c r="L23" s="619"/>
      <c r="M23" s="617" t="s">
        <v>281</v>
      </c>
      <c r="N23" s="618"/>
      <c r="O23" s="619"/>
    </row>
    <row r="24" spans="1:15" ht="114.75" customHeight="1">
      <c r="B24" s="600"/>
      <c r="C24" s="601"/>
      <c r="D24" s="602"/>
      <c r="E24" s="608" t="s">
        <v>355</v>
      </c>
      <c r="F24" s="609"/>
      <c r="G24" s="609"/>
      <c r="H24" s="609"/>
      <c r="I24" s="610"/>
      <c r="J24" s="620"/>
      <c r="K24" s="621"/>
      <c r="L24" s="622"/>
      <c r="M24" s="620"/>
      <c r="N24" s="621"/>
      <c r="O24" s="622"/>
    </row>
    <row r="25" spans="1:15" ht="409.5" customHeight="1">
      <c r="B25" s="561" t="str">
        <f>+'Data Entry'!B105</f>
        <v>M6: Difference between current and safety stock</v>
      </c>
      <c r="C25" s="594"/>
      <c r="D25" s="595"/>
      <c r="E25" s="628" t="s">
        <v>408</v>
      </c>
      <c r="F25" s="629"/>
      <c r="G25" s="629"/>
      <c r="H25" s="629"/>
      <c r="I25" s="630"/>
      <c r="J25" s="614" t="s">
        <v>361</v>
      </c>
      <c r="K25" s="615"/>
      <c r="L25" s="616"/>
      <c r="M25" s="611" t="s">
        <v>366</v>
      </c>
      <c r="N25" s="612"/>
      <c r="O25" s="613"/>
    </row>
    <row r="29" spans="1:15" ht="18.75">
      <c r="B29" s="255"/>
    </row>
    <row r="30" spans="1:15" ht="23.25">
      <c r="B30" s="548" t="s">
        <v>297</v>
      </c>
      <c r="C30" s="548"/>
      <c r="D30" s="548"/>
      <c r="E30" s="548"/>
      <c r="F30" s="548"/>
      <c r="G30" s="548"/>
      <c r="H30" s="548"/>
      <c r="I30" s="548"/>
      <c r="J30" s="548"/>
      <c r="K30" s="548"/>
      <c r="L30" s="548"/>
      <c r="M30" s="548"/>
      <c r="N30" s="548"/>
      <c r="O30" s="548"/>
    </row>
    <row r="32" spans="1:15" ht="28.5" customHeight="1">
      <c r="A32" s="246"/>
      <c r="B32" s="567" t="s">
        <v>345</v>
      </c>
      <c r="C32" s="568"/>
      <c r="D32" s="569"/>
      <c r="E32" s="570" t="s">
        <v>303</v>
      </c>
      <c r="F32" s="571"/>
      <c r="G32" s="571"/>
      <c r="H32" s="571"/>
      <c r="I32" s="572"/>
      <c r="J32" s="570" t="s">
        <v>274</v>
      </c>
      <c r="K32" s="571"/>
      <c r="L32" s="572"/>
      <c r="M32" s="570" t="s">
        <v>275</v>
      </c>
      <c r="N32" s="571"/>
      <c r="O32" s="572"/>
    </row>
    <row r="33" spans="1:15" ht="47.25" customHeight="1">
      <c r="A33" s="247"/>
      <c r="B33" s="585"/>
      <c r="C33" s="586"/>
      <c r="D33" s="587"/>
      <c r="E33" s="588"/>
      <c r="F33" s="589"/>
      <c r="G33" s="589"/>
      <c r="H33" s="589"/>
      <c r="I33" s="590"/>
      <c r="J33" s="582"/>
      <c r="K33" s="583"/>
      <c r="L33" s="584"/>
      <c r="M33" s="582"/>
      <c r="N33" s="583"/>
      <c r="O33" s="584"/>
    </row>
    <row r="34" spans="1:15" ht="59.25" customHeight="1">
      <c r="A34" s="247"/>
      <c r="B34" s="585"/>
      <c r="C34" s="586"/>
      <c r="D34" s="587"/>
      <c r="E34" s="588"/>
      <c r="F34" s="589"/>
      <c r="G34" s="589"/>
      <c r="H34" s="589"/>
      <c r="I34" s="590"/>
      <c r="J34" s="582"/>
      <c r="K34" s="583"/>
      <c r="L34" s="584"/>
      <c r="M34" s="582"/>
      <c r="N34" s="583"/>
      <c r="O34" s="584"/>
    </row>
    <row r="35" spans="1:15" ht="57.75" customHeight="1">
      <c r="A35" s="247"/>
      <c r="B35" s="585"/>
      <c r="C35" s="586"/>
      <c r="D35" s="587"/>
      <c r="E35" s="582"/>
      <c r="F35" s="583"/>
      <c r="G35" s="583"/>
      <c r="H35" s="583"/>
      <c r="I35" s="584"/>
      <c r="J35" s="582"/>
      <c r="K35" s="583"/>
      <c r="L35" s="584"/>
      <c r="M35" s="582"/>
      <c r="N35" s="583"/>
      <c r="O35" s="584"/>
    </row>
    <row r="36" spans="1:15" ht="9.75" customHeight="1">
      <c r="A36" s="247"/>
      <c r="B36" s="625"/>
      <c r="C36" s="626"/>
      <c r="D36" s="627"/>
      <c r="E36" s="248"/>
      <c r="F36" s="249"/>
      <c r="G36" s="249"/>
      <c r="H36" s="249"/>
      <c r="I36" s="250"/>
      <c r="J36" s="268"/>
      <c r="K36" s="269"/>
      <c r="L36" s="270"/>
      <c r="M36" s="268"/>
      <c r="N36" s="269"/>
      <c r="O36" s="270"/>
    </row>
    <row r="37" spans="1:15" ht="46.5" customHeight="1">
      <c r="A37" s="247"/>
      <c r="B37" s="585"/>
      <c r="C37" s="586"/>
      <c r="D37" s="587"/>
      <c r="E37" s="582"/>
      <c r="F37" s="623"/>
      <c r="G37" s="623"/>
      <c r="H37" s="623"/>
      <c r="I37" s="624"/>
      <c r="J37" s="263"/>
      <c r="K37" s="264"/>
      <c r="L37" s="265"/>
      <c r="M37" s="263"/>
      <c r="N37" s="264"/>
      <c r="O37" s="265"/>
    </row>
    <row r="38" spans="1:15" ht="69" customHeight="1">
      <c r="A38" s="247"/>
      <c r="B38" s="585"/>
      <c r="C38" s="586"/>
      <c r="D38" s="587"/>
      <c r="E38" s="588"/>
      <c r="F38" s="589"/>
      <c r="G38" s="589"/>
      <c r="H38" s="589"/>
      <c r="I38" s="590"/>
      <c r="J38" s="582"/>
      <c r="K38" s="583"/>
      <c r="L38" s="584"/>
      <c r="M38" s="582"/>
      <c r="N38" s="583"/>
      <c r="O38" s="584"/>
    </row>
    <row r="39" spans="1:15" ht="64.5" customHeight="1">
      <c r="A39" s="247"/>
      <c r="B39" s="585"/>
      <c r="C39" s="586"/>
      <c r="D39" s="587"/>
      <c r="E39" s="582"/>
      <c r="F39" s="583"/>
      <c r="G39" s="583"/>
      <c r="H39" s="583"/>
      <c r="I39" s="584"/>
      <c r="J39" s="263"/>
      <c r="K39" s="264"/>
      <c r="L39" s="265"/>
      <c r="M39" s="263"/>
      <c r="N39" s="264"/>
      <c r="O39" s="265"/>
    </row>
    <row r="40" spans="1:15" ht="45" customHeight="1">
      <c r="A40" s="247"/>
      <c r="B40" s="634"/>
      <c r="C40" s="635"/>
      <c r="D40" s="636"/>
      <c r="E40" s="631"/>
      <c r="F40" s="632"/>
      <c r="G40" s="632"/>
      <c r="H40" s="632"/>
      <c r="I40" s="633"/>
      <c r="J40" s="582"/>
      <c r="K40" s="583"/>
      <c r="L40" s="584"/>
      <c r="M40" s="582"/>
      <c r="N40" s="583"/>
      <c r="O40" s="584"/>
    </row>
    <row r="41" spans="1:15" ht="62.25" customHeight="1">
      <c r="A41" s="247"/>
      <c r="B41" s="591"/>
      <c r="C41" s="592"/>
      <c r="D41" s="593"/>
      <c r="E41" s="588"/>
      <c r="F41" s="589"/>
      <c r="G41" s="589"/>
      <c r="H41" s="589"/>
      <c r="I41" s="590"/>
      <c r="J41" s="582"/>
      <c r="K41" s="583"/>
      <c r="L41" s="584"/>
      <c r="M41" s="582"/>
      <c r="N41" s="583"/>
      <c r="O41" s="584"/>
    </row>
    <row r="42" spans="1:15" ht="84" customHeight="1">
      <c r="A42" s="247"/>
      <c r="B42" s="591"/>
      <c r="C42" s="592"/>
      <c r="D42" s="593"/>
      <c r="E42" s="582"/>
      <c r="F42" s="583"/>
      <c r="G42" s="583"/>
      <c r="H42" s="583"/>
      <c r="I42" s="584"/>
      <c r="J42" s="263"/>
      <c r="K42" s="264"/>
      <c r="L42" s="265"/>
      <c r="M42" s="263"/>
      <c r="N42" s="264"/>
      <c r="O42" s="265"/>
    </row>
    <row r="43" spans="1:15" ht="45" customHeight="1">
      <c r="A43" s="247"/>
      <c r="B43" s="591"/>
      <c r="C43" s="592"/>
      <c r="D43" s="593"/>
      <c r="E43" s="588"/>
      <c r="F43" s="589"/>
      <c r="G43" s="589"/>
      <c r="H43" s="589"/>
      <c r="I43" s="590"/>
      <c r="J43" s="582"/>
      <c r="K43" s="583"/>
      <c r="L43" s="584"/>
      <c r="M43" s="263"/>
      <c r="N43" s="264"/>
      <c r="O43" s="265"/>
    </row>
    <row r="44" spans="1:15" ht="64.5" customHeight="1">
      <c r="A44" s="247"/>
      <c r="B44" s="634"/>
      <c r="C44" s="635"/>
      <c r="D44" s="636"/>
      <c r="E44" s="588"/>
      <c r="F44" s="589"/>
      <c r="G44" s="589"/>
      <c r="H44" s="589"/>
      <c r="I44" s="590"/>
      <c r="J44" s="582"/>
      <c r="K44" s="583"/>
      <c r="L44" s="584"/>
      <c r="M44" s="263"/>
      <c r="N44" s="264"/>
      <c r="O44" s="265"/>
    </row>
    <row r="45" spans="1:15" ht="49.5" customHeight="1">
      <c r="B45" s="634"/>
      <c r="C45" s="635"/>
      <c r="D45" s="636"/>
      <c r="E45" s="588"/>
      <c r="F45" s="589"/>
      <c r="G45" s="589"/>
      <c r="H45" s="589"/>
      <c r="I45" s="590"/>
      <c r="J45" s="582"/>
      <c r="K45" s="583"/>
      <c r="L45" s="584"/>
      <c r="M45" s="263"/>
      <c r="N45" s="264"/>
      <c r="O45" s="265"/>
    </row>
    <row r="46" spans="1:15" ht="30" customHeight="1">
      <c r="B46" s="637"/>
      <c r="C46" s="638"/>
      <c r="D46" s="639"/>
      <c r="E46" s="251"/>
      <c r="F46" s="252"/>
      <c r="G46" s="252"/>
      <c r="H46" s="252"/>
      <c r="I46" s="253"/>
      <c r="J46" s="263"/>
      <c r="K46" s="264"/>
      <c r="L46" s="265"/>
      <c r="M46" s="263"/>
      <c r="N46" s="264"/>
      <c r="O46" s="265"/>
    </row>
    <row r="47" spans="1:15" ht="44.25" customHeight="1">
      <c r="B47" s="576" t="s">
        <v>298</v>
      </c>
      <c r="C47" s="577"/>
      <c r="D47" s="578"/>
      <c r="E47" s="579" t="s">
        <v>273</v>
      </c>
      <c r="F47" s="580"/>
      <c r="G47" s="580"/>
      <c r="H47" s="580"/>
      <c r="I47" s="581"/>
      <c r="J47" s="579" t="s">
        <v>274</v>
      </c>
      <c r="K47" s="580"/>
      <c r="L47" s="581"/>
      <c r="M47" s="579" t="s">
        <v>275</v>
      </c>
      <c r="N47" s="580"/>
      <c r="O47" s="581"/>
    </row>
    <row r="48" spans="1:15" ht="33.75" customHeight="1">
      <c r="B48" s="242"/>
      <c r="C48" s="243"/>
      <c r="D48" s="243"/>
      <c r="E48" s="236"/>
      <c r="F48" s="238"/>
      <c r="G48" s="238"/>
      <c r="H48" s="238"/>
      <c r="I48" s="238"/>
      <c r="J48" s="236"/>
      <c r="K48" s="236"/>
      <c r="L48" s="237"/>
      <c r="M48" s="235"/>
      <c r="N48" s="236"/>
      <c r="O48" s="237"/>
    </row>
    <row r="49" spans="2:15" ht="15.75" customHeight="1">
      <c r="B49" s="573" t="s">
        <v>295</v>
      </c>
      <c r="C49" s="574"/>
      <c r="D49" s="574"/>
      <c r="E49" s="574"/>
      <c r="F49" s="574"/>
      <c r="G49" s="574"/>
      <c r="H49" s="574"/>
      <c r="I49" s="574"/>
      <c r="J49" s="574"/>
      <c r="K49" s="574"/>
      <c r="L49" s="575"/>
      <c r="M49" s="564" t="s">
        <v>285</v>
      </c>
      <c r="N49" s="565"/>
      <c r="O49" s="566"/>
    </row>
    <row r="50" spans="2:15">
      <c r="D50" s="222"/>
    </row>
    <row r="52" spans="2:15">
      <c r="D52" s="222"/>
    </row>
    <row r="53" spans="2:15">
      <c r="D53" s="222"/>
    </row>
  </sheetData>
  <mergeCells count="120">
    <mergeCell ref="B41:D41"/>
    <mergeCell ref="B40:D40"/>
    <mergeCell ref="E41:I41"/>
    <mergeCell ref="B46:D46"/>
    <mergeCell ref="J43:L43"/>
    <mergeCell ref="J44:L44"/>
    <mergeCell ref="J45:L45"/>
    <mergeCell ref="E44:I44"/>
    <mergeCell ref="B44:D44"/>
    <mergeCell ref="B45:D45"/>
    <mergeCell ref="E45:I45"/>
    <mergeCell ref="B43:D43"/>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zoomScale="84" zoomScaleNormal="80" zoomScalePageLayoutView="90" workbookViewId="0">
      <selection activeCell="B1" sqref="B1"/>
    </sheetView>
  </sheetViews>
  <sheetFormatPr defaultColWidth="11" defaultRowHeight="15"/>
  <cols>
    <col min="1" max="1" width="2.7109375" customWidth="1"/>
    <col min="2" max="2" width="46.140625" customWidth="1"/>
    <col min="3" max="3" width="36"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87" t="s">
        <v>373</v>
      </c>
      <c r="C2" s="687"/>
      <c r="D2" s="687"/>
      <c r="E2" s="687"/>
      <c r="F2" s="687"/>
      <c r="G2" s="687"/>
      <c r="H2" s="687"/>
      <c r="I2" s="687"/>
      <c r="J2" s="687"/>
      <c r="K2" s="285"/>
      <c r="L2" s="285"/>
      <c r="M2" s="285"/>
    </row>
    <row r="3" spans="1:13" ht="4.5" customHeight="1">
      <c r="A3" s="3"/>
      <c r="B3" s="3"/>
      <c r="C3" s="3"/>
      <c r="D3" s="3"/>
      <c r="E3" s="3"/>
      <c r="F3" s="3"/>
      <c r="G3" s="3"/>
      <c r="H3" s="3"/>
      <c r="I3" s="3"/>
      <c r="J3" s="3"/>
      <c r="K3" s="3"/>
      <c r="L3" s="3"/>
      <c r="M3" s="3"/>
    </row>
    <row r="4" spans="1:13">
      <c r="A4" s="3"/>
      <c r="B4" s="283" t="s">
        <v>25</v>
      </c>
      <c r="C4" s="720" t="s">
        <v>176</v>
      </c>
      <c r="D4" s="721"/>
      <c r="E4" s="693" t="s">
        <v>11</v>
      </c>
      <c r="F4" s="693"/>
      <c r="G4" s="722" t="s">
        <v>445</v>
      </c>
      <c r="H4" s="723"/>
      <c r="I4" s="723"/>
      <c r="J4" s="724"/>
      <c r="K4" s="3"/>
      <c r="L4" s="3"/>
      <c r="M4" s="3"/>
    </row>
    <row r="5" spans="1:13" ht="3" customHeight="1">
      <c r="A5" s="3"/>
      <c r="B5" s="283"/>
      <c r="C5" s="3"/>
      <c r="D5" s="3"/>
      <c r="E5" s="286"/>
      <c r="F5" s="286"/>
      <c r="G5" s="3"/>
      <c r="H5" s="3"/>
      <c r="I5" s="3"/>
      <c r="J5" s="3"/>
      <c r="K5" s="3"/>
      <c r="L5" s="3"/>
      <c r="M5" s="3"/>
    </row>
    <row r="6" spans="1:13">
      <c r="A6" s="3"/>
      <c r="B6" s="283" t="s">
        <v>116</v>
      </c>
      <c r="C6" s="720" t="s">
        <v>413</v>
      </c>
      <c r="D6" s="721"/>
      <c r="E6" s="693" t="s">
        <v>26</v>
      </c>
      <c r="F6" s="693"/>
      <c r="G6" s="314" t="s">
        <v>27</v>
      </c>
      <c r="H6" s="283" t="s">
        <v>321</v>
      </c>
      <c r="I6" s="727">
        <v>18462163</v>
      </c>
      <c r="J6" s="728"/>
      <c r="K6" s="3"/>
      <c r="L6" s="3"/>
      <c r="M6" s="3"/>
    </row>
    <row r="7" spans="1:13" ht="3" customHeight="1">
      <c r="A7" s="3"/>
      <c r="B7" s="283"/>
      <c r="C7" s="3"/>
      <c r="D7" s="3"/>
      <c r="E7" s="286"/>
      <c r="F7" s="286"/>
      <c r="G7" s="3"/>
      <c r="H7" s="283"/>
      <c r="I7" s="3"/>
      <c r="J7" s="3"/>
      <c r="K7" s="3"/>
      <c r="L7" s="3"/>
      <c r="M7" s="3"/>
    </row>
    <row r="8" spans="1:13">
      <c r="A8" s="3"/>
      <c r="B8" s="283" t="s">
        <v>268</v>
      </c>
      <c r="C8" s="720" t="s">
        <v>414</v>
      </c>
      <c r="D8" s="721"/>
      <c r="E8" s="287"/>
      <c r="F8" s="282" t="s">
        <v>323</v>
      </c>
      <c r="G8" s="451" t="s">
        <v>444</v>
      </c>
      <c r="H8" s="282" t="s">
        <v>322</v>
      </c>
      <c r="I8" s="731" t="s">
        <v>443</v>
      </c>
      <c r="J8" s="732"/>
      <c r="K8" s="3"/>
      <c r="L8" s="3"/>
      <c r="M8" s="3"/>
    </row>
    <row r="9" spans="1:13" ht="3" customHeight="1">
      <c r="A9" s="3"/>
      <c r="B9" s="286"/>
      <c r="C9" s="3"/>
      <c r="D9" s="3"/>
      <c r="E9" s="286"/>
      <c r="F9" s="286"/>
      <c r="G9" s="3"/>
      <c r="H9" s="3"/>
      <c r="I9" s="3"/>
      <c r="J9" s="3"/>
      <c r="K9" s="3"/>
      <c r="L9" s="3"/>
      <c r="M9" s="3"/>
    </row>
    <row r="10" spans="1:13">
      <c r="A10" s="3"/>
      <c r="B10" s="283" t="s">
        <v>402</v>
      </c>
      <c r="C10" s="733">
        <v>42552</v>
      </c>
      <c r="D10" s="734"/>
      <c r="E10" s="725" t="s">
        <v>30</v>
      </c>
      <c r="F10" s="726"/>
      <c r="G10" s="720" t="s">
        <v>262</v>
      </c>
      <c r="H10" s="730"/>
      <c r="I10" s="730"/>
      <c r="J10" s="721"/>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735" t="s">
        <v>44</v>
      </c>
      <c r="D12" s="735"/>
      <c r="E12" s="725" t="s">
        <v>289</v>
      </c>
      <c r="F12" s="693"/>
      <c r="G12" s="729" t="s">
        <v>458</v>
      </c>
      <c r="H12" s="729"/>
      <c r="I12" s="729"/>
      <c r="J12" s="729"/>
      <c r="K12" s="3"/>
      <c r="L12" s="3"/>
      <c r="M12" s="3"/>
    </row>
    <row r="13" spans="1:13" ht="5.25" customHeight="1">
      <c r="A13" s="3"/>
      <c r="B13" s="3"/>
      <c r="C13" s="3"/>
      <c r="D13" s="3"/>
      <c r="E13" s="3"/>
      <c r="F13" s="3"/>
      <c r="G13" s="3"/>
      <c r="H13" s="3"/>
      <c r="I13" s="3"/>
      <c r="J13" s="3"/>
      <c r="K13" s="3"/>
      <c r="L13" s="3"/>
      <c r="M13" s="3"/>
    </row>
    <row r="14" spans="1:13" ht="15.75" customHeight="1">
      <c r="A14" s="3"/>
      <c r="B14" s="687" t="s">
        <v>2</v>
      </c>
      <c r="C14" s="687"/>
      <c r="D14" s="687"/>
      <c r="E14" s="687"/>
      <c r="F14" s="687"/>
      <c r="G14" s="687"/>
      <c r="H14" s="687"/>
      <c r="I14" s="687"/>
      <c r="J14" s="687"/>
      <c r="K14" s="3"/>
      <c r="L14" s="3"/>
      <c r="M14" s="3"/>
    </row>
    <row r="15" spans="1:13" ht="3" customHeight="1">
      <c r="A15" s="3"/>
      <c r="B15" s="3"/>
      <c r="C15" s="3"/>
      <c r="D15" s="3"/>
      <c r="E15" s="3"/>
      <c r="F15" s="3"/>
      <c r="G15" s="3"/>
      <c r="H15" s="3"/>
      <c r="I15" s="3"/>
      <c r="J15" s="3"/>
      <c r="K15" s="3"/>
      <c r="L15" s="3"/>
      <c r="M15" s="3"/>
    </row>
    <row r="16" spans="1:13">
      <c r="A16" s="3"/>
      <c r="B16" s="283" t="s">
        <v>20</v>
      </c>
      <c r="C16" s="398" t="s">
        <v>122</v>
      </c>
      <c r="D16" s="282" t="s">
        <v>324</v>
      </c>
      <c r="E16" s="288">
        <v>43101</v>
      </c>
      <c r="F16" s="284" t="s">
        <v>8</v>
      </c>
      <c r="G16" s="288">
        <v>43190</v>
      </c>
      <c r="H16" s="725" t="s">
        <v>325</v>
      </c>
      <c r="I16" s="726"/>
      <c r="J16" s="452">
        <v>43206</v>
      </c>
      <c r="K16" s="3"/>
      <c r="L16" s="3"/>
      <c r="M16" s="3"/>
    </row>
    <row r="17" spans="1:35" ht="3" customHeight="1">
      <c r="A17" s="3"/>
      <c r="B17" s="3"/>
      <c r="C17" s="3"/>
      <c r="D17" s="3"/>
      <c r="E17" s="3"/>
      <c r="F17" s="3"/>
      <c r="G17" s="3"/>
      <c r="H17" s="3"/>
      <c r="I17" s="3"/>
      <c r="J17" s="3"/>
      <c r="K17" s="3"/>
      <c r="L17" s="3"/>
      <c r="M17" s="3"/>
    </row>
    <row r="18" spans="1:35">
      <c r="A18" s="3"/>
      <c r="B18" s="738" t="s">
        <v>31</v>
      </c>
      <c r="C18" s="726"/>
      <c r="D18" s="739" t="s">
        <v>415</v>
      </c>
      <c r="E18" s="739"/>
      <c r="F18" s="739"/>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87" t="s">
        <v>362</v>
      </c>
      <c r="C21" s="687"/>
      <c r="D21" s="687"/>
      <c r="E21" s="687"/>
      <c r="F21" s="687"/>
      <c r="G21" s="687"/>
      <c r="H21" s="687"/>
      <c r="I21" s="687"/>
      <c r="J21" s="687"/>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5.75" thickBot="1">
      <c r="A24" s="3"/>
      <c r="B24" s="283" t="s">
        <v>398</v>
      </c>
      <c r="C24" s="389"/>
      <c r="D24" s="693" t="s">
        <v>399</v>
      </c>
      <c r="E24" s="693"/>
      <c r="F24" s="390"/>
      <c r="G24" s="693" t="s">
        <v>400</v>
      </c>
      <c r="H24" s="693"/>
      <c r="I24" s="685"/>
      <c r="J24" s="686"/>
      <c r="K24" s="3"/>
      <c r="L24" s="3"/>
      <c r="M24" s="3"/>
      <c r="N24" s="20"/>
    </row>
    <row r="25" spans="1:35" ht="19.5" thickBot="1">
      <c r="A25" s="3"/>
      <c r="B25" s="87" t="s">
        <v>398</v>
      </c>
      <c r="C25" s="88"/>
      <c r="D25" s="88"/>
      <c r="E25" s="88"/>
      <c r="F25" s="88"/>
      <c r="G25" s="88"/>
      <c r="H25" s="271"/>
      <c r="I25" s="89"/>
      <c r="J25" s="89"/>
      <c r="K25" s="271" t="s">
        <v>326</v>
      </c>
      <c r="L25" s="88"/>
      <c r="M25" s="88"/>
      <c r="N25" s="399"/>
      <c r="O25" s="40"/>
      <c r="AI25" s="44"/>
    </row>
    <row r="26" spans="1:35">
      <c r="A26" s="3"/>
      <c r="B26" s="698" t="s">
        <v>369</v>
      </c>
      <c r="C26" s="699"/>
      <c r="D26" s="409" t="s">
        <v>18</v>
      </c>
      <c r="E26" s="91"/>
      <c r="F26" s="91"/>
      <c r="G26" s="91"/>
      <c r="H26" s="91"/>
      <c r="I26" s="91"/>
      <c r="J26" s="92"/>
      <c r="K26" s="91"/>
      <c r="L26" s="91"/>
      <c r="M26" s="91"/>
      <c r="N26" s="40"/>
      <c r="O26" s="40"/>
      <c r="AI26" s="44"/>
    </row>
    <row r="27" spans="1:35" ht="18.75">
      <c r="A27" s="3"/>
      <c r="B27" s="90" t="s">
        <v>379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41" t="s">
        <v>59</v>
      </c>
      <c r="C29" s="742"/>
      <c r="D29" s="742"/>
      <c r="E29" s="742"/>
      <c r="F29" s="742"/>
      <c r="G29" s="742"/>
      <c r="H29" s="742"/>
      <c r="I29" s="742"/>
      <c r="J29" s="742"/>
      <c r="K29" s="742"/>
      <c r="L29" s="742"/>
      <c r="M29" s="742"/>
      <c r="N29" s="743"/>
      <c r="P29" s="207"/>
      <c r="Q29" s="208"/>
      <c r="R29" s="209">
        <f>+C33</f>
        <v>2566060.5206649359</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287</v>
      </c>
      <c r="O30" s="370" t="s">
        <v>4</v>
      </c>
      <c r="P30" s="207"/>
      <c r="Q30" s="208"/>
      <c r="R30" s="209">
        <f>+D33</f>
        <v>4646843.1347466186</v>
      </c>
      <c r="S30" s="207"/>
    </row>
    <row r="31" spans="1:35">
      <c r="A31" s="3"/>
      <c r="B31" s="279" t="str">
        <f>CONCATENATE("Budget (in ",'Data Entry'!$D$26,")")</f>
        <v>Budget (in $)</v>
      </c>
      <c r="C31" s="380">
        <v>2566060.5206649359</v>
      </c>
      <c r="D31" s="379">
        <v>2080782.6140816831</v>
      </c>
      <c r="E31" s="379">
        <v>1194323.617963203</v>
      </c>
      <c r="F31" s="379">
        <v>2692690.7387130852</v>
      </c>
      <c r="G31" s="379">
        <v>2083062.970859054</v>
      </c>
      <c r="H31" s="379">
        <v>1112385.8327939734</v>
      </c>
      <c r="I31" s="379">
        <v>857624.84596905019</v>
      </c>
      <c r="J31" s="379">
        <v>2067591.4070877179</v>
      </c>
      <c r="K31" s="379">
        <v>1101427.635364691</v>
      </c>
      <c r="L31" s="379">
        <v>860466.89199783921</v>
      </c>
      <c r="M31" s="379">
        <v>1026776.3460958237</v>
      </c>
      <c r="N31" s="379">
        <v>818969.75864555466</v>
      </c>
      <c r="O31" s="676">
        <f>+SUM(C35:N35)</f>
        <v>0.81451449643418361</v>
      </c>
      <c r="P31" s="207"/>
      <c r="Q31" s="208"/>
      <c r="R31" s="209">
        <f>+E33</f>
        <v>5841166.7527098218</v>
      </c>
      <c r="S31" s="207"/>
    </row>
    <row r="32" spans="1:35">
      <c r="A32" s="3"/>
      <c r="B32" s="93" t="str">
        <f>CONCATENATE("Disbursements by GF (in ", $D$26,")")</f>
        <v>Disbursements by GF (in $)</v>
      </c>
      <c r="C32" s="380">
        <f>1284254+627977.72</f>
        <v>1912231.72</v>
      </c>
      <c r="D32" s="380">
        <v>2063549.52</v>
      </c>
      <c r="E32" s="380">
        <f>46228.15+1194324+8961.78</f>
        <v>1249513.93</v>
      </c>
      <c r="F32" s="379">
        <f>139128.72+2179909</f>
        <v>2319037.7200000002</v>
      </c>
      <c r="G32" s="380">
        <f>160958.98+296740.97+191379</f>
        <v>649078.94999999995</v>
      </c>
      <c r="H32" s="380">
        <v>1250230.19</v>
      </c>
      <c r="I32" s="379">
        <v>808595.85</v>
      </c>
      <c r="J32" s="379"/>
      <c r="K32" s="379"/>
      <c r="L32" s="379"/>
      <c r="M32" s="379"/>
      <c r="N32" s="379"/>
      <c r="O32" s="677"/>
      <c r="P32" s="207"/>
      <c r="Q32" s="208"/>
      <c r="R32" s="209">
        <f>+F33</f>
        <v>8533857.4914229065</v>
      </c>
      <c r="S32" s="207"/>
    </row>
    <row r="33" spans="1:35">
      <c r="A33" s="3"/>
      <c r="B33" s="94" t="s">
        <v>385</v>
      </c>
      <c r="C33" s="381">
        <f>+C31</f>
        <v>2566060.5206649359</v>
      </c>
      <c r="D33" s="381">
        <f>IF(AND(D31=0,D32=0),0,+C33+D31)</f>
        <v>4646843.1347466186</v>
      </c>
      <c r="E33" s="381">
        <f t="shared" ref="E33:N33" si="0">IF(AND(E31=0,E32=0),0,+D33+E31)</f>
        <v>5841166.7527098218</v>
      </c>
      <c r="F33" s="381">
        <f t="shared" si="0"/>
        <v>8533857.4914229065</v>
      </c>
      <c r="G33" s="381">
        <f t="shared" si="0"/>
        <v>10616920.462281961</v>
      </c>
      <c r="H33" s="381">
        <f t="shared" si="0"/>
        <v>11729306.295075934</v>
      </c>
      <c r="I33" s="381">
        <f t="shared" si="0"/>
        <v>12586931.141044986</v>
      </c>
      <c r="J33" s="381">
        <f t="shared" si="0"/>
        <v>14654522.548132703</v>
      </c>
      <c r="K33" s="381">
        <f t="shared" si="0"/>
        <v>15755950.183497394</v>
      </c>
      <c r="L33" s="381">
        <f t="shared" si="0"/>
        <v>16616417.075495232</v>
      </c>
      <c r="M33" s="381">
        <f t="shared" si="0"/>
        <v>17643193.421591055</v>
      </c>
      <c r="N33" s="381">
        <f t="shared" si="0"/>
        <v>18462163.180236608</v>
      </c>
      <c r="O33" s="677"/>
      <c r="P33" s="362"/>
      <c r="Q33" s="208"/>
      <c r="R33" s="209">
        <f>+G33</f>
        <v>10616920.462281961</v>
      </c>
      <c r="S33" s="207"/>
    </row>
    <row r="34" spans="1:35" ht="15.75" thickBot="1">
      <c r="A34" s="3"/>
      <c r="B34" s="95" t="s">
        <v>386</v>
      </c>
      <c r="C34" s="382">
        <f>+C32</f>
        <v>1912231.72</v>
      </c>
      <c r="D34" s="382">
        <f>IF(AND(D31=0,D32=0),0,+C34+D32)</f>
        <v>3975781.24</v>
      </c>
      <c r="E34" s="382">
        <f t="shared" ref="E34:N34" si="1">IF(AND(E31=0,E32=0),0,+D34+E32)</f>
        <v>5225295.17</v>
      </c>
      <c r="F34" s="382">
        <f t="shared" si="1"/>
        <v>7544332.8900000006</v>
      </c>
      <c r="G34" s="382">
        <f>IF(AND(G31=0,G32=0),0,+F34+G32)</f>
        <v>8193411.8400000008</v>
      </c>
      <c r="H34" s="382">
        <f t="shared" si="1"/>
        <v>9443642.0300000012</v>
      </c>
      <c r="I34" s="382">
        <f t="shared" si="1"/>
        <v>10252237.880000001</v>
      </c>
      <c r="J34" s="382">
        <f t="shared" si="1"/>
        <v>10252237.880000001</v>
      </c>
      <c r="K34" s="382">
        <f t="shared" si="1"/>
        <v>10252237.880000001</v>
      </c>
      <c r="L34" s="382">
        <f t="shared" si="1"/>
        <v>10252237.880000001</v>
      </c>
      <c r="M34" s="382">
        <f t="shared" si="1"/>
        <v>10252237.880000001</v>
      </c>
      <c r="N34" s="382">
        <f t="shared" si="1"/>
        <v>10252237.880000001</v>
      </c>
      <c r="O34" s="678"/>
      <c r="P34" s="362"/>
      <c r="Q34" s="208"/>
      <c r="R34" s="209">
        <f>+H33</f>
        <v>11729306.295075934</v>
      </c>
      <c r="S34" s="207"/>
    </row>
    <row r="35" spans="1:35">
      <c r="A35" s="3"/>
      <c r="B35" s="3"/>
      <c r="C35" s="342">
        <f>+IF(AND(C30=$C$16,C33&lt;&gt;0),C34/C33,0)</f>
        <v>0</v>
      </c>
      <c r="D35" s="342">
        <f t="shared" ref="D35:N35" si="2">+IF(AND(D30=$C$16,D33&lt;&gt;0),D34/D33,0)</f>
        <v>0</v>
      </c>
      <c r="E35" s="342">
        <f t="shared" si="2"/>
        <v>0</v>
      </c>
      <c r="F35" s="342">
        <f t="shared" si="2"/>
        <v>0</v>
      </c>
      <c r="G35" s="342">
        <f t="shared" si="2"/>
        <v>0</v>
      </c>
      <c r="H35" s="342">
        <f t="shared" si="2"/>
        <v>0</v>
      </c>
      <c r="I35" s="342">
        <f t="shared" si="2"/>
        <v>0.81451449643418361</v>
      </c>
      <c r="J35" s="342">
        <f t="shared" si="2"/>
        <v>0</v>
      </c>
      <c r="K35" s="342">
        <f t="shared" si="2"/>
        <v>0</v>
      </c>
      <c r="L35" s="342">
        <f t="shared" si="2"/>
        <v>0</v>
      </c>
      <c r="M35" s="342">
        <f t="shared" si="2"/>
        <v>0</v>
      </c>
      <c r="N35" s="342">
        <f t="shared" si="2"/>
        <v>0</v>
      </c>
      <c r="O35" s="291"/>
      <c r="P35" s="210"/>
      <c r="Q35" s="211"/>
      <c r="R35" s="209">
        <f>+I33</f>
        <v>12586931.141044986</v>
      </c>
      <c r="S35" s="207"/>
    </row>
    <row r="36" spans="1:35" ht="18.75">
      <c r="A36" s="3"/>
      <c r="B36" s="90" t="s">
        <v>378</v>
      </c>
      <c r="C36" s="3"/>
      <c r="D36" s="3"/>
      <c r="E36" s="356"/>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1" t="s">
        <v>401</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419</v>
      </c>
      <c r="C39" s="476">
        <v>1205878.5875242837</v>
      </c>
      <c r="D39" s="477">
        <v>772064.45418238104</v>
      </c>
      <c r="G39" s="363"/>
      <c r="H39" s="3"/>
      <c r="I39" s="3"/>
      <c r="J39" s="102"/>
      <c r="K39" s="43"/>
      <c r="N39"/>
      <c r="O39"/>
      <c r="AE39" s="20"/>
      <c r="AF39" s="36"/>
    </row>
    <row r="40" spans="1:35" ht="27" customHeight="1">
      <c r="A40" s="3"/>
      <c r="B40" s="394" t="s">
        <v>420</v>
      </c>
      <c r="C40" s="476">
        <v>727586.2795508391</v>
      </c>
      <c r="D40" s="477">
        <v>481661.85302290798</v>
      </c>
      <c r="G40" s="363"/>
      <c r="H40" s="3"/>
      <c r="I40" s="3"/>
      <c r="J40" s="3"/>
      <c r="K40" s="43"/>
      <c r="N40"/>
      <c r="O40"/>
      <c r="AE40" s="20"/>
      <c r="AF40" s="36"/>
    </row>
    <row r="41" spans="1:35" ht="29.1" customHeight="1">
      <c r="A41" s="3"/>
      <c r="B41" s="394" t="s">
        <v>421</v>
      </c>
      <c r="C41" s="476">
        <v>4081814.8258208768</v>
      </c>
      <c r="D41" s="477">
        <v>3405411.38447162</v>
      </c>
      <c r="G41" s="3"/>
      <c r="H41" s="3"/>
      <c r="I41" s="3"/>
      <c r="J41" s="3"/>
      <c r="K41" s="43"/>
      <c r="N41"/>
      <c r="O41"/>
      <c r="AE41" s="20"/>
      <c r="AF41" s="36"/>
    </row>
    <row r="42" spans="1:35" ht="30" customHeight="1">
      <c r="A42" s="3"/>
      <c r="B42" s="394" t="s">
        <v>422</v>
      </c>
      <c r="C42" s="476">
        <v>166613.00749550312</v>
      </c>
      <c r="D42" s="477">
        <v>95651.246798623688</v>
      </c>
      <c r="G42" s="3"/>
      <c r="H42" s="3"/>
      <c r="I42" s="3"/>
      <c r="J42" s="3"/>
      <c r="K42" s="20"/>
      <c r="N42"/>
      <c r="O42"/>
      <c r="AE42" s="20"/>
      <c r="AF42" s="36"/>
    </row>
    <row r="43" spans="1:35">
      <c r="A43" s="3"/>
      <c r="B43" s="395" t="s">
        <v>423</v>
      </c>
      <c r="C43" s="476">
        <v>4826080.179094634</v>
      </c>
      <c r="D43" s="477">
        <v>3416992.3227150906</v>
      </c>
      <c r="G43" s="3"/>
      <c r="H43" s="3"/>
      <c r="I43" s="3"/>
      <c r="J43" s="3"/>
      <c r="K43" s="20"/>
      <c r="N43"/>
      <c r="O43"/>
      <c r="AE43" s="20"/>
      <c r="AF43" s="36"/>
    </row>
    <row r="44" spans="1:35">
      <c r="A44" s="3"/>
      <c r="B44" s="395" t="s">
        <v>424</v>
      </c>
      <c r="C44" s="476">
        <v>618251.17102455534</v>
      </c>
      <c r="D44" s="477">
        <v>329899.65993814863</v>
      </c>
      <c r="G44" s="3"/>
      <c r="H44" s="3"/>
      <c r="I44" s="3"/>
      <c r="J44" s="3"/>
      <c r="K44" s="20"/>
      <c r="N44"/>
      <c r="O44"/>
      <c r="AE44" s="20"/>
      <c r="AF44" s="36"/>
    </row>
    <row r="45" spans="1:35">
      <c r="A45" s="3"/>
      <c r="B45" s="395" t="s">
        <v>425</v>
      </c>
      <c r="C45" s="476">
        <v>392405.39705419127</v>
      </c>
      <c r="D45" s="477">
        <v>263283.12817129045</v>
      </c>
      <c r="G45" s="15"/>
      <c r="H45" s="15"/>
      <c r="I45" s="15"/>
      <c r="J45" s="15"/>
      <c r="K45" s="20"/>
      <c r="N45"/>
      <c r="O45"/>
      <c r="AE45" s="36"/>
      <c r="AF45" s="36"/>
    </row>
    <row r="46" spans="1:35" ht="15.75" thickBot="1">
      <c r="A46" s="3"/>
      <c r="B46" s="396" t="s">
        <v>426</v>
      </c>
      <c r="C46" s="476">
        <v>568301.69348010165</v>
      </c>
      <c r="D46" s="477">
        <v>593092.97864573891</v>
      </c>
      <c r="G46" s="15"/>
      <c r="H46" s="15"/>
      <c r="I46" s="15"/>
      <c r="J46" s="15"/>
      <c r="K46" s="20"/>
      <c r="N46"/>
      <c r="O46"/>
      <c r="AE46" s="36"/>
      <c r="AF46" s="36"/>
    </row>
    <row r="47" spans="1:35" ht="15.75" thickBot="1">
      <c r="A47" s="3"/>
      <c r="B47" s="397" t="s">
        <v>58</v>
      </c>
      <c r="C47" s="478">
        <f>SUM(C39:C46)</f>
        <v>12586931.141044986</v>
      </c>
      <c r="D47" s="478">
        <f>SUM(D39:D46)</f>
        <v>9358057.0279458016</v>
      </c>
      <c r="E47" s="291"/>
      <c r="F47" s="682" t="str">
        <f ca="1">+IF((ROUND(C47,0)=ROUND(OFFSET(B33,0,RIGHT('Data Entry'!$C$16,LEN('Data Entry'!$C$16)-1),1,1),0)),"OK: Data match","Warning: Data does not match")</f>
        <v>OK: Data match</v>
      </c>
      <c r="G47" s="683"/>
      <c r="H47" s="683"/>
      <c r="I47" s="684"/>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8.75">
      <c r="A49" s="3"/>
      <c r="B49" s="90" t="s">
        <v>377</v>
      </c>
      <c r="C49" s="3"/>
      <c r="D49" s="3"/>
      <c r="E49" s="3"/>
      <c r="F49" s="3"/>
      <c r="G49" s="3"/>
      <c r="H49" s="3"/>
      <c r="I49" s="3"/>
      <c r="J49" s="3"/>
      <c r="K49" s="3"/>
      <c r="L49" s="3"/>
      <c r="M49" s="3"/>
      <c r="P49" s="207"/>
      <c r="Q49" s="208"/>
      <c r="R49" s="209">
        <f>+J33</f>
        <v>14654522.548132703</v>
      </c>
      <c r="S49" s="207"/>
    </row>
    <row r="50" spans="1:35" ht="15.75" thickBot="1">
      <c r="A50" s="3"/>
      <c r="B50" s="3"/>
      <c r="C50" s="3"/>
      <c r="D50" s="3"/>
      <c r="E50" s="3"/>
      <c r="F50" s="201"/>
      <c r="G50" s="3"/>
      <c r="H50" s="3"/>
      <c r="I50" s="3"/>
      <c r="J50" s="3"/>
      <c r="K50" s="3"/>
      <c r="L50" s="3"/>
      <c r="M50" s="3"/>
      <c r="P50" s="207"/>
      <c r="Q50" s="208"/>
      <c r="R50" s="209">
        <f>+K33</f>
        <v>15755950.183497394</v>
      </c>
      <c r="S50" s="207"/>
    </row>
    <row r="51" spans="1:35" ht="35.25" customHeight="1">
      <c r="A51" s="3"/>
      <c r="B51" s="296"/>
      <c r="C51" s="297" t="s">
        <v>375</v>
      </c>
      <c r="D51" s="297" t="s">
        <v>376</v>
      </c>
      <c r="E51" s="405" t="str">
        <f>CONCATENATE("Total Spent and Disbursement (in ",D26,")")</f>
        <v>Total Spent and Disbursement (in $)</v>
      </c>
      <c r="F51" s="3"/>
      <c r="G51" s="300"/>
      <c r="H51" s="293"/>
      <c r="I51" s="280"/>
      <c r="J51" s="280"/>
      <c r="K51" s="280"/>
      <c r="L51" s="280"/>
      <c r="M51" s="22"/>
      <c r="N51" s="22"/>
      <c r="O51" s="207"/>
      <c r="P51" s="208"/>
      <c r="Q51" s="209">
        <f>+M33</f>
        <v>17643193.421591055</v>
      </c>
      <c r="R51" s="207"/>
      <c r="AH51" s="20"/>
    </row>
    <row r="52" spans="1:35">
      <c r="A52" s="3"/>
      <c r="B52" s="294" t="s">
        <v>311</v>
      </c>
      <c r="C52" s="383">
        <f>C32+D32+E32+F32+G32+H32</f>
        <v>9443642.0300000012</v>
      </c>
      <c r="D52" s="384">
        <f>I32</f>
        <v>808595.85</v>
      </c>
      <c r="E52" s="385">
        <f>+D52+C52</f>
        <v>10252237.880000001</v>
      </c>
      <c r="F52" s="3"/>
      <c r="G52" s="97"/>
      <c r="H52" s="298"/>
      <c r="I52" s="96"/>
      <c r="J52" s="204"/>
      <c r="K52" s="205"/>
      <c r="L52" s="98"/>
      <c r="M52" s="37"/>
      <c r="N52" s="37"/>
      <c r="O52" s="207"/>
      <c r="P52" s="207"/>
      <c r="Q52" s="207"/>
      <c r="R52" s="207"/>
      <c r="AH52" s="20"/>
    </row>
    <row r="53" spans="1:35">
      <c r="A53" s="3"/>
      <c r="B53" s="294" t="s">
        <v>290</v>
      </c>
      <c r="C53" s="384">
        <f>703487.022184008+324022+486657.600967515+502177+724933+869904</f>
        <v>3611180.6231515231</v>
      </c>
      <c r="D53" s="384">
        <v>266126</v>
      </c>
      <c r="E53" s="385">
        <f>+D53+C53</f>
        <v>3877306.6231515231</v>
      </c>
      <c r="F53" s="3"/>
      <c r="G53" s="256"/>
      <c r="H53" s="298"/>
      <c r="I53" s="96"/>
      <c r="J53" s="204"/>
      <c r="K53" s="204"/>
      <c r="L53" s="98"/>
      <c r="M53" s="38"/>
      <c r="N53" s="38"/>
      <c r="O53" s="207"/>
      <c r="P53" s="207"/>
      <c r="Q53" s="207"/>
      <c r="R53" s="207"/>
      <c r="AH53" s="20"/>
    </row>
    <row r="54" spans="1:35">
      <c r="A54" s="3"/>
      <c r="B54" s="294" t="s">
        <v>269</v>
      </c>
      <c r="C54" s="383">
        <f>507991.098523064+830667+889412.602206352+996498+789637+724509</f>
        <v>4738714.7007294167</v>
      </c>
      <c r="D54" s="384">
        <v>742036</v>
      </c>
      <c r="E54" s="385">
        <f>+D54+C54</f>
        <v>5480750.7007294167</v>
      </c>
      <c r="F54" s="201"/>
      <c r="G54" s="97"/>
      <c r="H54" s="298"/>
      <c r="I54" s="96"/>
      <c r="J54" s="204"/>
      <c r="K54" s="205"/>
      <c r="L54" s="98"/>
      <c r="M54" s="37"/>
      <c r="N54" s="37"/>
      <c r="O54"/>
      <c r="AH54" s="20"/>
    </row>
    <row r="55" spans="1:35" ht="15.75" thickBot="1">
      <c r="A55" s="3"/>
      <c r="B55" s="295" t="s">
        <v>270</v>
      </c>
      <c r="C55" s="383">
        <f>764021.040635127+802958+900675.008677189+986602.37+744879+734675</f>
        <v>4933810.419312316</v>
      </c>
      <c r="D55" s="384">
        <v>697452.7</v>
      </c>
      <c r="E55" s="386">
        <f>+D55+C55</f>
        <v>5631263.1193123162</v>
      </c>
      <c r="F55" s="3"/>
      <c r="G55" s="257"/>
      <c r="H55" s="299"/>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8"/>
      <c r="E57" s="3"/>
      <c r="F57" s="3"/>
      <c r="G57" s="3"/>
      <c r="H57" s="3"/>
      <c r="I57" s="3"/>
      <c r="J57" s="3"/>
      <c r="K57" s="3"/>
      <c r="L57" s="3"/>
      <c r="M57" s="3"/>
    </row>
    <row r="58" spans="1:35" ht="18.75">
      <c r="A58" s="3"/>
      <c r="B58" s="90" t="s">
        <v>380</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50" t="s">
        <v>346</v>
      </c>
      <c r="C60" s="751"/>
      <c r="D60" s="752"/>
      <c r="E60" s="3"/>
      <c r="F60" s="3"/>
      <c r="G60" s="3"/>
      <c r="H60" s="3"/>
      <c r="I60" s="3"/>
      <c r="J60" s="3"/>
      <c r="K60" s="3"/>
      <c r="L60" s="3"/>
      <c r="M60" s="36"/>
      <c r="O60"/>
    </row>
    <row r="61" spans="1:35">
      <c r="A61" s="3"/>
      <c r="B61" s="103"/>
      <c r="C61" s="302" t="s">
        <v>60</v>
      </c>
      <c r="D61" s="303" t="s">
        <v>61</v>
      </c>
      <c r="E61" s="3"/>
      <c r="F61" s="3"/>
      <c r="G61" s="3"/>
      <c r="H61" s="3"/>
      <c r="I61" s="3"/>
      <c r="J61" s="3"/>
      <c r="K61" s="3"/>
      <c r="L61" s="3"/>
      <c r="M61" s="36"/>
      <c r="O61"/>
    </row>
    <row r="62" spans="1:35">
      <c r="A62" s="3"/>
      <c r="B62" s="104" t="s">
        <v>1</v>
      </c>
      <c r="C62" s="364">
        <v>95</v>
      </c>
      <c r="D62" s="365" t="s">
        <v>443</v>
      </c>
      <c r="E62" s="3"/>
      <c r="F62" s="3"/>
      <c r="G62" s="3"/>
      <c r="H62" s="3"/>
      <c r="I62" s="3"/>
      <c r="J62" s="3"/>
      <c r="K62" s="3"/>
      <c r="L62" s="3"/>
      <c r="M62" s="36"/>
      <c r="O62"/>
    </row>
    <row r="63" spans="1:35">
      <c r="A63" s="3"/>
      <c r="B63" s="301" t="s">
        <v>363</v>
      </c>
      <c r="C63" s="364">
        <v>45</v>
      </c>
      <c r="D63" s="365" t="s">
        <v>443</v>
      </c>
      <c r="E63" s="3"/>
      <c r="F63" s="3"/>
      <c r="G63" s="3"/>
      <c r="H63" s="298"/>
      <c r="I63" s="298"/>
      <c r="J63" s="3"/>
      <c r="K63" s="3"/>
      <c r="L63" s="3"/>
      <c r="M63" s="36"/>
      <c r="O63"/>
    </row>
    <row r="64" spans="1:35" ht="15.75" thickBot="1">
      <c r="A64" s="3"/>
      <c r="B64" s="105" t="s">
        <v>364</v>
      </c>
      <c r="C64" s="366">
        <v>5</v>
      </c>
      <c r="D64" s="367">
        <v>3</v>
      </c>
      <c r="E64" s="3"/>
      <c r="F64" s="3"/>
      <c r="G64" s="3"/>
      <c r="H64" s="298"/>
      <c r="I64" s="298"/>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263</v>
      </c>
      <c r="C67" s="107"/>
      <c r="D67" s="107"/>
      <c r="E67" s="107"/>
      <c r="F67" s="107"/>
      <c r="G67" s="107"/>
      <c r="H67" s="325" t="s">
        <v>304</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381</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96"/>
      <c r="C71" s="697"/>
      <c r="D71" s="114" t="s">
        <v>117</v>
      </c>
      <c r="E71" s="115" t="s">
        <v>296</v>
      </c>
      <c r="F71" s="115" t="s">
        <v>118</v>
      </c>
      <c r="G71" s="116" t="s">
        <v>58</v>
      </c>
      <c r="H71" s="311"/>
      <c r="I71" s="312"/>
      <c r="J71" s="15"/>
      <c r="K71" s="2"/>
      <c r="L71" s="2"/>
      <c r="M71" s="2"/>
      <c r="N71" s="20"/>
      <c r="O71" s="19"/>
      <c r="P71" s="19"/>
      <c r="Q71" s="19"/>
      <c r="R71" s="19"/>
      <c r="S71" s="19"/>
    </row>
    <row r="72" spans="1:30">
      <c r="A72" s="3"/>
      <c r="B72" s="736" t="s">
        <v>454</v>
      </c>
      <c r="C72" s="737"/>
      <c r="D72" s="259">
        <v>4</v>
      </c>
      <c r="E72" s="259">
        <v>4</v>
      </c>
      <c r="F72" s="259">
        <v>0</v>
      </c>
      <c r="G72" s="117">
        <f>SUM(D72:F72)</f>
        <v>8</v>
      </c>
      <c r="H72" s="292"/>
      <c r="I72" s="310"/>
      <c r="J72" s="310"/>
      <c r="K72" s="2"/>
      <c r="L72" s="2"/>
      <c r="M72" s="2"/>
      <c r="N72" s="20"/>
      <c r="O72" s="19"/>
      <c r="P72" s="19"/>
      <c r="Q72" s="19"/>
      <c r="R72" s="19"/>
      <c r="S72" s="19"/>
    </row>
    <row r="73" spans="1:30" ht="15.75" thickBot="1">
      <c r="A73" s="3"/>
      <c r="B73" s="688"/>
      <c r="C73" s="689"/>
      <c r="D73" s="260"/>
      <c r="E73" s="260"/>
      <c r="F73" s="260"/>
      <c r="G73" s="118"/>
      <c r="H73" s="292"/>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382</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113" t="s">
        <v>63</v>
      </c>
      <c r="D78" s="113" t="s">
        <v>81</v>
      </c>
      <c r="E78" s="120" t="s">
        <v>64</v>
      </c>
      <c r="F78" s="15"/>
      <c r="G78" s="15"/>
      <c r="H78" s="15"/>
      <c r="I78" s="312"/>
      <c r="J78" s="2"/>
      <c r="K78" s="2"/>
      <c r="L78" s="2"/>
      <c r="M78" s="2"/>
      <c r="N78" s="19"/>
      <c r="O78" s="19"/>
      <c r="P78" s="19"/>
      <c r="S78" s="19"/>
    </row>
    <row r="79" spans="1:30" ht="15.75" thickBot="1">
      <c r="A79" s="3"/>
      <c r="B79" s="479" t="s">
        <v>312</v>
      </c>
      <c r="C79" s="357">
        <v>16</v>
      </c>
      <c r="D79" s="357">
        <v>16</v>
      </c>
      <c r="E79" s="358">
        <f>+C79-D79</f>
        <v>0</v>
      </c>
      <c r="F79" s="267"/>
      <c r="G79" s="275"/>
      <c r="H79" s="15"/>
      <c r="I79" s="310"/>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387</v>
      </c>
      <c r="C81" s="2"/>
      <c r="D81" s="2"/>
      <c r="E81" s="2"/>
      <c r="F81" s="2"/>
      <c r="G81" s="2"/>
      <c r="H81" s="2"/>
      <c r="I81" s="2"/>
      <c r="J81" s="15"/>
      <c r="K81" s="15"/>
      <c r="L81" s="2"/>
      <c r="M81" s="2"/>
      <c r="N81" s="19"/>
      <c r="O81" s="19"/>
      <c r="P81" s="19"/>
      <c r="S81" s="19"/>
    </row>
    <row r="82" spans="1:36" ht="15.75" thickBot="1">
      <c r="A82" s="3"/>
      <c r="B82" s="2"/>
      <c r="C82" s="2"/>
      <c r="D82" s="2"/>
      <c r="E82" s="2"/>
      <c r="F82" s="2"/>
      <c r="G82" s="2"/>
      <c r="H82" s="2"/>
      <c r="I82" s="2"/>
      <c r="J82" s="15"/>
      <c r="K82" s="15"/>
      <c r="L82" s="2"/>
      <c r="M82" s="2"/>
      <c r="N82" s="19"/>
      <c r="O82" s="19"/>
      <c r="P82" s="19"/>
      <c r="S82" s="19"/>
    </row>
    <row r="83" spans="1:36" ht="30">
      <c r="A83" s="3"/>
      <c r="B83" s="119"/>
      <c r="C83" s="113" t="s">
        <v>291</v>
      </c>
      <c r="D83" s="113" t="s">
        <v>67</v>
      </c>
      <c r="E83" s="113" t="s">
        <v>82</v>
      </c>
      <c r="F83" s="113" t="s">
        <v>68</v>
      </c>
      <c r="G83" s="149" t="s">
        <v>119</v>
      </c>
      <c r="H83" s="509"/>
      <c r="I83" s="510" t="s">
        <v>453</v>
      </c>
      <c r="J83" s="511"/>
      <c r="K83" s="511"/>
      <c r="L83" s="512" t="s">
        <v>453</v>
      </c>
      <c r="M83" s="512"/>
      <c r="N83" s="513"/>
      <c r="O83" s="19"/>
      <c r="P83" s="19"/>
      <c r="S83" s="19"/>
    </row>
    <row r="84" spans="1:36" ht="15.75" thickBot="1">
      <c r="A84" s="3"/>
      <c r="B84" s="479" t="s">
        <v>127</v>
      </c>
      <c r="C84" s="357">
        <v>7</v>
      </c>
      <c r="D84" s="357">
        <v>7</v>
      </c>
      <c r="E84" s="357">
        <v>7</v>
      </c>
      <c r="F84" s="357">
        <v>7</v>
      </c>
      <c r="G84" s="359">
        <v>7</v>
      </c>
      <c r="H84" s="514" t="s">
        <v>446</v>
      </c>
      <c r="I84" s="515" t="s">
        <v>447</v>
      </c>
      <c r="J84" s="511" t="s">
        <v>448</v>
      </c>
      <c r="K84" s="512" t="s">
        <v>449</v>
      </c>
      <c r="L84" s="512" t="s">
        <v>450</v>
      </c>
      <c r="M84" s="511" t="s">
        <v>451</v>
      </c>
      <c r="N84" s="511" t="s">
        <v>452</v>
      </c>
      <c r="O84" s="19"/>
      <c r="P84" s="19"/>
      <c r="S84" s="19"/>
    </row>
    <row r="85" spans="1:36">
      <c r="A85" s="3"/>
      <c r="B85" s="2"/>
      <c r="C85" s="2"/>
      <c r="D85" s="2"/>
      <c r="E85" s="2"/>
      <c r="F85" s="2"/>
      <c r="G85" s="2"/>
      <c r="H85" s="2"/>
      <c r="I85" s="15"/>
      <c r="J85" s="15"/>
      <c r="K85" s="2"/>
      <c r="L85" s="2"/>
      <c r="M85" s="2"/>
      <c r="N85" s="19"/>
      <c r="O85" s="19"/>
      <c r="P85" s="19"/>
      <c r="S85" s="19"/>
    </row>
    <row r="86" spans="1:36" ht="18.75">
      <c r="A86" s="3"/>
      <c r="B86" s="110" t="s">
        <v>383</v>
      </c>
      <c r="C86" s="2"/>
      <c r="D86" s="2"/>
      <c r="E86" s="2"/>
      <c r="F86" s="2"/>
      <c r="G86" s="2"/>
      <c r="H86" s="2"/>
      <c r="I86" s="15"/>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1" t="s">
        <v>65</v>
      </c>
      <c r="D88" s="121" t="s">
        <v>66</v>
      </c>
      <c r="E88" s="122" t="s">
        <v>288</v>
      </c>
      <c r="F88" s="2"/>
      <c r="G88" s="2"/>
      <c r="H88" s="2"/>
      <c r="I88" s="2"/>
      <c r="J88" s="19"/>
      <c r="K88" s="19"/>
      <c r="L88" s="19"/>
      <c r="N88"/>
      <c r="O88" s="19"/>
      <c r="AG88" s="36"/>
      <c r="AJ88"/>
    </row>
    <row r="89" spans="1:36">
      <c r="A89" s="3"/>
      <c r="B89" s="480" t="s">
        <v>388</v>
      </c>
      <c r="C89" s="259">
        <v>165</v>
      </c>
      <c r="D89" s="261">
        <v>165</v>
      </c>
      <c r="E89" s="313">
        <f>C89-D89</f>
        <v>0</v>
      </c>
      <c r="F89" s="2"/>
      <c r="G89" s="2"/>
      <c r="H89" s="2"/>
      <c r="I89" s="2"/>
      <c r="J89" s="19"/>
      <c r="K89" s="19"/>
      <c r="L89" s="19"/>
      <c r="N89"/>
      <c r="O89" s="19"/>
      <c r="AG89" s="36"/>
      <c r="AJ89"/>
    </row>
    <row r="90" spans="1:36" ht="15.75" thickBot="1">
      <c r="A90" s="3"/>
      <c r="B90" s="481" t="s">
        <v>389</v>
      </c>
      <c r="C90" s="490">
        <f>7*3</f>
        <v>21</v>
      </c>
      <c r="D90" s="491">
        <f>C90</f>
        <v>21</v>
      </c>
      <c r="E90" s="492">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390</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9"/>
      <c r="C94" s="371" t="s">
        <v>105</v>
      </c>
      <c r="D94" s="371" t="s">
        <v>106</v>
      </c>
      <c r="E94" s="371" t="s">
        <v>107</v>
      </c>
      <c r="F94" s="371" t="s">
        <v>108</v>
      </c>
      <c r="G94" s="371" t="s">
        <v>120</v>
      </c>
      <c r="H94" s="371" t="s">
        <v>121</v>
      </c>
      <c r="I94" s="371" t="s">
        <v>122</v>
      </c>
      <c r="J94" s="371" t="s">
        <v>123</v>
      </c>
      <c r="K94" s="371" t="s">
        <v>124</v>
      </c>
      <c r="L94" s="371" t="s">
        <v>125</v>
      </c>
      <c r="M94" s="371" t="s">
        <v>126</v>
      </c>
      <c r="N94" s="372" t="s">
        <v>287</v>
      </c>
      <c r="O94" s="20"/>
      <c r="P94" s="20"/>
      <c r="S94" s="19"/>
    </row>
    <row r="95" spans="1:36" ht="15" customHeight="1">
      <c r="A95" s="3"/>
      <c r="B95" s="373" t="s">
        <v>367</v>
      </c>
      <c r="C95" s="360">
        <v>1281508.9595083122</v>
      </c>
      <c r="D95" s="360">
        <v>808914.7963638315</v>
      </c>
      <c r="E95" s="360">
        <v>9314.140558848434</v>
      </c>
      <c r="F95" s="360">
        <v>1478703.5387049848</v>
      </c>
      <c r="G95" s="360">
        <v>1087162.5089500423</v>
      </c>
      <c r="H95" s="360">
        <v>0</v>
      </c>
      <c r="I95" s="360">
        <v>9314.140558848434</v>
      </c>
      <c r="J95" s="360">
        <v>1142723.4613438908</v>
      </c>
      <c r="K95" s="360">
        <v>202035.86245004239</v>
      </c>
      <c r="L95" s="360">
        <v>0</v>
      </c>
      <c r="M95" s="360">
        <v>183591.94247627622</v>
      </c>
      <c r="N95" s="437">
        <v>0</v>
      </c>
      <c r="O95" s="20"/>
      <c r="P95" s="20"/>
      <c r="S95" s="19"/>
    </row>
    <row r="96" spans="1:36" ht="15" customHeight="1">
      <c r="A96" s="3"/>
      <c r="B96" s="373" t="s">
        <v>365</v>
      </c>
      <c r="C96" s="360">
        <v>19935.614027557196</v>
      </c>
      <c r="D96" s="360">
        <v>1225173</v>
      </c>
      <c r="E96" s="360">
        <f>550076.85640448/2.4452</f>
        <v>224961.90757585474</v>
      </c>
      <c r="F96" s="360">
        <f>1443329/2.4072</f>
        <v>599588.31837819878</v>
      </c>
      <c r="G96" s="360">
        <f>1436558/2.4767</f>
        <v>580029.07094117173</v>
      </c>
      <c r="H96" s="360">
        <v>131899.74</v>
      </c>
      <c r="I96" s="360">
        <v>30591.66</v>
      </c>
      <c r="J96" s="360"/>
      <c r="K96" s="360"/>
      <c r="L96" s="360"/>
      <c r="M96" s="360"/>
      <c r="N96" s="437"/>
      <c r="O96" s="20"/>
      <c r="P96" s="20"/>
      <c r="S96" s="19"/>
    </row>
    <row r="97" spans="1:19" ht="15" customHeight="1">
      <c r="A97" s="3"/>
      <c r="B97" s="373" t="s">
        <v>313</v>
      </c>
      <c r="C97" s="360">
        <v>579569.05894063821</v>
      </c>
      <c r="D97" s="360">
        <v>211125.8</v>
      </c>
      <c r="E97" s="360">
        <v>417945</v>
      </c>
      <c r="F97" s="360">
        <v>364838</v>
      </c>
      <c r="G97" s="360">
        <f>285388+296741</f>
        <v>582129</v>
      </c>
      <c r="H97" s="360">
        <v>642504</v>
      </c>
      <c r="I97" s="360">
        <v>153410</v>
      </c>
      <c r="J97" s="360"/>
      <c r="K97" s="360"/>
      <c r="L97" s="360"/>
      <c r="M97" s="360"/>
      <c r="N97" s="437"/>
      <c r="O97" s="20"/>
      <c r="P97" s="20"/>
      <c r="S97" s="19"/>
    </row>
    <row r="98" spans="1:19" ht="15" customHeight="1">
      <c r="A98" s="3"/>
      <c r="B98" s="315" t="s">
        <v>409</v>
      </c>
      <c r="C98" s="361">
        <f>+C95</f>
        <v>1281508.9595083122</v>
      </c>
      <c r="D98" s="361">
        <f>+C98+D95</f>
        <v>2090423.7558721437</v>
      </c>
      <c r="E98" s="361">
        <f t="shared" ref="E98:N98" si="3">+D98+E95</f>
        <v>2099737.8964309921</v>
      </c>
      <c r="F98" s="361">
        <f t="shared" si="3"/>
        <v>3578441.4351359769</v>
      </c>
      <c r="G98" s="361">
        <f t="shared" si="3"/>
        <v>4665603.9440860189</v>
      </c>
      <c r="H98" s="361">
        <f t="shared" si="3"/>
        <v>4665603.9440860189</v>
      </c>
      <c r="I98" s="361">
        <f t="shared" si="3"/>
        <v>4674918.0846448671</v>
      </c>
      <c r="J98" s="361">
        <f t="shared" si="3"/>
        <v>5817641.5459887581</v>
      </c>
      <c r="K98" s="361">
        <f t="shared" si="3"/>
        <v>6019677.4084388008</v>
      </c>
      <c r="L98" s="361">
        <f t="shared" si="3"/>
        <v>6019677.4084388008</v>
      </c>
      <c r="M98" s="361">
        <f t="shared" si="3"/>
        <v>6203269.3509150771</v>
      </c>
      <c r="N98" s="361">
        <f t="shared" si="3"/>
        <v>6203269.3509150771</v>
      </c>
      <c r="O98" s="20"/>
      <c r="P98" s="20"/>
      <c r="S98" s="19"/>
    </row>
    <row r="99" spans="1:19" ht="15" customHeight="1">
      <c r="A99" s="3"/>
      <c r="B99" s="315" t="s">
        <v>5</v>
      </c>
      <c r="C99" s="361">
        <f>+C96</f>
        <v>19935.614027557196</v>
      </c>
      <c r="D99" s="361">
        <f>+C99+D96</f>
        <v>1245108.6140275572</v>
      </c>
      <c r="E99" s="361">
        <f t="shared" ref="E99:N99" si="4">+D99+E96</f>
        <v>1470070.521603412</v>
      </c>
      <c r="F99" s="361">
        <f t="shared" si="4"/>
        <v>2069658.8399816109</v>
      </c>
      <c r="G99" s="361">
        <f t="shared" si="4"/>
        <v>2649687.9109227825</v>
      </c>
      <c r="H99" s="361">
        <f t="shared" si="4"/>
        <v>2781587.6509227827</v>
      </c>
      <c r="I99" s="361">
        <f t="shared" si="4"/>
        <v>2812179.3109227829</v>
      </c>
      <c r="J99" s="361">
        <f t="shared" si="4"/>
        <v>2812179.3109227829</v>
      </c>
      <c r="K99" s="361">
        <f t="shared" si="4"/>
        <v>2812179.3109227829</v>
      </c>
      <c r="L99" s="361">
        <f t="shared" si="4"/>
        <v>2812179.3109227829</v>
      </c>
      <c r="M99" s="361">
        <f t="shared" si="4"/>
        <v>2812179.3109227829</v>
      </c>
      <c r="N99" s="361">
        <f t="shared" si="4"/>
        <v>2812179.3109227829</v>
      </c>
      <c r="O99" s="20"/>
      <c r="P99" s="20"/>
      <c r="S99" s="19"/>
    </row>
    <row r="100" spans="1:19" ht="15.75" thickBot="1">
      <c r="A100" s="3"/>
      <c r="B100" s="434" t="s">
        <v>6</v>
      </c>
      <c r="C100" s="435">
        <f>+C97</f>
        <v>579569.05894063821</v>
      </c>
      <c r="D100" s="436">
        <f>+C100+D97</f>
        <v>790694.85894063814</v>
      </c>
      <c r="E100" s="436">
        <f t="shared" ref="E100:N100" si="5">+D100+E97</f>
        <v>1208639.8589406381</v>
      </c>
      <c r="F100" s="436">
        <f t="shared" si="5"/>
        <v>1573477.8589406381</v>
      </c>
      <c r="G100" s="436">
        <f t="shared" si="5"/>
        <v>2155606.8589406381</v>
      </c>
      <c r="H100" s="436">
        <f t="shared" si="5"/>
        <v>2798110.8589406381</v>
      </c>
      <c r="I100" s="436">
        <f t="shared" si="5"/>
        <v>2951520.8589406381</v>
      </c>
      <c r="J100" s="436">
        <f t="shared" si="5"/>
        <v>2951520.8589406381</v>
      </c>
      <c r="K100" s="436">
        <f t="shared" si="5"/>
        <v>2951520.8589406381</v>
      </c>
      <c r="L100" s="436">
        <f t="shared" si="5"/>
        <v>2951520.8589406381</v>
      </c>
      <c r="M100" s="436">
        <f t="shared" si="5"/>
        <v>2951520.8589406381</v>
      </c>
      <c r="N100" s="436">
        <f t="shared" si="5"/>
        <v>2951520.8589406381</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403</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384</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6" t="s">
        <v>32</v>
      </c>
      <c r="C107" s="317" t="s">
        <v>79</v>
      </c>
      <c r="D107" s="319" t="s">
        <v>418</v>
      </c>
      <c r="E107" s="319" t="s">
        <v>336</v>
      </c>
      <c r="F107" s="318" t="s">
        <v>337</v>
      </c>
      <c r="G107" s="318" t="s">
        <v>338</v>
      </c>
      <c r="H107" s="319" t="s">
        <v>339</v>
      </c>
      <c r="I107" s="319" t="s">
        <v>340</v>
      </c>
      <c r="J107" s="319" t="s">
        <v>341</v>
      </c>
      <c r="K107" s="320" t="s">
        <v>342</v>
      </c>
      <c r="L107" s="2"/>
      <c r="M107" s="20"/>
      <c r="N107" s="20"/>
      <c r="O107" s="20"/>
      <c r="P107" s="19"/>
      <c r="R107" s="20"/>
    </row>
    <row r="108" spans="1:19">
      <c r="A108" s="3"/>
      <c r="B108" s="700" t="s">
        <v>372</v>
      </c>
      <c r="C108" s="516" t="s">
        <v>416</v>
      </c>
      <c r="D108" s="518">
        <v>2</v>
      </c>
      <c r="E108" s="448">
        <f>IF(ISBLANK(D108),"",D108*30)</f>
        <v>60</v>
      </c>
      <c r="F108" s="521">
        <v>739</v>
      </c>
      <c r="G108" s="448">
        <f>IF(AND(E108&gt;0,F108&gt;0),(F108*E108),"")</f>
        <v>44340</v>
      </c>
      <c r="H108" s="521">
        <f>273000+ 139980</f>
        <v>412980</v>
      </c>
      <c r="I108" s="449">
        <f>IF(AND(G108&gt;0,H108&gt;0),H108/G108,"")</f>
        <v>9.3139377537212447</v>
      </c>
      <c r="J108" s="524">
        <v>6</v>
      </c>
      <c r="K108" s="450">
        <f>IF(AND(I108&gt;0,J108&gt;0),I108-J108,"")</f>
        <v>3.3139377537212447</v>
      </c>
      <c r="L108" s="508"/>
      <c r="M108" s="20"/>
      <c r="N108" s="20"/>
      <c r="O108" s="20"/>
      <c r="P108" s="19"/>
      <c r="R108" s="20"/>
    </row>
    <row r="109" spans="1:19">
      <c r="A109" s="3"/>
      <c r="B109" s="701"/>
      <c r="C109" s="516" t="s">
        <v>417</v>
      </c>
      <c r="D109" s="518">
        <v>0.37</v>
      </c>
      <c r="E109" s="448">
        <f>IF(ISBLANK(D109),"",D109*30)</f>
        <v>11.1</v>
      </c>
      <c r="F109" s="521">
        <v>10000</v>
      </c>
      <c r="G109" s="448">
        <f>IF(AND(E109&gt;0,F109&gt;0),(F109*E109),"")</f>
        <v>111000</v>
      </c>
      <c r="H109" s="523">
        <v>450774</v>
      </c>
      <c r="I109" s="449">
        <f>IF(AND(G109&gt;0,H109&gt;0),H109/G109,"")</f>
        <v>4.061027027027027</v>
      </c>
      <c r="J109" s="524">
        <v>3</v>
      </c>
      <c r="K109" s="450">
        <f>IF(AND(I109&gt;0,J109&gt;0),I109-J109,"")</f>
        <v>1.061027027027027</v>
      </c>
      <c r="L109" s="2"/>
      <c r="M109" s="20"/>
      <c r="N109" s="20"/>
      <c r="O109" s="20"/>
      <c r="P109" s="19"/>
    </row>
    <row r="110" spans="1:19">
      <c r="A110" s="3"/>
      <c r="B110" s="701"/>
      <c r="C110" s="516" t="s">
        <v>459</v>
      </c>
      <c r="D110" s="519">
        <v>0.49</v>
      </c>
      <c r="E110" s="448">
        <f>IF(ISBLANK(D110),"",D110*30)</f>
        <v>14.7</v>
      </c>
      <c r="F110" s="521">
        <v>3295</v>
      </c>
      <c r="G110" s="448">
        <f>IF(AND(E110&gt;0,F110&gt;0),(F110*E110),"")</f>
        <v>48436.5</v>
      </c>
      <c r="H110" s="521">
        <v>939403</v>
      </c>
      <c r="I110" s="449">
        <f>IF(AND(G110&gt;0,H110&gt;0),H110/G110,"")</f>
        <v>19.394526854747969</v>
      </c>
      <c r="J110" s="524">
        <v>3</v>
      </c>
      <c r="K110" s="450">
        <f>IF(AND(I110&gt;0,J110&gt;0),I110-J110,"")</f>
        <v>16.394526854747969</v>
      </c>
      <c r="L110" s="508"/>
      <c r="M110" s="20"/>
      <c r="N110" s="20"/>
      <c r="O110" s="20"/>
      <c r="P110" s="19"/>
      <c r="R110" s="20"/>
    </row>
    <row r="111" spans="1:19" ht="15.75" thickBot="1">
      <c r="A111" s="3"/>
      <c r="B111" s="702"/>
      <c r="C111" s="517" t="s">
        <v>465</v>
      </c>
      <c r="D111" s="520">
        <v>1</v>
      </c>
      <c r="E111" s="445">
        <f>IF(ISBLANK(D111),"",D111*30)</f>
        <v>30</v>
      </c>
      <c r="F111" s="522">
        <v>213</v>
      </c>
      <c r="G111" s="445">
        <f>IF(AND(E111&gt;0,F111&gt;0),(F111*E111),"")</f>
        <v>6390</v>
      </c>
      <c r="H111" s="522">
        <v>5760</v>
      </c>
      <c r="I111" s="446">
        <f>IF(AND(G111&gt;0,H111&gt;0),H111/G111,"")</f>
        <v>0.90140845070422537</v>
      </c>
      <c r="J111" s="525">
        <v>3</v>
      </c>
      <c r="K111" s="447">
        <f>IF(AND(I111&gt;0,J111&gt;0),I111-J111,"")</f>
        <v>-2.0985915492957745</v>
      </c>
      <c r="L111" s="2"/>
      <c r="M111" s="20"/>
      <c r="N111" s="20"/>
      <c r="O111" s="20"/>
      <c r="P111" s="19"/>
      <c r="R111" s="20"/>
    </row>
    <row r="112" spans="1:19">
      <c r="A112" s="3"/>
      <c r="B112" s="3"/>
      <c r="C112" s="3"/>
      <c r="D112" s="3"/>
      <c r="E112" s="443"/>
      <c r="F112" s="444"/>
      <c r="G112" s="442"/>
      <c r="H112" s="2"/>
      <c r="I112" s="2"/>
      <c r="J112" s="3"/>
      <c r="K112" s="3"/>
      <c r="L112" s="2"/>
      <c r="M112" s="2"/>
      <c r="N112" s="20"/>
      <c r="O112" s="20"/>
      <c r="P112" s="20"/>
      <c r="Q112" s="19"/>
      <c r="S112" s="20"/>
    </row>
    <row r="113" spans="1:20" ht="15.75" thickBot="1">
      <c r="A113" s="3"/>
      <c r="B113" s="3"/>
      <c r="C113" s="3"/>
      <c r="D113" s="3"/>
      <c r="E113" s="3"/>
      <c r="F113" s="3"/>
      <c r="G113" s="201"/>
      <c r="H113" s="3"/>
      <c r="I113" s="2"/>
      <c r="J113" s="109"/>
      <c r="K113" s="109"/>
      <c r="L113" s="3"/>
      <c r="M113" s="3"/>
    </row>
    <row r="114" spans="1:20" ht="19.5" thickBot="1">
      <c r="A114" s="3"/>
      <c r="B114" s="239" t="s">
        <v>391</v>
      </c>
      <c r="C114" s="126"/>
      <c r="D114" s="126"/>
      <c r="E114" s="127"/>
      <c r="F114" s="127"/>
      <c r="G114" s="127"/>
      <c r="H114" s="254"/>
      <c r="I114" s="240"/>
      <c r="J114" s="338"/>
      <c r="K114" s="339" t="s">
        <v>370</v>
      </c>
      <c r="L114" s="127"/>
      <c r="M114" s="340"/>
      <c r="N114" s="341"/>
      <c r="O114" s="341"/>
      <c r="P114" s="400"/>
      <c r="Q114" s="36"/>
    </row>
    <row r="115" spans="1:20" ht="15.75" thickBot="1">
      <c r="A115" s="3"/>
      <c r="B115" s="3"/>
      <c r="C115" s="3"/>
      <c r="D115" s="3"/>
      <c r="E115" s="3"/>
      <c r="F115" s="3"/>
      <c r="G115" s="3"/>
      <c r="H115" s="3" t="s">
        <v>455</v>
      </c>
      <c r="I115" s="3" t="s">
        <v>456</v>
      </c>
      <c r="J115" s="3" t="s">
        <v>457</v>
      </c>
      <c r="K115" s="3" t="s">
        <v>461</v>
      </c>
      <c r="L115" s="3" t="s">
        <v>462</v>
      </c>
      <c r="M115" s="3" t="s">
        <v>464</v>
      </c>
      <c r="N115" s="3" t="s">
        <v>463</v>
      </c>
      <c r="O115"/>
      <c r="P115" s="36"/>
      <c r="Q115" s="36"/>
    </row>
    <row r="116" spans="1:20" ht="21.75" customHeight="1">
      <c r="A116" s="3"/>
      <c r="B116" s="690" t="s">
        <v>397</v>
      </c>
      <c r="C116" s="691"/>
      <c r="D116" s="692"/>
      <c r="E116" s="324" t="s">
        <v>327</v>
      </c>
      <c r="F116" s="281" t="s">
        <v>344</v>
      </c>
      <c r="G116" s="244"/>
      <c r="H116" s="387" t="s">
        <v>105</v>
      </c>
      <c r="I116" s="387" t="s">
        <v>106</v>
      </c>
      <c r="J116" s="387" t="s">
        <v>107</v>
      </c>
      <c r="K116" s="387" t="s">
        <v>108</v>
      </c>
      <c r="L116" s="387" t="s">
        <v>120</v>
      </c>
      <c r="M116" s="387" t="s">
        <v>121</v>
      </c>
      <c r="N116" s="387" t="s">
        <v>122</v>
      </c>
      <c r="O116" s="387" t="s">
        <v>123</v>
      </c>
      <c r="P116" s="387" t="s">
        <v>124</v>
      </c>
      <c r="Q116" s="387" t="s">
        <v>125</v>
      </c>
      <c r="R116" s="387" t="s">
        <v>126</v>
      </c>
      <c r="S116" s="388" t="s">
        <v>287</v>
      </c>
      <c r="T116" s="64"/>
    </row>
    <row r="117" spans="1:20" ht="21.75" customHeight="1">
      <c r="A117" s="3"/>
      <c r="B117" s="469"/>
      <c r="C117" s="470"/>
      <c r="D117" s="470"/>
      <c r="E117" s="471"/>
      <c r="F117" s="472"/>
      <c r="G117" s="473"/>
      <c r="H117" s="474"/>
      <c r="I117" s="474"/>
      <c r="J117" s="474"/>
      <c r="K117" s="474"/>
      <c r="L117" s="474"/>
      <c r="M117" s="474"/>
      <c r="N117" s="474"/>
      <c r="O117" s="474"/>
      <c r="P117" s="474"/>
      <c r="Q117" s="474"/>
      <c r="R117" s="474"/>
      <c r="S117" s="475"/>
      <c r="T117" s="64"/>
    </row>
    <row r="118" spans="1:20" ht="15" customHeight="1">
      <c r="A118" s="740" t="s">
        <v>374</v>
      </c>
      <c r="B118" s="744" t="s">
        <v>429</v>
      </c>
      <c r="C118" s="745"/>
      <c r="D118" s="746"/>
      <c r="E118" s="668" t="s">
        <v>430</v>
      </c>
      <c r="F118" s="679" t="s">
        <v>114</v>
      </c>
      <c r="G118" s="245" t="s">
        <v>85</v>
      </c>
      <c r="H118" s="455">
        <v>25347</v>
      </c>
      <c r="I118" s="455">
        <v>25347</v>
      </c>
      <c r="J118" s="486">
        <f>27832/4</f>
        <v>6958</v>
      </c>
      <c r="K118" s="501">
        <f>27832/2</f>
        <v>13916</v>
      </c>
      <c r="L118" s="501">
        <f>27832*3/4</f>
        <v>20874</v>
      </c>
      <c r="M118" s="501">
        <f>27832</f>
        <v>27832</v>
      </c>
      <c r="N118" s="503">
        <f>31500/4</f>
        <v>7875</v>
      </c>
      <c r="O118" s="130"/>
      <c r="P118" s="130"/>
      <c r="Q118" s="130"/>
      <c r="R118" s="130"/>
      <c r="S118" s="131"/>
      <c r="T118" s="64"/>
    </row>
    <row r="119" spans="1:20" ht="15" customHeight="1">
      <c r="A119" s="740"/>
      <c r="B119" s="747"/>
      <c r="C119" s="748"/>
      <c r="D119" s="749"/>
      <c r="E119" s="669"/>
      <c r="F119" s="679"/>
      <c r="G119" s="245" t="s">
        <v>86</v>
      </c>
      <c r="H119" s="464">
        <v>22099</v>
      </c>
      <c r="I119" s="455">
        <v>28279</v>
      </c>
      <c r="J119" s="130">
        <v>7219</v>
      </c>
      <c r="K119" s="276">
        <v>16129</v>
      </c>
      <c r="L119" s="130">
        <v>18626</v>
      </c>
      <c r="M119" s="130">
        <v>26294</v>
      </c>
      <c r="N119" s="130">
        <v>5762</v>
      </c>
      <c r="O119" s="130"/>
      <c r="P119" s="130"/>
      <c r="Q119" s="130"/>
      <c r="R119" s="130"/>
      <c r="S119" s="131"/>
      <c r="T119" s="64"/>
    </row>
    <row r="120" spans="1:20" ht="15" customHeight="1">
      <c r="A120" s="740"/>
      <c r="B120" s="753" t="s">
        <v>431</v>
      </c>
      <c r="C120" s="754"/>
      <c r="D120" s="755"/>
      <c r="E120" s="656" t="s">
        <v>432</v>
      </c>
      <c r="F120" s="680" t="s">
        <v>114</v>
      </c>
      <c r="G120" s="422" t="s">
        <v>85</v>
      </c>
      <c r="H120" s="457">
        <v>4250</v>
      </c>
      <c r="I120" s="457">
        <v>4250</v>
      </c>
      <c r="J120" s="487">
        <f>5950/4</f>
        <v>1487.5</v>
      </c>
      <c r="K120" s="502">
        <f>5950/2</f>
        <v>2975</v>
      </c>
      <c r="L120" s="502">
        <f>5950*3/4</f>
        <v>4462.5</v>
      </c>
      <c r="M120" s="502">
        <f>5950</f>
        <v>5950</v>
      </c>
      <c r="N120" s="526">
        <f>8500/4</f>
        <v>2125</v>
      </c>
      <c r="O120" s="241"/>
      <c r="P120" s="241"/>
      <c r="Q120" s="241"/>
      <c r="R120" s="241"/>
      <c r="S120" s="321"/>
      <c r="T120" s="64"/>
    </row>
    <row r="121" spans="1:20" ht="15" customHeight="1">
      <c r="A121" s="740"/>
      <c r="B121" s="756"/>
      <c r="C121" s="754"/>
      <c r="D121" s="755"/>
      <c r="E121" s="652"/>
      <c r="F121" s="681"/>
      <c r="G121" s="422" t="s">
        <v>86</v>
      </c>
      <c r="H121" s="465">
        <v>3167</v>
      </c>
      <c r="I121" s="458">
        <v>3826</v>
      </c>
      <c r="J121" s="322">
        <v>1383</v>
      </c>
      <c r="K121" s="323">
        <v>2314</v>
      </c>
      <c r="L121" s="322">
        <v>3126</v>
      </c>
      <c r="M121" s="322">
        <v>3846</v>
      </c>
      <c r="N121" s="322">
        <f>1702+155</f>
        <v>1857</v>
      </c>
      <c r="O121" s="322"/>
      <c r="P121" s="241"/>
      <c r="Q121" s="241"/>
      <c r="R121" s="241"/>
      <c r="S121" s="321"/>
      <c r="T121" s="64"/>
    </row>
    <row r="122" spans="1:20" ht="15" customHeight="1">
      <c r="A122" s="740"/>
      <c r="B122" s="757" t="s">
        <v>441</v>
      </c>
      <c r="C122" s="748"/>
      <c r="D122" s="749"/>
      <c r="E122" s="668" t="s">
        <v>442</v>
      </c>
      <c r="F122" s="694" t="s">
        <v>114</v>
      </c>
      <c r="G122" s="245" t="s">
        <v>85</v>
      </c>
      <c r="H122" s="455">
        <v>4000</v>
      </c>
      <c r="I122" s="455">
        <v>4000</v>
      </c>
      <c r="J122" s="130">
        <v>4550</v>
      </c>
      <c r="K122" s="503">
        <v>4550</v>
      </c>
      <c r="L122" s="503">
        <v>4550</v>
      </c>
      <c r="M122" s="503">
        <v>4550</v>
      </c>
      <c r="N122" s="503">
        <v>5100</v>
      </c>
      <c r="O122" s="130"/>
      <c r="P122" s="130"/>
      <c r="Q122" s="130"/>
      <c r="R122" s="130"/>
      <c r="S122" s="131"/>
      <c r="T122" s="64"/>
    </row>
    <row r="123" spans="1:20" ht="15" customHeight="1">
      <c r="A123" s="740"/>
      <c r="B123" s="747"/>
      <c r="C123" s="748"/>
      <c r="D123" s="749"/>
      <c r="E123" s="669"/>
      <c r="F123" s="695"/>
      <c r="G123" s="245" t="s">
        <v>86</v>
      </c>
      <c r="H123" s="464">
        <v>3518</v>
      </c>
      <c r="I123" s="456">
        <v>3638</v>
      </c>
      <c r="J123" s="130">
        <v>3786</v>
      </c>
      <c r="K123" s="130">
        <v>3899</v>
      </c>
      <c r="L123" s="130">
        <v>4100</v>
      </c>
      <c r="M123" s="130">
        <v>4144</v>
      </c>
      <c r="N123" s="130">
        <v>4260</v>
      </c>
      <c r="O123" s="130"/>
      <c r="P123" s="130"/>
      <c r="Q123" s="130"/>
      <c r="R123" s="130"/>
      <c r="S123" s="131"/>
      <c r="T123" s="64"/>
    </row>
    <row r="124" spans="1:20" ht="15" customHeight="1">
      <c r="A124" s="3"/>
      <c r="B124" s="642" t="s">
        <v>427</v>
      </c>
      <c r="C124" s="643"/>
      <c r="D124" s="644"/>
      <c r="E124" s="656" t="s">
        <v>428</v>
      </c>
      <c r="F124" s="703" t="s">
        <v>114</v>
      </c>
      <c r="G124" s="422" t="s">
        <v>85</v>
      </c>
      <c r="H124" s="454">
        <v>28329</v>
      </c>
      <c r="I124" s="454">
        <v>28329</v>
      </c>
      <c r="J124" s="487">
        <f>30814/4</f>
        <v>7703.5</v>
      </c>
      <c r="K124" s="502">
        <f>30814/2</f>
        <v>15407</v>
      </c>
      <c r="L124" s="502">
        <f>30814*3/4</f>
        <v>23110.5</v>
      </c>
      <c r="M124" s="502">
        <f>30814</f>
        <v>30814</v>
      </c>
      <c r="N124" s="526">
        <f>35175/4</f>
        <v>8793.75</v>
      </c>
      <c r="O124" s="241"/>
      <c r="P124" s="241"/>
      <c r="Q124" s="241"/>
      <c r="R124" s="241"/>
      <c r="S124" s="321"/>
      <c r="T124" s="64"/>
    </row>
    <row r="125" spans="1:20" ht="15" customHeight="1">
      <c r="A125" s="3"/>
      <c r="B125" s="645"/>
      <c r="C125" s="646"/>
      <c r="D125" s="647"/>
      <c r="E125" s="652"/>
      <c r="F125" s="681"/>
      <c r="G125" s="422" t="s">
        <v>86</v>
      </c>
      <c r="H125" s="467">
        <v>26928</v>
      </c>
      <c r="I125" s="458">
        <v>30330</v>
      </c>
      <c r="J125" s="241">
        <v>13968</v>
      </c>
      <c r="K125" s="277">
        <v>20114</v>
      </c>
      <c r="L125" s="241">
        <v>23118</v>
      </c>
      <c r="M125" s="241">
        <v>27250</v>
      </c>
      <c r="N125" s="241">
        <v>14112</v>
      </c>
      <c r="O125" s="241"/>
      <c r="P125" s="241"/>
      <c r="Q125" s="241"/>
      <c r="R125" s="241"/>
      <c r="S125" s="321"/>
      <c r="T125" s="64"/>
    </row>
    <row r="126" spans="1:20" ht="15" customHeight="1">
      <c r="A126" s="3"/>
      <c r="B126" s="670" t="s">
        <v>433</v>
      </c>
      <c r="C126" s="671"/>
      <c r="D126" s="672"/>
      <c r="E126" s="668" t="s">
        <v>434</v>
      </c>
      <c r="F126" s="694" t="s">
        <v>114</v>
      </c>
      <c r="G126" s="423" t="s">
        <v>85</v>
      </c>
      <c r="H126" s="459">
        <v>3060</v>
      </c>
      <c r="I126" s="459">
        <v>3060</v>
      </c>
      <c r="J126" s="488">
        <f>4250/4</f>
        <v>1062.5</v>
      </c>
      <c r="K126" s="504">
        <f>4250/2</f>
        <v>2125</v>
      </c>
      <c r="L126" s="504">
        <f>4250*3/4</f>
        <v>3187.5</v>
      </c>
      <c r="M126" s="504">
        <f>4250</f>
        <v>4250</v>
      </c>
      <c r="N126" s="527">
        <f>6800/4</f>
        <v>1700</v>
      </c>
      <c r="O126" s="424"/>
      <c r="P126" s="424"/>
      <c r="Q126" s="424"/>
      <c r="R126" s="424"/>
      <c r="S126" s="426"/>
      <c r="T126" s="64"/>
    </row>
    <row r="127" spans="1:20" ht="15" customHeight="1">
      <c r="A127" s="3"/>
      <c r="B127" s="673"/>
      <c r="C127" s="674"/>
      <c r="D127" s="675"/>
      <c r="E127" s="669"/>
      <c r="F127" s="695"/>
      <c r="G127" s="423" t="s">
        <v>86</v>
      </c>
      <c r="H127" s="468">
        <v>1597</v>
      </c>
      <c r="I127" s="459">
        <v>2035</v>
      </c>
      <c r="J127" s="424">
        <f>691+423</f>
        <v>1114</v>
      </c>
      <c r="K127" s="425">
        <f>1285+696</f>
        <v>1981</v>
      </c>
      <c r="L127" s="424">
        <f>1781+1187</f>
        <v>2968</v>
      </c>
      <c r="M127" s="424">
        <v>3889</v>
      </c>
      <c r="N127" s="424">
        <f>741+184</f>
        <v>925</v>
      </c>
      <c r="O127" s="424"/>
      <c r="P127" s="424"/>
      <c r="Q127" s="424"/>
      <c r="R127" s="424"/>
      <c r="S127" s="426"/>
      <c r="T127" s="64"/>
    </row>
    <row r="128" spans="1:20" ht="15" customHeight="1">
      <c r="A128" s="3"/>
      <c r="B128" s="642" t="s">
        <v>435</v>
      </c>
      <c r="C128" s="643"/>
      <c r="D128" s="644"/>
      <c r="E128" s="656" t="s">
        <v>436</v>
      </c>
      <c r="F128" s="703" t="s">
        <v>114</v>
      </c>
      <c r="G128" s="422" t="s">
        <v>85</v>
      </c>
      <c r="H128" s="454">
        <v>2610</v>
      </c>
      <c r="I128" s="454">
        <v>2610</v>
      </c>
      <c r="J128" s="489">
        <f>3263/4</f>
        <v>815.75</v>
      </c>
      <c r="K128" s="505">
        <f>3263/2</f>
        <v>1631.5</v>
      </c>
      <c r="L128" s="505">
        <f>3263*3/4</f>
        <v>2447.25</v>
      </c>
      <c r="M128" s="505">
        <f>3263</f>
        <v>3263</v>
      </c>
      <c r="N128" s="528">
        <f>4306/4</f>
        <v>1076.5</v>
      </c>
      <c r="O128" s="322"/>
      <c r="P128" s="322"/>
      <c r="Q128" s="322"/>
      <c r="R128" s="322"/>
      <c r="S128" s="427"/>
      <c r="T128" s="64"/>
    </row>
    <row r="129" spans="1:21" ht="15" customHeight="1">
      <c r="A129" s="3"/>
      <c r="B129" s="645"/>
      <c r="C129" s="646"/>
      <c r="D129" s="647"/>
      <c r="E129" s="652"/>
      <c r="F129" s="681"/>
      <c r="G129" s="422" t="s">
        <v>86</v>
      </c>
      <c r="H129" s="467">
        <v>2479</v>
      </c>
      <c r="I129" s="458">
        <v>3160</v>
      </c>
      <c r="J129" s="241">
        <v>1532</v>
      </c>
      <c r="K129" s="277">
        <v>2372</v>
      </c>
      <c r="L129" s="241">
        <v>2885</v>
      </c>
      <c r="M129" s="241">
        <v>3367</v>
      </c>
      <c r="N129" s="241">
        <v>1593</v>
      </c>
      <c r="O129" s="241"/>
      <c r="P129" s="322"/>
      <c r="Q129" s="322"/>
      <c r="R129" s="322"/>
      <c r="S129" s="427"/>
      <c r="T129" s="64"/>
    </row>
    <row r="130" spans="1:21" ht="15" customHeight="1">
      <c r="A130" s="3"/>
      <c r="B130" s="670" t="s">
        <v>437</v>
      </c>
      <c r="C130" s="671"/>
      <c r="D130" s="672"/>
      <c r="E130" s="668" t="s">
        <v>438</v>
      </c>
      <c r="F130" s="679" t="s">
        <v>114</v>
      </c>
      <c r="G130" s="423" t="s">
        <v>85</v>
      </c>
      <c r="H130" s="459">
        <v>1958</v>
      </c>
      <c r="I130" s="459">
        <v>1958</v>
      </c>
      <c r="J130" s="488">
        <f>2610/4</f>
        <v>652.5</v>
      </c>
      <c r="K130" s="504">
        <f>2610/2</f>
        <v>1305</v>
      </c>
      <c r="L130" s="504">
        <f>2610*3/4</f>
        <v>1957.5</v>
      </c>
      <c r="M130" s="504">
        <f>2610</f>
        <v>2610</v>
      </c>
      <c r="N130" s="527">
        <f>3589/4</f>
        <v>897.25</v>
      </c>
      <c r="O130" s="424"/>
      <c r="P130" s="424"/>
      <c r="Q130" s="424"/>
      <c r="R130" s="424"/>
      <c r="S130" s="426"/>
      <c r="T130" s="64"/>
    </row>
    <row r="131" spans="1:21" ht="15" customHeight="1">
      <c r="A131" s="3"/>
      <c r="B131" s="673"/>
      <c r="C131" s="674"/>
      <c r="D131" s="675"/>
      <c r="E131" s="669"/>
      <c r="F131" s="679"/>
      <c r="G131" s="423" t="s">
        <v>86</v>
      </c>
      <c r="H131" s="468">
        <v>1562</v>
      </c>
      <c r="I131" s="460">
        <v>2111</v>
      </c>
      <c r="J131" s="424">
        <v>712</v>
      </c>
      <c r="K131" s="425">
        <v>1296</v>
      </c>
      <c r="L131" s="424">
        <v>1735</v>
      </c>
      <c r="M131" s="424">
        <v>2185</v>
      </c>
      <c r="N131" s="424">
        <v>681</v>
      </c>
      <c r="O131" s="424"/>
      <c r="P131" s="424"/>
      <c r="Q131" s="424"/>
      <c r="R131" s="424"/>
      <c r="S131" s="426"/>
      <c r="T131" s="64"/>
    </row>
    <row r="132" spans="1:21" ht="15" customHeight="1">
      <c r="A132" s="3"/>
      <c r="B132" s="642" t="s">
        <v>439</v>
      </c>
      <c r="C132" s="643"/>
      <c r="D132" s="644"/>
      <c r="E132" s="656" t="s">
        <v>440</v>
      </c>
      <c r="F132" s="654" t="s">
        <v>114</v>
      </c>
      <c r="G132" s="422" t="s">
        <v>85</v>
      </c>
      <c r="H132" s="467">
        <v>5500</v>
      </c>
      <c r="I132" s="467">
        <v>5500</v>
      </c>
      <c r="J132" s="489">
        <f>6000/4</f>
        <v>1500</v>
      </c>
      <c r="K132" s="505">
        <f>6000/2</f>
        <v>3000</v>
      </c>
      <c r="L132" s="505">
        <f>6000*3/4</f>
        <v>4500</v>
      </c>
      <c r="M132" s="505">
        <f>6000</f>
        <v>6000</v>
      </c>
      <c r="N132" s="528">
        <f>6500/4</f>
        <v>1625</v>
      </c>
      <c r="O132" s="322"/>
      <c r="P132" s="322"/>
      <c r="Q132" s="322"/>
      <c r="R132" s="322"/>
      <c r="S132" s="427"/>
      <c r="T132" s="64"/>
    </row>
    <row r="133" spans="1:21" ht="15" customHeight="1">
      <c r="A133" s="3"/>
      <c r="B133" s="645"/>
      <c r="C133" s="646"/>
      <c r="D133" s="647"/>
      <c r="E133" s="652"/>
      <c r="F133" s="654"/>
      <c r="G133" s="422" t="s">
        <v>86</v>
      </c>
      <c r="H133" s="467">
        <v>4718</v>
      </c>
      <c r="I133" s="453">
        <v>6068</v>
      </c>
      <c r="J133" s="322">
        <v>1552</v>
      </c>
      <c r="K133" s="322">
        <v>2937</v>
      </c>
      <c r="L133" s="322">
        <v>4226</v>
      </c>
      <c r="M133" s="322">
        <v>5534</v>
      </c>
      <c r="N133" s="322">
        <v>1605</v>
      </c>
      <c r="O133" s="322"/>
      <c r="P133" s="322"/>
      <c r="Q133" s="322"/>
      <c r="R133" s="322"/>
      <c r="S133" s="427"/>
      <c r="T133" s="64"/>
    </row>
    <row r="134" spans="1:21" ht="15" hidden="1" customHeight="1">
      <c r="A134" s="3"/>
      <c r="B134" s="713"/>
      <c r="C134" s="714"/>
      <c r="D134" s="715"/>
      <c r="E134" s="650"/>
      <c r="F134" s="651"/>
      <c r="G134" s="423" t="s">
        <v>85</v>
      </c>
      <c r="H134" s="484"/>
      <c r="I134" s="482"/>
      <c r="J134" s="424"/>
      <c r="K134" s="506"/>
      <c r="L134" s="424"/>
      <c r="M134" s="424"/>
      <c r="N134" s="424"/>
      <c r="O134" s="424"/>
      <c r="P134" s="424"/>
      <c r="Q134" s="424"/>
      <c r="R134" s="424"/>
      <c r="S134" s="426"/>
      <c r="T134" s="64"/>
    </row>
    <row r="135" spans="1:21" ht="15" hidden="1" customHeight="1">
      <c r="A135" s="3"/>
      <c r="B135" s="716"/>
      <c r="C135" s="717"/>
      <c r="D135" s="718"/>
      <c r="E135" s="650"/>
      <c r="F135" s="651"/>
      <c r="G135" s="423" t="s">
        <v>86</v>
      </c>
      <c r="H135" s="485"/>
      <c r="I135" s="461"/>
      <c r="J135" s="424"/>
      <c r="K135" s="424"/>
      <c r="L135" s="424"/>
      <c r="M135" s="424"/>
      <c r="N135" s="424"/>
      <c r="O135" s="424"/>
      <c r="P135" s="424"/>
      <c r="Q135" s="424"/>
      <c r="R135" s="424"/>
      <c r="S135" s="426"/>
      <c r="T135" s="64"/>
    </row>
    <row r="136" spans="1:21" ht="15" hidden="1" customHeight="1">
      <c r="A136" s="3"/>
      <c r="B136" s="663"/>
      <c r="C136" s="643"/>
      <c r="D136" s="644"/>
      <c r="E136" s="652"/>
      <c r="F136" s="654"/>
      <c r="G136" s="422" t="s">
        <v>85</v>
      </c>
      <c r="H136" s="454"/>
      <c r="I136" s="453"/>
      <c r="J136" s="322"/>
      <c r="K136" s="322"/>
      <c r="L136" s="322"/>
      <c r="M136" s="322"/>
      <c r="N136" s="322"/>
      <c r="O136" s="322"/>
      <c r="P136" s="322"/>
      <c r="Q136" s="322"/>
      <c r="R136" s="322"/>
      <c r="S136" s="427"/>
      <c r="T136" s="64"/>
    </row>
    <row r="137" spans="1:21" ht="15" hidden="1" customHeight="1" thickBot="1">
      <c r="A137" s="3"/>
      <c r="B137" s="664"/>
      <c r="C137" s="665"/>
      <c r="D137" s="666"/>
      <c r="E137" s="653"/>
      <c r="F137" s="655"/>
      <c r="G137" s="428" t="s">
        <v>86</v>
      </c>
      <c r="H137" s="462"/>
      <c r="I137" s="463"/>
      <c r="J137" s="429"/>
      <c r="K137" s="429"/>
      <c r="L137" s="429"/>
      <c r="M137" s="429"/>
      <c r="N137" s="429"/>
      <c r="O137" s="429"/>
      <c r="P137" s="429"/>
      <c r="Q137" s="429"/>
      <c r="R137" s="429"/>
      <c r="S137" s="430"/>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6"/>
      <c r="C141" s="3"/>
      <c r="D141" s="3"/>
      <c r="E141" s="3"/>
      <c r="F141" s="3"/>
      <c r="G141" s="2"/>
      <c r="H141" s="3"/>
      <c r="I141" s="3"/>
      <c r="J141" s="3"/>
      <c r="K141" s="3"/>
      <c r="L141" s="3"/>
      <c r="M141" s="3"/>
      <c r="N141" s="3"/>
      <c r="O141" s="3"/>
      <c r="R141" s="36"/>
      <c r="S141" s="36"/>
    </row>
    <row r="142" spans="1:21" ht="15.75" thickBot="1">
      <c r="A142" s="3"/>
      <c r="B142" s="3" t="s">
        <v>404</v>
      </c>
      <c r="C142" s="3"/>
      <c r="D142" s="3"/>
      <c r="E142" s="324" t="s">
        <v>327</v>
      </c>
      <c r="F142" s="281" t="s">
        <v>344</v>
      </c>
      <c r="G142" s="244"/>
      <c r="H142" s="387" t="str">
        <f t="shared" ref="H142:S142" si="6">C30</f>
        <v>P1</v>
      </c>
      <c r="I142" s="387" t="str">
        <f t="shared" si="6"/>
        <v>P2</v>
      </c>
      <c r="J142" s="387" t="str">
        <f t="shared" si="6"/>
        <v>P3</v>
      </c>
      <c r="K142" s="387" t="str">
        <f t="shared" si="6"/>
        <v>P4</v>
      </c>
      <c r="L142" s="387" t="str">
        <f t="shared" si="6"/>
        <v>P5</v>
      </c>
      <c r="M142" s="387" t="str">
        <f t="shared" si="6"/>
        <v>P6</v>
      </c>
      <c r="N142" s="387" t="str">
        <f t="shared" si="6"/>
        <v>P7</v>
      </c>
      <c r="O142" s="387" t="str">
        <f t="shared" si="6"/>
        <v>P8</v>
      </c>
      <c r="P142" s="387" t="str">
        <f t="shared" si="6"/>
        <v>P9</v>
      </c>
      <c r="Q142" s="387" t="str">
        <f t="shared" si="6"/>
        <v>P10</v>
      </c>
      <c r="R142" s="387" t="str">
        <f t="shared" si="6"/>
        <v>P11</v>
      </c>
      <c r="S142" s="388" t="str">
        <f t="shared" si="6"/>
        <v>P12</v>
      </c>
      <c r="T142" s="36"/>
      <c r="U142" s="36"/>
    </row>
    <row r="143" spans="1:21">
      <c r="A143" s="3"/>
      <c r="B143" s="704" t="str">
        <f>IF(ISBLANK(B118),"",(B118))</f>
        <v>Percentage of PWID that have received an HIV test during the reporting period and know their results</v>
      </c>
      <c r="C143" s="705"/>
      <c r="D143" s="706"/>
      <c r="E143" s="640" t="str">
        <f>IF(ISBLANK(E118),"",(E118))</f>
        <v>KP-3d</v>
      </c>
      <c r="F143" s="648" t="str">
        <f>IF(ISBLANK(F118),"",(F118))</f>
        <v>Yes</v>
      </c>
      <c r="G143" s="352" t="s">
        <v>85</v>
      </c>
      <c r="H143" s="407">
        <f t="shared" ref="H143:S143" si="7">H118</f>
        <v>25347</v>
      </c>
      <c r="I143" s="407">
        <f t="shared" si="7"/>
        <v>25347</v>
      </c>
      <c r="J143" s="407">
        <f t="shared" si="7"/>
        <v>6958</v>
      </c>
      <c r="K143" s="407">
        <f t="shared" si="7"/>
        <v>13916</v>
      </c>
      <c r="L143" s="407">
        <f t="shared" si="7"/>
        <v>20874</v>
      </c>
      <c r="M143" s="407">
        <f t="shared" si="7"/>
        <v>27832</v>
      </c>
      <c r="N143" s="407">
        <f t="shared" si="7"/>
        <v>7875</v>
      </c>
      <c r="O143" s="407">
        <f t="shared" si="7"/>
        <v>0</v>
      </c>
      <c r="P143" s="407">
        <f t="shared" si="7"/>
        <v>0</v>
      </c>
      <c r="Q143" s="407">
        <f t="shared" si="7"/>
        <v>0</v>
      </c>
      <c r="R143" s="407">
        <f t="shared" si="7"/>
        <v>0</v>
      </c>
      <c r="S143" s="438">
        <f t="shared" si="7"/>
        <v>0</v>
      </c>
      <c r="T143" s="36"/>
      <c r="U143" s="36"/>
    </row>
    <row r="144" spans="1:21">
      <c r="A144" s="3"/>
      <c r="B144" s="707"/>
      <c r="C144" s="708"/>
      <c r="D144" s="709"/>
      <c r="E144" s="640"/>
      <c r="F144" s="648"/>
      <c r="G144" s="128" t="s">
        <v>86</v>
      </c>
      <c r="H144" s="407">
        <f t="shared" ref="H144:K148" si="8">H119</f>
        <v>22099</v>
      </c>
      <c r="I144" s="407">
        <f t="shared" si="8"/>
        <v>28279</v>
      </c>
      <c r="J144" s="407">
        <f t="shared" si="8"/>
        <v>7219</v>
      </c>
      <c r="K144" s="407">
        <f t="shared" si="8"/>
        <v>16129</v>
      </c>
      <c r="L144" s="407">
        <f t="shared" ref="L144:S144" si="9">L119</f>
        <v>18626</v>
      </c>
      <c r="M144" s="407">
        <f t="shared" si="9"/>
        <v>26294</v>
      </c>
      <c r="N144" s="407">
        <f t="shared" si="9"/>
        <v>5762</v>
      </c>
      <c r="O144" s="407">
        <f t="shared" si="9"/>
        <v>0</v>
      </c>
      <c r="P144" s="407">
        <f t="shared" si="9"/>
        <v>0</v>
      </c>
      <c r="Q144" s="407">
        <f t="shared" si="9"/>
        <v>0</v>
      </c>
      <c r="R144" s="407">
        <f t="shared" si="9"/>
        <v>0</v>
      </c>
      <c r="S144" s="438">
        <f t="shared" si="9"/>
        <v>0</v>
      </c>
      <c r="T144" s="36"/>
      <c r="U144" s="36"/>
    </row>
    <row r="145" spans="1:21">
      <c r="A145" s="3"/>
      <c r="B145" s="710" t="str">
        <f>IF(ISBLANK(B120),"",(B120))</f>
        <v>Percentage of MSM reached with HIV prevention programs - defined package of services</v>
      </c>
      <c r="C145" s="711"/>
      <c r="D145" s="712"/>
      <c r="E145" s="667" t="str">
        <f>IF(ISBLANK(E120),"",(E120))</f>
        <v>KP-1a</v>
      </c>
      <c r="F145" s="719" t="str">
        <f>IF(ISBLANK(F120),"",(F120))</f>
        <v>Yes</v>
      </c>
      <c r="G145" s="431" t="s">
        <v>85</v>
      </c>
      <c r="H145" s="432">
        <f t="shared" si="8"/>
        <v>4250</v>
      </c>
      <c r="I145" s="432">
        <f>I120</f>
        <v>4250</v>
      </c>
      <c r="J145" s="432">
        <f t="shared" si="8"/>
        <v>1487.5</v>
      </c>
      <c r="K145" s="432">
        <f>K120</f>
        <v>2975</v>
      </c>
      <c r="L145" s="432">
        <f t="shared" ref="L145:S145" si="10">L120</f>
        <v>4462.5</v>
      </c>
      <c r="M145" s="432">
        <f t="shared" si="10"/>
        <v>5950</v>
      </c>
      <c r="N145" s="432">
        <f t="shared" si="10"/>
        <v>2125</v>
      </c>
      <c r="O145" s="432">
        <f t="shared" si="10"/>
        <v>0</v>
      </c>
      <c r="P145" s="432">
        <f t="shared" si="10"/>
        <v>0</v>
      </c>
      <c r="Q145" s="432">
        <f t="shared" si="10"/>
        <v>0</v>
      </c>
      <c r="R145" s="432">
        <f t="shared" si="10"/>
        <v>0</v>
      </c>
      <c r="S145" s="439">
        <f t="shared" si="10"/>
        <v>0</v>
      </c>
      <c r="T145" s="36"/>
      <c r="U145" s="36"/>
    </row>
    <row r="146" spans="1:21">
      <c r="A146" s="3"/>
      <c r="B146" s="710"/>
      <c r="C146" s="711"/>
      <c r="D146" s="712"/>
      <c r="E146" s="667"/>
      <c r="F146" s="719"/>
      <c r="G146" s="431" t="s">
        <v>86</v>
      </c>
      <c r="H146" s="432">
        <f t="shared" si="8"/>
        <v>3167</v>
      </c>
      <c r="I146" s="432">
        <f t="shared" si="8"/>
        <v>3826</v>
      </c>
      <c r="J146" s="432">
        <f t="shared" si="8"/>
        <v>1383</v>
      </c>
      <c r="K146" s="432">
        <f t="shared" si="8"/>
        <v>2314</v>
      </c>
      <c r="L146" s="432">
        <f t="shared" ref="L146:S146" si="11">L121</f>
        <v>3126</v>
      </c>
      <c r="M146" s="432">
        <f t="shared" si="11"/>
        <v>3846</v>
      </c>
      <c r="N146" s="432">
        <f t="shared" si="11"/>
        <v>1857</v>
      </c>
      <c r="O146" s="432">
        <f t="shared" si="11"/>
        <v>0</v>
      </c>
      <c r="P146" s="432">
        <f t="shared" si="11"/>
        <v>0</v>
      </c>
      <c r="Q146" s="432">
        <f t="shared" si="11"/>
        <v>0</v>
      </c>
      <c r="R146" s="432">
        <f t="shared" si="11"/>
        <v>0</v>
      </c>
      <c r="S146" s="439">
        <f t="shared" si="11"/>
        <v>0</v>
      </c>
      <c r="T146" s="36"/>
      <c r="U146" s="36"/>
    </row>
    <row r="147" spans="1:21">
      <c r="A147" s="3"/>
      <c r="B147" s="657" t="str">
        <f>IF(ISBLANK(B122),"",(B122))</f>
        <v xml:space="preserve">Percentage of people living with HIV currently receiving antiretroviral therapy </v>
      </c>
      <c r="C147" s="658"/>
      <c r="D147" s="659"/>
      <c r="E147" s="640" t="str">
        <f>IF(ISBLANK(E122),"",(E122))</f>
        <v>TCS-1</v>
      </c>
      <c r="F147" s="648" t="str">
        <f>IF(ISBLANK(F122),"",(F122))</f>
        <v>Yes</v>
      </c>
      <c r="G147" s="128" t="s">
        <v>85</v>
      </c>
      <c r="H147" s="407">
        <f t="shared" si="8"/>
        <v>4000</v>
      </c>
      <c r="I147" s="407">
        <f t="shared" si="8"/>
        <v>4000</v>
      </c>
      <c r="J147" s="407">
        <f t="shared" si="8"/>
        <v>4550</v>
      </c>
      <c r="K147" s="407">
        <f t="shared" si="8"/>
        <v>4550</v>
      </c>
      <c r="L147" s="407">
        <f t="shared" ref="L147:S147" si="12">L122</f>
        <v>4550</v>
      </c>
      <c r="M147" s="407">
        <f t="shared" si="12"/>
        <v>4550</v>
      </c>
      <c r="N147" s="407">
        <f t="shared" si="12"/>
        <v>5100</v>
      </c>
      <c r="O147" s="407">
        <f t="shared" si="12"/>
        <v>0</v>
      </c>
      <c r="P147" s="407">
        <f t="shared" si="12"/>
        <v>0</v>
      </c>
      <c r="Q147" s="407">
        <f t="shared" si="12"/>
        <v>0</v>
      </c>
      <c r="R147" s="407">
        <f t="shared" si="12"/>
        <v>0</v>
      </c>
      <c r="S147" s="438">
        <f t="shared" si="12"/>
        <v>0</v>
      </c>
      <c r="T147" s="36"/>
      <c r="U147" s="36"/>
    </row>
    <row r="148" spans="1:21" ht="15.75" thickBot="1">
      <c r="A148" s="3"/>
      <c r="B148" s="660"/>
      <c r="C148" s="661"/>
      <c r="D148" s="662"/>
      <c r="E148" s="641"/>
      <c r="F148" s="649"/>
      <c r="G148" s="129" t="s">
        <v>86</v>
      </c>
      <c r="H148" s="408">
        <f t="shared" si="8"/>
        <v>3518</v>
      </c>
      <c r="I148" s="408">
        <f t="shared" si="8"/>
        <v>3638</v>
      </c>
      <c r="J148" s="408">
        <f t="shared" si="8"/>
        <v>3786</v>
      </c>
      <c r="K148" s="408">
        <f t="shared" si="8"/>
        <v>3899</v>
      </c>
      <c r="L148" s="408">
        <f t="shared" ref="L148:S148" si="13">L123</f>
        <v>4100</v>
      </c>
      <c r="M148" s="408">
        <f t="shared" si="13"/>
        <v>4144</v>
      </c>
      <c r="N148" s="408">
        <f t="shared" si="13"/>
        <v>4260</v>
      </c>
      <c r="O148" s="408">
        <f t="shared" si="13"/>
        <v>0</v>
      </c>
      <c r="P148" s="408">
        <f t="shared" si="13"/>
        <v>0</v>
      </c>
      <c r="Q148" s="408">
        <f t="shared" si="13"/>
        <v>0</v>
      </c>
      <c r="R148" s="408">
        <f t="shared" si="13"/>
        <v>0</v>
      </c>
      <c r="S148" s="440">
        <f t="shared" si="13"/>
        <v>0</v>
      </c>
      <c r="T148" s="36"/>
      <c r="U148" s="36"/>
    </row>
    <row r="149" spans="1:21">
      <c r="A149" s="3"/>
      <c r="B149" s="3"/>
      <c r="C149" s="3"/>
      <c r="D149" s="3"/>
      <c r="E149" s="3"/>
      <c r="F149" s="3"/>
      <c r="G149" s="3"/>
      <c r="H149" s="3"/>
      <c r="I149" s="3"/>
      <c r="J149" s="3"/>
      <c r="K149" s="3"/>
      <c r="L149" s="3"/>
      <c r="M149" s="3"/>
      <c r="N149"/>
      <c r="O149"/>
      <c r="P149" s="36"/>
      <c r="Q149" s="36"/>
      <c r="S149" s="433"/>
    </row>
    <row r="150" spans="1:21">
      <c r="N150"/>
      <c r="O150"/>
      <c r="P150" s="36"/>
      <c r="Q150" s="36"/>
    </row>
    <row r="151" spans="1:21">
      <c r="N151"/>
      <c r="O151"/>
      <c r="P151" s="36"/>
      <c r="Q151" s="36"/>
    </row>
    <row r="152" spans="1:21">
      <c r="N152"/>
      <c r="O152"/>
      <c r="P152" s="36"/>
      <c r="Q152" s="36"/>
    </row>
  </sheetData>
  <mergeCells count="73">
    <mergeCell ref="A118:A123"/>
    <mergeCell ref="B29:N29"/>
    <mergeCell ref="B118:D119"/>
    <mergeCell ref="B60:D60"/>
    <mergeCell ref="F122:F123"/>
    <mergeCell ref="B120:D121"/>
    <mergeCell ref="B122:D123"/>
    <mergeCell ref="C12:D12"/>
    <mergeCell ref="G24:H24"/>
    <mergeCell ref="C6:D6"/>
    <mergeCell ref="E6:F6"/>
    <mergeCell ref="B72:C72"/>
    <mergeCell ref="B18:C18"/>
    <mergeCell ref="D18:F18"/>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3:D144"/>
    <mergeCell ref="B145:D146"/>
    <mergeCell ref="B128:D129"/>
    <mergeCell ref="B130:D131"/>
    <mergeCell ref="B132:D133"/>
    <mergeCell ref="B134:D135"/>
    <mergeCell ref="F132:F133"/>
    <mergeCell ref="F126:F127"/>
    <mergeCell ref="B71:C71"/>
    <mergeCell ref="B26:C26"/>
    <mergeCell ref="B108:B111"/>
    <mergeCell ref="F128:F129"/>
    <mergeCell ref="E130:E131"/>
    <mergeCell ref="F130:F131"/>
    <mergeCell ref="F124:F125"/>
    <mergeCell ref="I24:J24"/>
    <mergeCell ref="B21:J21"/>
    <mergeCell ref="B73:C73"/>
    <mergeCell ref="E122:E123"/>
    <mergeCell ref="B116:D116"/>
    <mergeCell ref="D24:E24"/>
    <mergeCell ref="O31:O34"/>
    <mergeCell ref="E118:E119"/>
    <mergeCell ref="F118:F119"/>
    <mergeCell ref="F120:F121"/>
    <mergeCell ref="E120:E121"/>
    <mergeCell ref="F47:I47"/>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4:N94">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6:S117 H142:S142">
    <cfRule type="cellIs" dxfId="32" priority="18" stopIfTrue="1" operator="equal">
      <formula>$C$16</formula>
    </cfRule>
  </conditionalFormatting>
  <conditionalFormatting sqref="F47:I47">
    <cfRule type="expression" dxfId="31" priority="19" stopIfTrue="1">
      <formula>LEFT($F$47,2)="OK"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C32 E96:F96 D47 E32:F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63" t="str">
        <f>+"Dashboard: "&amp;" "&amp;+IF('Data Entry'!C4="Please Select","",'Data Entry'!C4&amp;" - ")&amp;+IF('Data Entry'!G6="Please Select","",'Data Entry'!G6)</f>
        <v>Dashboard:  Georgia - HIV / AIDS</v>
      </c>
      <c r="C3" s="763"/>
      <c r="D3" s="763"/>
      <c r="E3" s="763"/>
      <c r="F3" s="763"/>
      <c r="G3" s="763"/>
      <c r="H3" s="763"/>
      <c r="I3" s="763"/>
      <c r="J3" s="76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64" t="str">
        <f>+IF('Data Entry'!C4="Please Select","",'Data Entry'!C4)</f>
        <v>Georgia</v>
      </c>
      <c r="C6" s="764"/>
      <c r="D6" s="767" t="s">
        <v>11</v>
      </c>
      <c r="E6" s="767"/>
      <c r="F6" s="768" t="str">
        <f>+'Data Entry'!G4</f>
        <v xml:space="preserve">Sustaining and Scaling up the Effective HIV/AIDS Prevention, Treatment and Care in Georgia </v>
      </c>
      <c r="G6" s="768"/>
      <c r="H6" s="768"/>
      <c r="I6" s="768"/>
      <c r="J6" s="768"/>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328</v>
      </c>
      <c r="D9" s="344" t="str">
        <f>+'Data Entry'!C6</f>
        <v>GEO-H-NCDC</v>
      </c>
      <c r="E9" s="766" t="s">
        <v>12</v>
      </c>
      <c r="F9" s="766"/>
      <c r="G9" s="345">
        <f>+IF(ISBLANK('Data Entry'!C10),"",'Data Entry'!C10)</f>
        <v>42552</v>
      </c>
      <c r="H9" s="377" t="s">
        <v>329</v>
      </c>
      <c r="I9" s="765">
        <f>+IF(ISBLANK('Data Entry'!I6),"",'Data Entry'!I6)</f>
        <v>18462163</v>
      </c>
      <c r="J9" s="765"/>
      <c r="K9" s="50"/>
      <c r="L9" s="50"/>
      <c r="M9" s="50"/>
      <c r="N9" s="50"/>
      <c r="O9" s="52"/>
      <c r="P9" s="51"/>
      <c r="Q9" s="52"/>
      <c r="R9" s="53"/>
      <c r="S9" s="17"/>
      <c r="T9" s="11"/>
      <c r="U9" s="11"/>
      <c r="V9" s="10"/>
      <c r="W9" s="10"/>
      <c r="X9" s="10"/>
    </row>
    <row r="10" spans="1:24" ht="25.5" customHeight="1">
      <c r="A10" s="377" t="s">
        <v>323</v>
      </c>
      <c r="B10" s="346" t="str">
        <f>+IF('Data Entry'!G8="Please Select","",'Data Entry'!G8)</f>
        <v>NFM</v>
      </c>
      <c r="C10" s="224" t="s">
        <v>322</v>
      </c>
      <c r="D10" s="347" t="str">
        <f>+IF('Data Entry'!I8="Please Select","",'Data Entry'!I8)</f>
        <v>N/A</v>
      </c>
      <c r="E10" s="759" t="s">
        <v>268</v>
      </c>
      <c r="F10" s="759"/>
      <c r="G10" s="758" t="str">
        <f>+'Data Entry'!C8</f>
        <v>NCDC</v>
      </c>
      <c r="H10" s="758"/>
      <c r="I10" s="758"/>
      <c r="J10" s="758"/>
      <c r="K10" s="54"/>
      <c r="L10" s="54"/>
      <c r="M10" s="50"/>
      <c r="N10" s="54"/>
      <c r="O10" s="52"/>
      <c r="P10" s="51"/>
      <c r="Q10" s="11"/>
      <c r="R10" s="53"/>
      <c r="S10" s="17"/>
      <c r="T10" s="11"/>
      <c r="U10" s="11"/>
    </row>
    <row r="11" spans="1:24" ht="25.5" customHeight="1">
      <c r="A11" s="377" t="s">
        <v>20</v>
      </c>
      <c r="B11" s="348" t="str">
        <f>+'Data Entry'!C16</f>
        <v>P7</v>
      </c>
      <c r="C11" s="329" t="s">
        <v>266</v>
      </c>
      <c r="D11" s="349">
        <f>+IF(ISBLANK('Data Entry'!E16),"",'Data Entry'!E16)</f>
        <v>43101</v>
      </c>
      <c r="E11" s="766" t="s">
        <v>21</v>
      </c>
      <c r="F11" s="766"/>
      <c r="G11" s="349">
        <f>+IF(ISBLANK('Data Entry'!G16),"",'Data Entry'!G16)</f>
        <v>43190</v>
      </c>
      <c r="H11" s="377" t="s">
        <v>28</v>
      </c>
      <c r="I11" s="760" t="str">
        <f>+IF('Data Entry'!C12="Please Select","",'Data Entry'!C12)</f>
        <v>A2</v>
      </c>
      <c r="J11" s="760"/>
      <c r="K11" s="272"/>
      <c r="L11" s="54"/>
      <c r="M11" s="50"/>
      <c r="N11" s="54"/>
      <c r="O11" s="54"/>
      <c r="P11" s="51"/>
      <c r="Q11" s="11"/>
      <c r="R11" s="53"/>
      <c r="S11" s="17"/>
      <c r="T11" s="12"/>
      <c r="U11" s="11"/>
    </row>
    <row r="12" spans="1:24" ht="25.5" customHeight="1">
      <c r="A12" s="377" t="s">
        <v>30</v>
      </c>
      <c r="B12" s="758" t="str">
        <f>+IF('Data Entry'!G10="Please Select","",'Data Entry'!G10)</f>
        <v>UNOPS</v>
      </c>
      <c r="C12" s="758"/>
      <c r="D12" s="758"/>
      <c r="E12" s="759" t="s">
        <v>289</v>
      </c>
      <c r="F12" s="759"/>
      <c r="G12" s="758" t="str">
        <f>+'Data Entry'!G12</f>
        <v xml:space="preserve">Gyongyver Jakab </v>
      </c>
      <c r="H12" s="758"/>
      <c r="I12" s="758"/>
      <c r="J12" s="758"/>
      <c r="K12" s="54"/>
      <c r="L12" s="54"/>
      <c r="M12" s="50"/>
      <c r="N12" s="54"/>
      <c r="O12" s="17"/>
      <c r="P12" s="51"/>
      <c r="Q12" s="11"/>
      <c r="R12" s="53"/>
      <c r="S12" s="17"/>
      <c r="T12" s="11"/>
      <c r="U12" s="55"/>
      <c r="V12" s="11"/>
      <c r="W12" s="12"/>
      <c r="X12" s="11"/>
    </row>
    <row r="13" spans="1:24" ht="25.5" customHeight="1">
      <c r="A13" s="377" t="s">
        <v>31</v>
      </c>
      <c r="B13" s="758" t="str">
        <f>+'Data Entry'!D18</f>
        <v>Alexander Asatiani</v>
      </c>
      <c r="C13" s="758"/>
      <c r="D13" s="758"/>
      <c r="E13" s="759" t="s">
        <v>29</v>
      </c>
      <c r="F13" s="759"/>
      <c r="G13" s="761">
        <f>+IF(ISBLANK('Data Entry'!J16),"",'Data Entry'!J16)</f>
        <v>43206</v>
      </c>
      <c r="H13" s="762"/>
      <c r="I13" s="762"/>
      <c r="J13" s="762"/>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10" zoomScaleNormal="110" zoomScalePageLayoutView="16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87" t="str">
        <f>+"Dashboard:  "&amp;"  "&amp;IF(+'Data Entry'!C4="Please Select","",'Data Entry'!C4&amp;" - ")&amp;IF('Data Entry'!G6="Please Select","",'Data Entry'!G6)</f>
        <v>Dashboard:    Georgia - HIV / AIDS</v>
      </c>
      <c r="C2" s="687"/>
      <c r="D2" s="687"/>
      <c r="E2" s="687"/>
      <c r="F2" s="687"/>
      <c r="G2" s="687"/>
      <c r="H2" s="687"/>
      <c r="I2" s="687"/>
      <c r="J2" s="687"/>
      <c r="K2" s="687"/>
      <c r="L2" s="1"/>
      <c r="M2" s="1"/>
      <c r="N2" s="1"/>
      <c r="O2" s="1"/>
    </row>
    <row r="3" spans="2:15">
      <c r="B3" s="132" t="str">
        <f>+IF('Data Entry'!G8="Please Select","",'Data Entry'!G8)</f>
        <v>NFM</v>
      </c>
      <c r="C3" s="782" t="str">
        <f>+IF('Data Entry'!I8="Please Select","",'Data Entry'!I8)</f>
        <v>N/A</v>
      </c>
      <c r="D3" s="782"/>
      <c r="E3" s="781"/>
      <c r="F3" s="781"/>
      <c r="G3" s="781"/>
      <c r="H3" s="781"/>
      <c r="I3" s="779" t="str">
        <f>+'Data Entry'!B16</f>
        <v>Report Period:</v>
      </c>
      <c r="J3" s="779"/>
      <c r="K3" s="197" t="str">
        <f>+'Data Entry'!C16</f>
        <v>P7</v>
      </c>
      <c r="L3" s="83"/>
    </row>
    <row r="4" spans="2:15">
      <c r="B4" s="132" t="str">
        <f>+'Data Entry'!B12</f>
        <v>Latest Rating:</v>
      </c>
      <c r="C4" s="783" t="str">
        <f>+IF('Data Entry'!C12="Please Select","",'Data Entry'!C12)</f>
        <v>A2</v>
      </c>
      <c r="D4" s="783"/>
      <c r="E4" s="781" t="str">
        <f>+'Data Entry'!C8</f>
        <v>NCDC</v>
      </c>
      <c r="F4" s="781"/>
      <c r="G4" s="781"/>
      <c r="H4" s="781"/>
      <c r="I4" s="779" t="str">
        <f>+'Data Entry'!D16</f>
        <v>From:</v>
      </c>
      <c r="J4" s="780"/>
      <c r="K4" s="199">
        <f>+IF(ISBLANK('Data Entry'!E16),"",'Data Entry'!E16)</f>
        <v>43101</v>
      </c>
    </row>
    <row r="5" spans="2:15" ht="18.75" customHeight="1">
      <c r="B5" s="132"/>
      <c r="C5" s="132"/>
      <c r="D5" s="778" t="str">
        <f>+'Data Entry'!G4</f>
        <v xml:space="preserve">Sustaining and Scaling up the Effective HIV/AIDS Prevention, Treatment and Care in Georgia </v>
      </c>
      <c r="E5" s="778"/>
      <c r="F5" s="778"/>
      <c r="G5" s="778"/>
      <c r="H5" s="778"/>
      <c r="I5" s="778"/>
      <c r="J5" s="132" t="str">
        <f>+'Data Entry'!F16</f>
        <v>To:</v>
      </c>
      <c r="K5" s="199">
        <f>+IF(ISBLANK('Data Entry'!G16),"",'Data Entry'!G16)</f>
        <v>43190</v>
      </c>
    </row>
    <row r="6" spans="2:15" ht="18.75">
      <c r="B6" s="136"/>
      <c r="C6" s="132"/>
      <c r="D6" s="133"/>
      <c r="E6" s="784" t="s">
        <v>62</v>
      </c>
      <c r="F6" s="784"/>
      <c r="G6" s="784"/>
      <c r="H6" s="784"/>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P7</v>
      </c>
      <c r="C8" s="142"/>
      <c r="D8" s="2"/>
      <c r="E8" s="2"/>
      <c r="F8" s="2"/>
      <c r="H8" s="202" t="str">
        <f>+'Data Entry'!B49&amp; " - in ("&amp;'Data Entry'!D26&amp;")         "&amp;+I3&amp;" "&amp;+K3</f>
        <v>F3: Disbursements and expenditures - in ($)         Report Period: P7</v>
      </c>
      <c r="I8" s="3"/>
      <c r="J8" s="3"/>
      <c r="K8" s="3"/>
    </row>
    <row r="9" spans="2:15">
      <c r="B9" s="353" t="s">
        <v>9</v>
      </c>
      <c r="C9" s="790"/>
      <c r="D9" s="772"/>
      <c r="E9" s="772"/>
      <c r="F9" s="773"/>
      <c r="H9" s="354" t="s">
        <v>9</v>
      </c>
      <c r="I9" s="769"/>
      <c r="J9" s="772"/>
      <c r="K9" s="773"/>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P7</v>
      </c>
      <c r="C22" s="2"/>
      <c r="D22" s="2"/>
      <c r="E22" s="2"/>
      <c r="F22" s="2"/>
      <c r="H22" s="203" t="str">
        <f>+'Data Entry'!B58&amp;"      "&amp;+I3&amp;" "&amp;+K3</f>
        <v>F4: Latest PR reporting and disbursement cycle      Report Period: P7</v>
      </c>
      <c r="J22" s="3"/>
      <c r="K22" s="3"/>
    </row>
    <row r="23" spans="1:11">
      <c r="B23" s="354" t="s">
        <v>10</v>
      </c>
      <c r="C23" s="769"/>
      <c r="D23" s="772"/>
      <c r="E23" s="772"/>
      <c r="F23" s="773"/>
      <c r="G23" s="374"/>
      <c r="H23" s="354" t="s">
        <v>9</v>
      </c>
      <c r="I23" s="769"/>
      <c r="J23" s="770"/>
      <c r="K23" s="771"/>
    </row>
    <row r="24" spans="1:11" ht="15.75" thickBot="1">
      <c r="B24" s="212"/>
      <c r="C24" s="212"/>
      <c r="D24" s="212"/>
      <c r="E24" s="212"/>
      <c r="F24" s="212"/>
      <c r="G24" s="212"/>
      <c r="H24" s="213"/>
      <c r="I24" s="213"/>
      <c r="J24" s="212"/>
      <c r="K24" s="212"/>
    </row>
    <row r="25" spans="1:11" ht="29.25" customHeight="1" thickBot="1">
      <c r="B25" s="3"/>
      <c r="C25" s="3"/>
      <c r="D25" s="3"/>
      <c r="E25" s="3"/>
      <c r="F25" s="3"/>
      <c r="G25" s="327"/>
      <c r="H25" s="785" t="s">
        <v>308</v>
      </c>
      <c r="I25" s="786"/>
      <c r="J25" s="786"/>
      <c r="K25" s="787"/>
    </row>
    <row r="26" spans="1:11" ht="24.75">
      <c r="B26" s="3"/>
      <c r="C26" s="3"/>
      <c r="D26" s="3"/>
      <c r="E26" s="3"/>
      <c r="F26" s="3"/>
      <c r="G26" s="289"/>
      <c r="H26" s="788"/>
      <c r="I26" s="789"/>
      <c r="J26" s="305" t="s">
        <v>60</v>
      </c>
      <c r="K26" s="306" t="s">
        <v>61</v>
      </c>
    </row>
    <row r="27" spans="1:11" ht="23.25" customHeight="1">
      <c r="B27" s="3"/>
      <c r="C27" s="3"/>
      <c r="D27" s="3"/>
      <c r="E27" s="3"/>
      <c r="F27" s="3"/>
      <c r="G27" s="328"/>
      <c r="H27" s="774" t="str">
        <f>'Data Entry'!B62</f>
        <v>Days taken to submit final PU/DR to LFA</v>
      </c>
      <c r="I27" s="775"/>
      <c r="J27" s="307">
        <f>+'Data Entry'!C62</f>
        <v>95</v>
      </c>
      <c r="K27" s="304" t="str">
        <f>+'Data Entry'!D62</f>
        <v>N/A</v>
      </c>
    </row>
    <row r="28" spans="1:11" ht="21" customHeight="1">
      <c r="B28" s="3"/>
      <c r="C28" s="3"/>
      <c r="D28" s="3"/>
      <c r="E28" s="3"/>
      <c r="F28" s="3"/>
      <c r="G28" s="328"/>
      <c r="H28" s="774" t="str">
        <f>'Data Entry'!B63</f>
        <v>Days taken for disbursement to reach PR</v>
      </c>
      <c r="I28" s="775"/>
      <c r="J28" s="307">
        <f>+'Data Entry'!C63</f>
        <v>45</v>
      </c>
      <c r="K28" s="304" t="str">
        <f>+'Data Entry'!D63</f>
        <v>N/A</v>
      </c>
    </row>
    <row r="29" spans="1:11" ht="21" customHeight="1" thickBot="1">
      <c r="B29" s="3"/>
      <c r="C29" s="3"/>
      <c r="D29" s="3"/>
      <c r="E29" s="3"/>
      <c r="F29" s="3"/>
      <c r="G29" s="328"/>
      <c r="H29" s="776" t="str">
        <f>'Data Entry'!B64</f>
        <v xml:space="preserve">Days taken for disbursement to reach SRs </v>
      </c>
      <c r="I29" s="777"/>
      <c r="J29" s="308">
        <f>+'Data Entry'!C64</f>
        <v>5</v>
      </c>
      <c r="K29" s="309">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E6:H6"/>
    <mergeCell ref="H25:K25"/>
    <mergeCell ref="H26:I26"/>
    <mergeCell ref="H27:I27"/>
    <mergeCell ref="C9:F9"/>
    <mergeCell ref="B2:K2"/>
    <mergeCell ref="D5:I5"/>
    <mergeCell ref="I4:J4"/>
    <mergeCell ref="I3:J3"/>
    <mergeCell ref="E3:H3"/>
    <mergeCell ref="C3:D3"/>
    <mergeCell ref="C4:D4"/>
    <mergeCell ref="E4:H4"/>
    <mergeCell ref="I23:K23"/>
    <mergeCell ref="C23:F23"/>
    <mergeCell ref="I9:K9"/>
    <mergeCell ref="H28:I28"/>
    <mergeCell ref="H29:I29"/>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9" zoomScale="130" zoomScaleNormal="130" zoomScalePageLayoutView="130" workbookViewId="0">
      <selection activeCell="L32" sqref="L32"/>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3.7109375" customWidth="1"/>
    <col min="11" max="11" width="13.42578125" customWidth="1"/>
    <col min="12" max="12" width="14.140625" customWidth="1"/>
    <col min="13" max="13" width="37.7109375" customWidth="1"/>
  </cols>
  <sheetData>
    <row r="1" spans="1:16" ht="28.5" customHeight="1">
      <c r="C1" s="230"/>
      <c r="E1" s="231"/>
    </row>
    <row r="2" spans="1:16" ht="27.75" customHeight="1">
      <c r="B2" s="796" t="str">
        <f>+"Dashboard:  "&amp;"  "&amp;IF(+'Data Entry'!C4="Please Select","",'Data Entry'!C4&amp;" - ")&amp;IF('Data Entry'!G6="Please Select","",'Data Entry'!G6)</f>
        <v>Dashboard:    Georgia - HIV / AIDS</v>
      </c>
      <c r="C2" s="796"/>
      <c r="D2" s="796"/>
      <c r="E2" s="796"/>
      <c r="F2" s="796"/>
      <c r="G2" s="796"/>
      <c r="H2" s="796"/>
      <c r="I2" s="796"/>
      <c r="J2" s="796"/>
      <c r="K2" s="796"/>
      <c r="L2" s="796"/>
      <c r="M2" s="26"/>
      <c r="N2" s="26"/>
      <c r="O2" s="26"/>
      <c r="P2" s="26"/>
    </row>
    <row r="3" spans="1:16">
      <c r="B3" s="24" t="str">
        <f>+IF('Data Entry'!G8="Please Select","",'Data Entry'!G8)</f>
        <v>NFM</v>
      </c>
      <c r="C3" s="794" t="str">
        <f>+IF('Data Entry'!I8="Please Select","",'Data Entry'!I8)</f>
        <v>N/A</v>
      </c>
      <c r="D3" s="794"/>
      <c r="E3" s="795"/>
      <c r="F3" s="795"/>
      <c r="G3" s="795"/>
      <c r="H3" s="795"/>
      <c r="I3" s="795"/>
      <c r="J3" s="798" t="str">
        <f>+'Data Entry'!B16</f>
        <v>Report Period:</v>
      </c>
      <c r="K3" s="798"/>
      <c r="L3" s="197" t="str">
        <f>+'Data Entry'!C16</f>
        <v>P7</v>
      </c>
    </row>
    <row r="4" spans="1:16">
      <c r="B4" s="24" t="str">
        <f>+'Data Entry'!B12</f>
        <v>Latest Rating:</v>
      </c>
      <c r="C4" s="783" t="str">
        <f>+IF('Data Entry'!C12="Please Select","",'Data Entry'!C12)</f>
        <v>A2</v>
      </c>
      <c r="D4" s="783"/>
      <c r="E4" s="795" t="str">
        <f>+'Data Entry'!C8</f>
        <v>NCDC</v>
      </c>
      <c r="F4" s="795"/>
      <c r="G4" s="795"/>
      <c r="H4" s="795"/>
      <c r="I4" s="795"/>
      <c r="J4" s="798" t="str">
        <f>+'Data Entry'!D16</f>
        <v>From:</v>
      </c>
      <c r="K4" s="802"/>
      <c r="L4" s="199">
        <f>+IF(ISBLANK('Data Entry'!E16),"",'Data Entry'!E16)</f>
        <v>43101</v>
      </c>
    </row>
    <row r="5" spans="1:16" ht="18.75" customHeight="1">
      <c r="B5" s="24"/>
      <c r="C5" s="24"/>
      <c r="D5" s="795" t="str">
        <f>+'Data Entry'!G4</f>
        <v xml:space="preserve">Sustaining and Scaling up the Effective HIV/AIDS Prevention, Treatment and Care in Georgia </v>
      </c>
      <c r="E5" s="795"/>
      <c r="F5" s="795"/>
      <c r="G5" s="795"/>
      <c r="H5" s="795"/>
      <c r="I5" s="795"/>
      <c r="J5" s="795"/>
      <c r="K5" s="24" t="str">
        <f>+'Data Entry'!F16</f>
        <v>To:</v>
      </c>
      <c r="L5" s="199">
        <f>+IF(ISBLANK('Data Entry'!G16),"",'Data Entry'!G16)</f>
        <v>43190</v>
      </c>
    </row>
    <row r="6" spans="1:16" ht="18.75">
      <c r="B6" s="23"/>
      <c r="C6" s="24"/>
      <c r="D6" s="25"/>
      <c r="E6" s="797" t="s">
        <v>69</v>
      </c>
      <c r="F6" s="797"/>
      <c r="G6" s="797"/>
      <c r="H6" s="797"/>
      <c r="I6" s="797"/>
    </row>
    <row r="7" spans="1:16">
      <c r="B7" s="375" t="str">
        <f>+'Data Entry'!B69&amp;"                "&amp;+J3&amp;" "&amp;+L3</f>
        <v>M1: Status of Conditions Precedent (CPs) and Time Bound Actions (TBAs)                Report Period: P7</v>
      </c>
      <c r="C7" s="21"/>
      <c r="H7" s="375" t="str">
        <f>+'Data Entry'!B76&amp;"                                                                             "&amp;+J3&amp;"  "&amp;+L3</f>
        <v>M2: Status of key PR management positions                                                                             Report Period:  P7</v>
      </c>
    </row>
    <row r="8" spans="1:16">
      <c r="B8" s="355" t="s">
        <v>9</v>
      </c>
      <c r="C8" s="769"/>
      <c r="D8" s="770"/>
      <c r="E8" s="770"/>
      <c r="F8" s="771"/>
      <c r="G8" s="376"/>
      <c r="H8" s="354" t="s">
        <v>9</v>
      </c>
      <c r="I8" s="769"/>
      <c r="J8" s="792"/>
      <c r="K8" s="792"/>
      <c r="L8" s="793"/>
    </row>
    <row r="9" spans="1:16">
      <c r="B9" s="19"/>
      <c r="C9" s="19"/>
      <c r="D9" s="19"/>
      <c r="E9" s="19"/>
      <c r="F9" s="19"/>
      <c r="G9" s="19"/>
      <c r="H9" s="19"/>
    </row>
    <row r="10" spans="1:16">
      <c r="A10" s="47"/>
      <c r="B10" s="19"/>
      <c r="C10" s="19"/>
      <c r="D10" s="803"/>
      <c r="E10" s="547"/>
      <c r="F10" s="547"/>
      <c r="G10" s="206"/>
      <c r="H10" s="19"/>
      <c r="N10" s="49"/>
      <c r="O10" s="49"/>
      <c r="P10" s="48"/>
    </row>
    <row r="11" spans="1:16">
      <c r="B11" s="19"/>
      <c r="C11" s="28"/>
      <c r="D11" s="803"/>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Entry'!B81&amp;"                                                                                                  "&amp;+J3&amp;" "&amp;+L3</f>
        <v>M3: Contractual arrangements (SRs)                                                                                                   Report Period: P7</v>
      </c>
      <c r="H15" s="375" t="str">
        <f>+'Data Entry'!B86&amp;"                                                             "&amp;+J3&amp;" "&amp;+L3</f>
        <v>M4: Number of complete reports received on time                                                             Report Period: P7</v>
      </c>
    </row>
    <row r="16" spans="1:16">
      <c r="B16" s="355" t="s">
        <v>9</v>
      </c>
      <c r="C16" s="769"/>
      <c r="D16" s="792"/>
      <c r="E16" s="792"/>
      <c r="F16" s="793"/>
      <c r="G16" s="376"/>
      <c r="H16" s="354" t="s">
        <v>9</v>
      </c>
      <c r="I16" s="769"/>
      <c r="J16" s="770"/>
      <c r="K16" s="770"/>
      <c r="L16" s="771"/>
    </row>
    <row r="17" spans="2:13">
      <c r="B17" s="29"/>
      <c r="H17" s="30"/>
    </row>
    <row r="18" spans="2:13">
      <c r="M18" s="83"/>
    </row>
    <row r="26" spans="2:13">
      <c r="B26" s="375" t="str">
        <f>+'Data Entry'!B92</f>
        <v>M5: Budget and Procurement of health products, health equipment, medicines and pharmaceuticals</v>
      </c>
      <c r="H26" s="375" t="str">
        <f>+'Data Entry'!B105&amp;"                                                                "&amp;+J3&amp;"  "&amp;+L3</f>
        <v>M6: Difference between current and safety stock                                                                Report Period:  P7</v>
      </c>
    </row>
    <row r="27" spans="2:13">
      <c r="B27" s="353" t="s">
        <v>9</v>
      </c>
      <c r="C27" s="790"/>
      <c r="D27" s="792"/>
      <c r="E27" s="792"/>
      <c r="F27" s="793"/>
      <c r="G27" s="376"/>
      <c r="H27" s="354" t="s">
        <v>9</v>
      </c>
      <c r="I27" s="769"/>
      <c r="J27" s="770"/>
      <c r="K27" s="770"/>
      <c r="L27" s="771"/>
    </row>
    <row r="28" spans="2:13" ht="15.75" thickBot="1"/>
    <row r="29" spans="2:13" ht="55.5" customHeight="1">
      <c r="F29" s="334"/>
      <c r="G29" s="334"/>
      <c r="H29" s="218" t="s">
        <v>32</v>
      </c>
      <c r="I29" s="330" t="s">
        <v>79</v>
      </c>
      <c r="J29" s="351" t="s">
        <v>343</v>
      </c>
      <c r="K29" s="217" t="s">
        <v>331</v>
      </c>
      <c r="L29" s="331" t="s">
        <v>330</v>
      </c>
    </row>
    <row r="30" spans="2:13" ht="25.5" customHeight="1">
      <c r="F30" s="334"/>
      <c r="G30" s="334"/>
      <c r="H30" s="799" t="str">
        <f>+'Data Entry'!B108</f>
        <v>Please Select</v>
      </c>
      <c r="I30" s="332" t="str">
        <f>+'Data Entry'!C108</f>
        <v>Zidovudine/Lamivudine</v>
      </c>
      <c r="J30" s="497">
        <f>+'Data Entry'!I108</f>
        <v>9.3139377537212447</v>
      </c>
      <c r="K30" s="498">
        <f>+'Data Entry'!J108</f>
        <v>6</v>
      </c>
      <c r="L30" s="495">
        <f>J30-K30</f>
        <v>3.3139377537212447</v>
      </c>
      <c r="M30" s="494"/>
    </row>
    <row r="31" spans="2:13">
      <c r="F31" s="334"/>
      <c r="G31" s="334"/>
      <c r="H31" s="800"/>
      <c r="I31" s="332" t="str">
        <f>+'Data Entry'!C109</f>
        <v>Syringes (1ml)</v>
      </c>
      <c r="J31" s="497">
        <f>+'Data Entry'!I109</f>
        <v>4.061027027027027</v>
      </c>
      <c r="K31" s="498">
        <f>+'Data Entry'!J109</f>
        <v>3</v>
      </c>
      <c r="L31" s="529">
        <f t="shared" ref="L31:L33" si="0">J31-K31</f>
        <v>1.061027027027027</v>
      </c>
      <c r="M31" s="483" t="s">
        <v>466</v>
      </c>
    </row>
    <row r="32" spans="2:13">
      <c r="F32" s="334"/>
      <c r="G32" s="334"/>
      <c r="H32" s="800"/>
      <c r="I32" s="332" t="str">
        <f>+'Data Entry'!C110</f>
        <v>Condoms (Tanadgoma)</v>
      </c>
      <c r="J32" s="497">
        <f>+'Data Entry'!I110</f>
        <v>19.394526854747969</v>
      </c>
      <c r="K32" s="498">
        <f>+'Data Entry'!J110</f>
        <v>3</v>
      </c>
      <c r="L32" s="496">
        <f t="shared" si="0"/>
        <v>16.394526854747969</v>
      </c>
      <c r="M32" s="483"/>
    </row>
    <row r="33" spans="2:13" ht="15.75" hidden="1" thickBot="1">
      <c r="F33" s="334"/>
      <c r="G33" s="334"/>
      <c r="H33" s="801"/>
      <c r="I33" s="333" t="str">
        <f>+'Data Entry'!C111</f>
        <v>Condoms (EM)</v>
      </c>
      <c r="J33" s="499">
        <f>+'Data Entry'!I111</f>
        <v>0.90140845070422537</v>
      </c>
      <c r="K33" s="500">
        <f>+'Data Entry'!J111</f>
        <v>3</v>
      </c>
      <c r="L33" s="496">
        <f t="shared" si="0"/>
        <v>-2.0985915492957745</v>
      </c>
      <c r="M33" s="494"/>
    </row>
    <row r="34" spans="2:13" ht="24.75" customHeight="1">
      <c r="B34" s="791" t="str">
        <f>+'Data Entry'!B102</f>
        <v>* Includes only EFR category 4 and 5  (Health products and health equipment &amp; Medicines and Pharmaceuticals)</v>
      </c>
      <c r="C34" s="791"/>
      <c r="D34" s="791"/>
      <c r="E34" s="791"/>
      <c r="F34" s="19"/>
      <c r="G34" s="19"/>
      <c r="H34" s="214"/>
      <c r="I34" s="215"/>
      <c r="J34" s="216"/>
      <c r="K34" s="206"/>
      <c r="L34" s="20"/>
    </row>
    <row r="35" spans="2:13">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24" workbookViewId="0">
      <selection activeCell="F24" sqref="F24"/>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07" t="str">
        <f>+"Dashboard:  "&amp;"  "&amp;IF(+'Data Entry'!C4="Please Select","",'Data Entry'!C4&amp;" - ")&amp;IF('Data Entry'!G6="Please Select","",'Data Entry'!G6)</f>
        <v>Dashboard:    Georgia - HIV / AIDS</v>
      </c>
      <c r="C2" s="807"/>
      <c r="D2" s="807"/>
      <c r="E2" s="807"/>
      <c r="F2" s="807"/>
      <c r="G2" s="807"/>
      <c r="H2" s="807"/>
      <c r="I2" s="807"/>
      <c r="J2" s="807"/>
      <c r="K2" s="807"/>
      <c r="L2" s="807"/>
      <c r="M2" s="807"/>
      <c r="N2" s="807"/>
      <c r="O2" s="807"/>
      <c r="P2" s="807"/>
      <c r="Q2" s="807"/>
    </row>
    <row r="3" spans="1:35" ht="18.75">
      <c r="A3" s="3"/>
      <c r="B3" s="132" t="str">
        <f>+IF('Data Entry'!G8="Please Select","",'Data Entry'!G8)</f>
        <v>NFM</v>
      </c>
      <c r="C3" s="782" t="str">
        <f>+IF('Data Entry'!I8="Please Select","",'Data Entry'!I8)</f>
        <v>N/A</v>
      </c>
      <c r="D3" s="782"/>
      <c r="E3" s="781"/>
      <c r="F3" s="781"/>
      <c r="G3" s="781"/>
      <c r="H3" s="781"/>
      <c r="I3" s="810"/>
      <c r="J3" s="810"/>
      <c r="K3" s="810"/>
      <c r="L3" s="3"/>
      <c r="M3" s="3"/>
      <c r="O3" s="779" t="str">
        <f>+'Data Entry'!B16</f>
        <v>Report Period:</v>
      </c>
      <c r="P3" s="779"/>
      <c r="Q3" s="198" t="str">
        <f>+'Data Entry'!C16</f>
        <v>P7</v>
      </c>
    </row>
    <row r="4" spans="1:35" ht="12" customHeight="1">
      <c r="A4" s="3"/>
      <c r="B4" s="132" t="str">
        <f>+'Data Entry'!B12</f>
        <v>Latest Rating:</v>
      </c>
      <c r="C4" s="811" t="str">
        <f>+IF('Data Entry'!C12="Please Select","",'Data Entry'!C12)</f>
        <v>A2</v>
      </c>
      <c r="D4" s="811"/>
      <c r="E4" s="781" t="str">
        <f>+'Data Entry'!C8</f>
        <v>NCDC</v>
      </c>
      <c r="F4" s="781"/>
      <c r="G4" s="781"/>
      <c r="H4" s="781"/>
      <c r="I4" s="781"/>
      <c r="J4" s="781"/>
      <c r="K4" s="781"/>
      <c r="L4" s="781"/>
      <c r="M4" s="3"/>
      <c r="O4" s="336"/>
      <c r="P4" s="132" t="str">
        <f>+'Data Entry'!D16</f>
        <v>From:</v>
      </c>
      <c r="Q4" s="337">
        <f>+IF(ISBLANK('Data Entry'!E16),"",'Data Entry'!E16)</f>
        <v>43101</v>
      </c>
      <c r="Y4" s="71"/>
      <c r="Z4" s="71"/>
      <c r="AA4" s="71"/>
      <c r="AB4" s="71"/>
      <c r="AC4" s="71"/>
    </row>
    <row r="5" spans="1:35" ht="15.75" customHeight="1">
      <c r="A5" s="3"/>
      <c r="B5" s="132"/>
      <c r="C5" s="132"/>
      <c r="D5" s="781" t="str">
        <f>+'Data Entry'!G4</f>
        <v xml:space="preserve">Sustaining and Scaling up the Effective HIV/AIDS Prevention, Treatment and Care in Georgia </v>
      </c>
      <c r="E5" s="781"/>
      <c r="F5" s="781"/>
      <c r="G5" s="781"/>
      <c r="H5" s="781"/>
      <c r="I5" s="781"/>
      <c r="J5" s="781"/>
      <c r="K5" s="781"/>
      <c r="L5" s="781"/>
      <c r="M5" s="781"/>
      <c r="N5" s="781"/>
      <c r="P5" s="132" t="str">
        <f>+'Data Entry'!F16</f>
        <v>To:</v>
      </c>
      <c r="Q5" s="337">
        <f>+IF(ISBLANK('Data Entry'!G16),"",'Data Entry'!G16)</f>
        <v>43190</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09" t="s">
        <v>392</v>
      </c>
      <c r="G6" s="809"/>
      <c r="H6" s="809"/>
      <c r="I6" s="809"/>
      <c r="J6" s="809"/>
      <c r="K6" s="809"/>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08" t="str">
        <f>+'Data Entry'!B118</f>
        <v>Percentage of PWID that have received an HIV test during the reporting period and know their results</v>
      </c>
      <c r="C8" s="808"/>
      <c r="D8" s="808"/>
      <c r="E8" s="808"/>
      <c r="F8" s="808" t="str">
        <f>+'Data Entry'!B120</f>
        <v>Percentage of MSM reached with HIV prevention programs - defined package of services</v>
      </c>
      <c r="G8" s="808"/>
      <c r="H8" s="808"/>
      <c r="I8" s="808"/>
      <c r="J8" s="808"/>
      <c r="K8" s="808"/>
      <c r="L8" s="808" t="str">
        <f>+'Data Entry'!B122</f>
        <v xml:space="preserve">Percentage of people living with HIV currently receiving antiretroviral therapy </v>
      </c>
      <c r="M8" s="808"/>
      <c r="N8" s="808"/>
      <c r="O8" s="808"/>
      <c r="P8" s="808"/>
      <c r="Q8" s="808"/>
      <c r="S8" s="225"/>
      <c r="T8" s="225"/>
      <c r="U8" s="225"/>
      <c r="V8" s="225"/>
      <c r="W8" s="225"/>
      <c r="X8" s="225"/>
      <c r="Y8" s="71"/>
      <c r="Z8" s="71"/>
      <c r="AA8" s="71"/>
      <c r="AB8" s="71"/>
      <c r="AC8" s="71"/>
      <c r="AD8" s="225"/>
      <c r="AE8" s="225"/>
      <c r="AF8" s="225"/>
      <c r="AG8" s="225"/>
      <c r="AH8" s="225"/>
      <c r="AI8" s="225"/>
    </row>
    <row r="9" spans="1:35" ht="24" customHeight="1">
      <c r="A9" s="3"/>
      <c r="B9" s="441" t="s">
        <v>410</v>
      </c>
      <c r="C9" s="833"/>
      <c r="D9" s="836"/>
      <c r="E9" s="837"/>
      <c r="F9" s="441" t="s">
        <v>411</v>
      </c>
      <c r="G9" s="833"/>
      <c r="H9" s="838"/>
      <c r="I9" s="838"/>
      <c r="J9" s="838"/>
      <c r="K9" s="839"/>
      <c r="L9" s="441" t="s">
        <v>412</v>
      </c>
      <c r="M9" s="833"/>
      <c r="N9" s="834"/>
      <c r="O9" s="834"/>
      <c r="P9" s="834"/>
      <c r="Q9" s="835"/>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44"/>
      <c r="F18" s="844"/>
      <c r="G18" s="844"/>
      <c r="H18" s="844"/>
      <c r="I18" s="844"/>
      <c r="J18" s="844"/>
      <c r="K18" s="844"/>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45" t="s">
        <v>88</v>
      </c>
      <c r="C19" s="845"/>
      <c r="D19" s="845"/>
      <c r="E19" s="143" t="s">
        <v>85</v>
      </c>
      <c r="F19" s="143" t="s">
        <v>89</v>
      </c>
      <c r="G19" s="840" t="s">
        <v>332</v>
      </c>
      <c r="H19" s="841"/>
      <c r="I19" s="842" t="s">
        <v>333</v>
      </c>
      <c r="J19" s="843"/>
      <c r="K19" s="335" t="s">
        <v>334</v>
      </c>
      <c r="L19" s="846" t="s">
        <v>92</v>
      </c>
      <c r="M19" s="847"/>
      <c r="N19" s="847"/>
      <c r="O19" s="847"/>
      <c r="P19" s="847"/>
      <c r="Q19" s="848"/>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16" t="str">
        <f>+'Data Entry'!B118</f>
        <v>Percentage of PWID that have received an HIV test during the reporting period and know their results</v>
      </c>
      <c r="C20" s="816"/>
      <c r="D20" s="816"/>
      <c r="E20" s="466">
        <f ca="1">OFFSET('Data Entry'!$G$117,1,RIGHT('Data Entry'!$C$16,LEN('Data Entry'!$C$16)-1),1,1)</f>
        <v>7875</v>
      </c>
      <c r="F20" s="466">
        <f ca="1">OFFSET('Data Entry'!$G$117,2,RIGHT('Data Entry'!$C$16,LEN('Data Entry'!$C$16)-1),1,1)</f>
        <v>5762</v>
      </c>
      <c r="G20" s="804">
        <f t="shared" ref="G20:G27" ca="1" si="0">+IF(ISERROR(F20/E20),0,F20/E20)</f>
        <v>0.73168253968253971</v>
      </c>
      <c r="H20" s="805"/>
      <c r="I20" s="805"/>
      <c r="J20" s="805"/>
      <c r="K20" s="806"/>
      <c r="L20" s="825"/>
      <c r="M20" s="826"/>
      <c r="N20" s="826"/>
      <c r="O20" s="826"/>
      <c r="P20" s="826"/>
      <c r="Q20" s="827"/>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16" t="str">
        <f>+'Data Entry'!B120</f>
        <v>Percentage of MSM reached with HIV prevention programs - defined package of services</v>
      </c>
      <c r="C21" s="816"/>
      <c r="D21" s="816"/>
      <c r="E21" s="466">
        <f ca="1">OFFSET('Data Entry'!$G$117,3,RIGHT('Data Entry'!$C$16,LEN('Data Entry'!$C$16)-1),1,1)</f>
        <v>2125</v>
      </c>
      <c r="F21" s="466">
        <f ca="1">OFFSET('Data Entry'!$G$117,4,RIGHT('Data Entry'!$C$16,LEN('Data Entry'!$C$16)-1),1,1)</f>
        <v>1857</v>
      </c>
      <c r="G21" s="804">
        <f t="shared" ca="1" si="0"/>
        <v>0.87388235294117644</v>
      </c>
      <c r="H21" s="805"/>
      <c r="I21" s="805"/>
      <c r="J21" s="805"/>
      <c r="K21" s="806"/>
      <c r="L21" s="825"/>
      <c r="M21" s="826"/>
      <c r="N21" s="826"/>
      <c r="O21" s="826"/>
      <c r="P21" s="826"/>
      <c r="Q21" s="827"/>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16" t="str">
        <f>+'Data Entry'!B122</f>
        <v xml:space="preserve">Percentage of people living with HIV currently receiving antiretroviral therapy </v>
      </c>
      <c r="C22" s="816"/>
      <c r="D22" s="816"/>
      <c r="E22" s="466">
        <f ca="1">OFFSET('Data Entry'!$G$117,5,RIGHT('Data Entry'!$C$16,LEN('Data Entry'!$C$16)-1),1,1)</f>
        <v>5100</v>
      </c>
      <c r="F22" s="466">
        <f ca="1">OFFSET('Data Entry'!$G$117,6,RIGHT('Data Entry'!$C$16,LEN('Data Entry'!$C$16)-1),1,1)</f>
        <v>4260</v>
      </c>
      <c r="G22" s="804">
        <f t="shared" ca="1" si="0"/>
        <v>0.83529411764705885</v>
      </c>
      <c r="H22" s="805"/>
      <c r="I22" s="805"/>
      <c r="J22" s="805"/>
      <c r="K22" s="806"/>
      <c r="L22" s="825"/>
      <c r="M22" s="826"/>
      <c r="N22" s="826"/>
      <c r="O22" s="826"/>
      <c r="P22" s="826"/>
      <c r="Q22" s="827"/>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13" t="str">
        <f>+'Data Entry'!B124</f>
        <v>Percentage of PWID reached with HIV prevention programs - defined package of services</v>
      </c>
      <c r="C23" s="814"/>
      <c r="D23" s="815"/>
      <c r="E23" s="466">
        <f ca="1">OFFSET('Data Entry'!$G$117,7,RIGHT('Data Entry'!$C$16,LEN('Data Entry'!$C$16)-1),1,1)</f>
        <v>8793.75</v>
      </c>
      <c r="F23" s="466">
        <f ca="1">OFFSET('Data Entry'!$G$117,8,RIGHT('Data Entry'!$C$16,LEN('Data Entry'!$C$16)-1),1,1)</f>
        <v>14112</v>
      </c>
      <c r="G23" s="804">
        <f t="shared" ca="1" si="0"/>
        <v>1.604776119402985</v>
      </c>
      <c r="H23" s="805"/>
      <c r="I23" s="805"/>
      <c r="J23" s="805"/>
      <c r="K23" s="806"/>
      <c r="L23" s="829"/>
      <c r="M23" s="830"/>
      <c r="N23" s="830"/>
      <c r="O23" s="830"/>
      <c r="P23" s="830"/>
      <c r="Q23" s="831"/>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16" t="str">
        <f>+'Data Entry'!B126</f>
        <v>Percentage of MSM that have received an HIV test during the reporting period and know their results</v>
      </c>
      <c r="C24" s="816"/>
      <c r="D24" s="816"/>
      <c r="E24" s="466">
        <f ca="1">OFFSET('Data Entry'!$G$117,9,RIGHT('Data Entry'!$C$16,LEN('Data Entry'!$C$16)-1),1,1)</f>
        <v>1700</v>
      </c>
      <c r="F24" s="466">
        <f ca="1">OFFSET('Data Entry'!$G$117,10,RIGHT('Data Entry'!$C$16,LEN('Data Entry'!$C$16)-1),1,1)</f>
        <v>925</v>
      </c>
      <c r="G24" s="817">
        <f t="shared" ca="1" si="0"/>
        <v>0.54411764705882348</v>
      </c>
      <c r="H24" s="818"/>
      <c r="I24" s="818"/>
      <c r="J24" s="818"/>
      <c r="K24" s="819"/>
      <c r="L24" s="825"/>
      <c r="M24" s="826"/>
      <c r="N24" s="826"/>
      <c r="O24" s="826"/>
      <c r="P24" s="826"/>
      <c r="Q24" s="827"/>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16" t="str">
        <f>+'Data Entry'!B128</f>
        <v>Percentage of sex workers reached with HIV prevention programs - defined package of services</v>
      </c>
      <c r="C25" s="816"/>
      <c r="D25" s="816"/>
      <c r="E25" s="466">
        <f ca="1">OFFSET('Data Entry'!$G$117,11,RIGHT('Data Entry'!$C$16,LEN('Data Entry'!$C$16)-1),1,1)</f>
        <v>1076.5</v>
      </c>
      <c r="F25" s="466">
        <f ca="1">OFFSET('Data Entry'!$G$117,12,RIGHT('Data Entry'!$C$16,LEN('Data Entry'!$C$16)-1),1,1)</f>
        <v>1593</v>
      </c>
      <c r="G25" s="804">
        <f t="shared" ca="1" si="0"/>
        <v>1.479795633999071</v>
      </c>
      <c r="H25" s="805"/>
      <c r="I25" s="805"/>
      <c r="J25" s="805"/>
      <c r="K25" s="806"/>
      <c r="L25" s="825"/>
      <c r="M25" s="826"/>
      <c r="N25" s="826"/>
      <c r="O25" s="826"/>
      <c r="P25" s="826"/>
      <c r="Q25" s="827"/>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16" t="str">
        <f>+'Data Entry'!B130</f>
        <v>Percentage of sex workers that have received an HIV test during the reporting period and know their results</v>
      </c>
      <c r="C26" s="816"/>
      <c r="D26" s="816"/>
      <c r="E26" s="466">
        <f ca="1">OFFSET('Data Entry'!$G$117,13,RIGHT('Data Entry'!$C$16,LEN('Data Entry'!$C$16)-1),1,1)</f>
        <v>897.25</v>
      </c>
      <c r="F26" s="466">
        <f ca="1">OFFSET('Data Entry'!$G$117,14,RIGHT('Data Entry'!$C$16,LEN('Data Entry'!$C$16)-1),1,1)</f>
        <v>681</v>
      </c>
      <c r="G26" s="804">
        <f t="shared" ca="1" si="0"/>
        <v>0.75898578991362498</v>
      </c>
      <c r="H26" s="805"/>
      <c r="I26" s="805"/>
      <c r="J26" s="805"/>
      <c r="K26" s="806"/>
      <c r="L26" s="825"/>
      <c r="M26" s="826"/>
      <c r="N26" s="826"/>
      <c r="O26" s="826"/>
      <c r="P26" s="826"/>
      <c r="Q26" s="827"/>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16" t="str">
        <f>+'Data Entry'!B132</f>
        <v>Percentage of other vulnerable populations (prisoners) that have received an HIV test during the reporting period and know their results</v>
      </c>
      <c r="C27" s="816"/>
      <c r="D27" s="816"/>
      <c r="E27" s="466">
        <f ca="1">OFFSET('Data Entry'!$G$117,15,RIGHT('Data Entry'!$C$16,LEN('Data Entry'!$C$16)-1),1,1)</f>
        <v>1625</v>
      </c>
      <c r="F27" s="466">
        <f ca="1">OFFSET('Data Entry'!$G$117,16,RIGHT('Data Entry'!$C$16,LEN('Data Entry'!$C$16)-1),1,1)</f>
        <v>1605</v>
      </c>
      <c r="G27" s="804">
        <f t="shared" ca="1" si="0"/>
        <v>0.98769230769230765</v>
      </c>
      <c r="H27" s="805"/>
      <c r="I27" s="805"/>
      <c r="J27" s="805"/>
      <c r="K27" s="806"/>
      <c r="L27" s="825"/>
      <c r="M27" s="826"/>
      <c r="N27" s="826"/>
      <c r="O27" s="826"/>
      <c r="P27" s="826"/>
      <c r="Q27" s="827"/>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507"/>
      <c r="B28" s="824" t="s">
        <v>460</v>
      </c>
      <c r="C28" s="824"/>
      <c r="D28" s="824"/>
      <c r="E28" s="493"/>
      <c r="F28" s="493"/>
      <c r="G28" s="832" t="e">
        <f>F28/E28</f>
        <v>#DIV/0!</v>
      </c>
      <c r="H28" s="832"/>
      <c r="I28" s="832"/>
      <c r="J28" s="832"/>
      <c r="K28" s="832"/>
      <c r="L28" s="828"/>
      <c r="M28" s="828"/>
      <c r="N28" s="828"/>
      <c r="O28" s="828"/>
      <c r="P28" s="828"/>
      <c r="Q28" s="828"/>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20"/>
      <c r="C31" s="820"/>
      <c r="D31" s="820"/>
      <c r="E31" s="821"/>
      <c r="F31" s="822"/>
      <c r="G31" s="823"/>
      <c r="H31" s="823"/>
      <c r="I31" s="823"/>
      <c r="J31" s="823"/>
      <c r="K31" s="821"/>
      <c r="L31" s="822"/>
      <c r="M31" s="823"/>
      <c r="N31" s="823"/>
      <c r="O31" s="823"/>
      <c r="P31" s="823"/>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12"/>
      <c r="C33" s="812"/>
      <c r="D33" s="812"/>
      <c r="E33" s="812"/>
      <c r="F33" s="812"/>
      <c r="G33" s="812"/>
      <c r="H33" s="812"/>
      <c r="I33" s="812"/>
      <c r="J33" s="812"/>
      <c r="K33" s="812"/>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12"/>
      <c r="C34" s="812"/>
      <c r="D34" s="812"/>
      <c r="E34" s="812"/>
      <c r="F34" s="812"/>
      <c r="G34" s="812"/>
      <c r="H34" s="812"/>
      <c r="I34" s="812"/>
      <c r="J34" s="812"/>
      <c r="K34" s="812"/>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 ref="L31:P31"/>
    <mergeCell ref="L20:Q20"/>
    <mergeCell ref="L21:Q21"/>
    <mergeCell ref="L22:Q22"/>
    <mergeCell ref="L28:Q28"/>
    <mergeCell ref="L23:Q23"/>
    <mergeCell ref="L24:Q24"/>
    <mergeCell ref="L25:Q25"/>
    <mergeCell ref="L26:Q26"/>
    <mergeCell ref="L27:Q27"/>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G20:K20"/>
    <mergeCell ref="G21:K21"/>
    <mergeCell ref="G22:K22"/>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27" zoomScale="130" zoomScaleNormal="130" zoomScalePageLayoutView="130" workbookViewId="0">
      <selection activeCell="D40" sqref="D40:G40"/>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07" t="str">
        <f>+"Dashboard:  "&amp;"  "&amp;IF(+'Data Entry'!C4="Please Select","",'Data Entry'!C4&amp;" - ")&amp;IF('Data Entry'!G6="Please Select","",'Data Entry'!G6)</f>
        <v>Dashboard:    Georgia - HIV / AIDS</v>
      </c>
      <c r="C2" s="807"/>
      <c r="D2" s="807"/>
      <c r="E2" s="807"/>
      <c r="F2" s="807"/>
      <c r="G2" s="807"/>
      <c r="H2" s="807"/>
      <c r="I2" s="807"/>
      <c r="J2" s="807"/>
      <c r="K2" s="807"/>
      <c r="L2" s="807"/>
      <c r="M2" s="807"/>
      <c r="N2" s="807"/>
      <c r="O2" s="73"/>
    </row>
    <row r="3" spans="1:15" customFormat="1" ht="18.75">
      <c r="A3" s="3"/>
      <c r="B3" s="132" t="str">
        <f>+IF('Data Entry'!G8="Please Select","",'Data Entry'!G8)</f>
        <v>NFM</v>
      </c>
      <c r="C3" s="782" t="str">
        <f>+IF('Data Entry'!I8="Please Select","",'Data Entry'!I8)</f>
        <v>N/A</v>
      </c>
      <c r="D3" s="782"/>
      <c r="E3" s="810"/>
      <c r="F3" s="810"/>
      <c r="G3" s="810"/>
      <c r="H3" s="810"/>
      <c r="I3" s="810"/>
      <c r="J3" s="810"/>
      <c r="K3" s="810"/>
      <c r="L3" s="132" t="str">
        <f>+'Data Entry'!B16</f>
        <v>Report Period:</v>
      </c>
      <c r="M3" s="198" t="str">
        <f>+'Data Entry'!C16</f>
        <v>P7</v>
      </c>
      <c r="N3" s="198"/>
      <c r="O3" s="31"/>
    </row>
    <row r="4" spans="1:15" customFormat="1" ht="15">
      <c r="A4" s="3"/>
      <c r="B4" s="132" t="str">
        <f>+'Data Entry'!B12</f>
        <v>Latest Rating:</v>
      </c>
      <c r="C4" s="811" t="str">
        <f>+IF('Data Entry'!C12="Please Select","",'Data Entry'!C12)</f>
        <v>A2</v>
      </c>
      <c r="D4" s="811"/>
      <c r="E4" s="781" t="str">
        <f>+'Data Entry'!C8</f>
        <v>NCDC</v>
      </c>
      <c r="F4" s="781"/>
      <c r="G4" s="781"/>
      <c r="H4" s="781"/>
      <c r="I4" s="781"/>
      <c r="J4" s="781"/>
      <c r="K4" s="781"/>
      <c r="L4" s="132" t="str">
        <f>+'Data Entry'!D16</f>
        <v>From:</v>
      </c>
      <c r="M4" s="199">
        <f>+IF(ISBLANK('Data Entry'!E16),"",'Data Entry'!E16)</f>
        <v>43101</v>
      </c>
      <c r="N4" s="199"/>
      <c r="O4" s="31"/>
    </row>
    <row r="5" spans="1:15" customFormat="1" ht="18.75" customHeight="1">
      <c r="A5" s="3"/>
      <c r="B5" s="132"/>
      <c r="C5" s="132"/>
      <c r="D5" s="133"/>
      <c r="E5" s="781" t="str">
        <f>+'Data Entry'!G4</f>
        <v xml:space="preserve">Sustaining and Scaling up the Effective HIV/AIDS Prevention, Treatment and Care in Georgia </v>
      </c>
      <c r="F5" s="781"/>
      <c r="G5" s="781"/>
      <c r="H5" s="781"/>
      <c r="I5" s="781"/>
      <c r="J5" s="781"/>
      <c r="K5" s="781"/>
      <c r="L5" s="132" t="str">
        <f>+'Data Entry'!F16</f>
        <v>To:</v>
      </c>
      <c r="M5" s="199">
        <f>+IF(ISBLANK('Data Entry'!G16),"",'Data Entry'!G16)</f>
        <v>43190</v>
      </c>
      <c r="N5" s="199"/>
    </row>
    <row r="6" spans="1:15" customFormat="1" ht="22.5" customHeight="1">
      <c r="A6" s="3"/>
      <c r="B6" s="137"/>
      <c r="C6" s="138"/>
      <c r="D6" s="139"/>
      <c r="E6" s="888" t="s">
        <v>315</v>
      </c>
      <c r="F6" s="888"/>
      <c r="G6" s="888"/>
      <c r="H6" s="888"/>
      <c r="I6" s="888"/>
      <c r="J6" s="888"/>
      <c r="K6" s="888"/>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52" t="s">
        <v>98</v>
      </c>
      <c r="C8" s="852"/>
      <c r="D8" s="852"/>
      <c r="E8" s="852"/>
      <c r="F8" s="852"/>
      <c r="G8" s="852"/>
      <c r="H8" s="852"/>
      <c r="I8" s="852"/>
      <c r="J8" s="852"/>
      <c r="K8" s="852"/>
      <c r="L8" s="852"/>
      <c r="M8" s="852"/>
      <c r="N8" s="852"/>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73" t="s">
        <v>93</v>
      </c>
      <c r="C10" s="865"/>
      <c r="D10" s="853" t="s">
        <v>97</v>
      </c>
      <c r="E10" s="854"/>
      <c r="F10" s="854"/>
      <c r="G10" s="855"/>
      <c r="H10" s="159"/>
      <c r="I10" s="853" t="s">
        <v>315</v>
      </c>
      <c r="J10" s="854"/>
      <c r="K10" s="854"/>
      <c r="L10" s="854"/>
      <c r="M10" s="854"/>
      <c r="N10" s="855"/>
    </row>
    <row r="11" spans="1:15" s="34" customFormat="1" ht="28.5" customHeight="1">
      <c r="A11" s="156"/>
      <c r="B11" s="412" t="s">
        <v>101</v>
      </c>
      <c r="C11" s="176"/>
      <c r="D11" s="876" t="str">
        <f>IF(ISBLANK(Finance!C9),"",(Finance!C9))</f>
        <v/>
      </c>
      <c r="E11" s="876"/>
      <c r="F11" s="876"/>
      <c r="G11" s="877"/>
      <c r="H11" s="182"/>
      <c r="I11" s="879"/>
      <c r="J11" s="880"/>
      <c r="K11" s="880"/>
      <c r="L11" s="880"/>
      <c r="M11" s="880"/>
      <c r="N11" s="881"/>
    </row>
    <row r="12" spans="1:15" s="34" customFormat="1" ht="27.75" customHeight="1">
      <c r="A12" s="156"/>
      <c r="B12" s="413" t="s">
        <v>102</v>
      </c>
      <c r="C12" s="177"/>
      <c r="D12" s="876" t="str">
        <f>IF(ISBLANK(Finance!C23),"",(Finance!C23))</f>
        <v/>
      </c>
      <c r="E12" s="876"/>
      <c r="F12" s="876"/>
      <c r="G12" s="877"/>
      <c r="H12" s="182"/>
      <c r="I12" s="867"/>
      <c r="J12" s="868"/>
      <c r="K12" s="868"/>
      <c r="L12" s="868"/>
      <c r="M12" s="868"/>
      <c r="N12" s="869"/>
    </row>
    <row r="13" spans="1:15" s="34" customFormat="1" ht="26.25" customHeight="1">
      <c r="A13" s="156"/>
      <c r="B13" s="413" t="s">
        <v>103</v>
      </c>
      <c r="C13" s="177"/>
      <c r="D13" s="876" t="str">
        <f>IF(ISBLANK(Finance!I9),"",(Finance!I9))</f>
        <v/>
      </c>
      <c r="E13" s="876"/>
      <c r="F13" s="876"/>
      <c r="G13" s="877"/>
      <c r="H13" s="182"/>
      <c r="I13" s="867"/>
      <c r="J13" s="868"/>
      <c r="K13" s="868"/>
      <c r="L13" s="868"/>
      <c r="M13" s="868"/>
      <c r="N13" s="869"/>
    </row>
    <row r="14" spans="1:15" s="34" customFormat="1" ht="28.5" customHeight="1" thickBot="1">
      <c r="A14" s="156"/>
      <c r="B14" s="414" t="s">
        <v>104</v>
      </c>
      <c r="C14" s="178"/>
      <c r="D14" s="874" t="str">
        <f>IF(ISBLANK(Finance!I23),"",(Finance!I23))</f>
        <v/>
      </c>
      <c r="E14" s="874"/>
      <c r="F14" s="874"/>
      <c r="G14" s="875"/>
      <c r="H14" s="182"/>
      <c r="I14" s="870"/>
      <c r="J14" s="871"/>
      <c r="K14" s="871"/>
      <c r="L14" s="871"/>
      <c r="M14" s="871"/>
      <c r="N14" s="872"/>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52" t="s">
        <v>100</v>
      </c>
      <c r="C16" s="852"/>
      <c r="D16" s="852"/>
      <c r="E16" s="852"/>
      <c r="F16" s="852"/>
      <c r="G16" s="852"/>
      <c r="H16" s="852"/>
      <c r="I16" s="852"/>
      <c r="J16" s="852"/>
      <c r="K16" s="852"/>
      <c r="L16" s="852"/>
      <c r="M16" s="852"/>
      <c r="N16" s="852"/>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65" t="s">
        <v>94</v>
      </c>
      <c r="C18" s="866"/>
      <c r="D18" s="885" t="s">
        <v>97</v>
      </c>
      <c r="E18" s="886"/>
      <c r="F18" s="886"/>
      <c r="G18" s="887"/>
      <c r="H18" s="159"/>
      <c r="I18" s="882" t="s">
        <v>315</v>
      </c>
      <c r="J18" s="883"/>
      <c r="K18" s="883"/>
      <c r="L18" s="883"/>
      <c r="M18" s="884"/>
      <c r="N18" s="884"/>
    </row>
    <row r="19" spans="1:15" s="34" customFormat="1" ht="21.75" customHeight="1">
      <c r="A19" s="156"/>
      <c r="B19" s="415" t="s">
        <v>109</v>
      </c>
      <c r="C19" s="184"/>
      <c r="D19" s="892" t="str">
        <f>IF(ISBLANK(Management!C8),"",(Management!C8))</f>
        <v/>
      </c>
      <c r="E19" s="892"/>
      <c r="F19" s="892"/>
      <c r="G19" s="893"/>
      <c r="H19" s="185"/>
      <c r="I19" s="856"/>
      <c r="J19" s="857"/>
      <c r="K19" s="857"/>
      <c r="L19" s="857"/>
      <c r="M19" s="857"/>
      <c r="N19" s="858"/>
    </row>
    <row r="20" spans="1:15" ht="24.75" customHeight="1">
      <c r="A20" s="150"/>
      <c r="B20" s="416" t="s">
        <v>110</v>
      </c>
      <c r="C20" s="186"/>
      <c r="D20" s="876" t="str">
        <f>IF(ISBLANK(Management!I8),"",(Management!I8))</f>
        <v/>
      </c>
      <c r="E20" s="876" t="e">
        <f>+'Data Entry'!D73/'Data Entry'!G73</f>
        <v>#DIV/0!</v>
      </c>
      <c r="F20" s="876" t="e">
        <f>+('Data Entry'!E73+'Data Entry'!F73)/'Data Entry'!G73</f>
        <v>#DIV/0!</v>
      </c>
      <c r="G20" s="878"/>
      <c r="H20" s="185"/>
      <c r="I20" s="862"/>
      <c r="J20" s="863"/>
      <c r="K20" s="863"/>
      <c r="L20" s="863"/>
      <c r="M20" s="863"/>
      <c r="N20" s="864"/>
      <c r="O20" s="35"/>
    </row>
    <row r="21" spans="1:15" ht="29.25" customHeight="1">
      <c r="A21" s="150"/>
      <c r="B21" s="417" t="s">
        <v>111</v>
      </c>
      <c r="C21" s="186"/>
      <c r="D21" s="876" t="str">
        <f>IF(ISBLANK(Management!C16),"",(Management!C16))</f>
        <v/>
      </c>
      <c r="E21" s="876"/>
      <c r="F21" s="876"/>
      <c r="G21" s="878"/>
      <c r="H21" s="185"/>
      <c r="I21" s="862"/>
      <c r="J21" s="863"/>
      <c r="K21" s="863"/>
      <c r="L21" s="863"/>
      <c r="M21" s="863"/>
      <c r="N21" s="864"/>
      <c r="O21" s="35"/>
    </row>
    <row r="22" spans="1:15" ht="26.25" customHeight="1">
      <c r="A22" s="150"/>
      <c r="B22" s="417" t="s">
        <v>112</v>
      </c>
      <c r="C22" s="186"/>
      <c r="D22" s="876" t="str">
        <f>IF(ISBLANK(Management!I16),"",(Management!I16))</f>
        <v/>
      </c>
      <c r="E22" s="876"/>
      <c r="F22" s="876"/>
      <c r="G22" s="878"/>
      <c r="H22" s="185"/>
      <c r="I22" s="862"/>
      <c r="J22" s="863"/>
      <c r="K22" s="863"/>
      <c r="L22" s="863"/>
      <c r="M22" s="863"/>
      <c r="N22" s="864"/>
      <c r="O22" s="35"/>
    </row>
    <row r="23" spans="1:15" ht="24.75" customHeight="1">
      <c r="A23" s="150"/>
      <c r="B23" s="417" t="s">
        <v>113</v>
      </c>
      <c r="C23" s="186"/>
      <c r="D23" s="876" t="str">
        <f>IF(ISBLANK(Management!C27),"",(Management!C27))</f>
        <v/>
      </c>
      <c r="E23" s="876"/>
      <c r="F23" s="876"/>
      <c r="G23" s="878"/>
      <c r="H23" s="185"/>
      <c r="I23" s="862"/>
      <c r="J23" s="863"/>
      <c r="K23" s="863"/>
      <c r="L23" s="863"/>
      <c r="M23" s="863"/>
      <c r="N23" s="864"/>
      <c r="O23" s="35"/>
    </row>
    <row r="24" spans="1:15" ht="27" customHeight="1" thickBot="1">
      <c r="A24" s="150"/>
      <c r="B24" s="418" t="s">
        <v>115</v>
      </c>
      <c r="C24" s="187"/>
      <c r="D24" s="895" t="str">
        <f>IF(ISBLANK(Management!I27),"",(Management!I27))</f>
        <v/>
      </c>
      <c r="E24" s="895"/>
      <c r="F24" s="895"/>
      <c r="G24" s="896"/>
      <c r="H24" s="185"/>
      <c r="I24" s="859"/>
      <c r="J24" s="860"/>
      <c r="K24" s="860"/>
      <c r="L24" s="860"/>
      <c r="M24" s="860"/>
      <c r="N24" s="861"/>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52" t="s">
        <v>99</v>
      </c>
      <c r="C26" s="852"/>
      <c r="D26" s="852"/>
      <c r="E26" s="852"/>
      <c r="F26" s="852"/>
      <c r="G26" s="852"/>
      <c r="H26" s="852"/>
      <c r="I26" s="852"/>
      <c r="J26" s="852"/>
      <c r="K26" s="852"/>
      <c r="L26" s="852"/>
      <c r="M26" s="852"/>
      <c r="N26" s="852"/>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73" t="s">
        <v>7</v>
      </c>
      <c r="C28" s="866"/>
      <c r="D28" s="900" t="s">
        <v>97</v>
      </c>
      <c r="E28" s="901"/>
      <c r="F28" s="901"/>
      <c r="G28" s="902"/>
      <c r="H28" s="159"/>
      <c r="I28" s="900" t="s">
        <v>315</v>
      </c>
      <c r="J28" s="901"/>
      <c r="K28" s="901"/>
      <c r="L28" s="901"/>
      <c r="M28" s="901"/>
      <c r="N28" s="902"/>
      <c r="O28" s="35"/>
    </row>
    <row r="29" spans="1:15" ht="29.25" customHeight="1">
      <c r="A29" s="150"/>
      <c r="B29" s="419" t="s">
        <v>316</v>
      </c>
      <c r="C29" s="188"/>
      <c r="D29" s="903" t="str">
        <f>IF(ISBLANK(Programmatic!C9),"",(Programmatic!C9))</f>
        <v/>
      </c>
      <c r="E29" s="904"/>
      <c r="F29" s="904"/>
      <c r="G29" s="905"/>
      <c r="H29" s="185"/>
      <c r="I29" s="897"/>
      <c r="J29" s="898"/>
      <c r="K29" s="898"/>
      <c r="L29" s="898"/>
      <c r="M29" s="898"/>
      <c r="N29" s="899"/>
      <c r="O29" s="35"/>
    </row>
    <row r="30" spans="1:15" ht="21.75" customHeight="1">
      <c r="A30" s="150"/>
      <c r="B30" s="420" t="s">
        <v>317</v>
      </c>
      <c r="C30" s="189"/>
      <c r="D30" s="894" t="str">
        <f>IF(ISBLANK(Programmatic!G9),"",(Programmatic!G9))</f>
        <v/>
      </c>
      <c r="E30" s="890"/>
      <c r="F30" s="890"/>
      <c r="G30" s="891"/>
      <c r="H30" s="185"/>
      <c r="I30" s="849"/>
      <c r="J30" s="850"/>
      <c r="K30" s="850"/>
      <c r="L30" s="850"/>
      <c r="M30" s="850"/>
      <c r="N30" s="851"/>
      <c r="O30" s="35"/>
    </row>
    <row r="31" spans="1:15" ht="21.75" customHeight="1">
      <c r="A31" s="150"/>
      <c r="B31" s="420" t="s">
        <v>318</v>
      </c>
      <c r="C31" s="189"/>
      <c r="D31" s="894" t="str">
        <f>IF(ISBLANK(Programmatic!M9),"",(Programmatic!M9))</f>
        <v/>
      </c>
      <c r="E31" s="890"/>
      <c r="F31" s="890"/>
      <c r="G31" s="891"/>
      <c r="H31" s="185"/>
      <c r="I31" s="849"/>
      <c r="J31" s="850"/>
      <c r="K31" s="850"/>
      <c r="L31" s="850"/>
      <c r="M31" s="850"/>
      <c r="N31" s="851"/>
      <c r="O31" s="35"/>
    </row>
    <row r="32" spans="1:15" ht="21.75" customHeight="1">
      <c r="A32" s="150"/>
      <c r="B32" s="421" t="s">
        <v>105</v>
      </c>
      <c r="C32" s="189"/>
      <c r="D32" s="889" t="str">
        <f>IF(ISBLANK(Programmatic!L20),"",(Programmatic!L20))</f>
        <v/>
      </c>
      <c r="E32" s="890"/>
      <c r="F32" s="890"/>
      <c r="G32" s="891"/>
      <c r="H32" s="185"/>
      <c r="I32" s="849"/>
      <c r="J32" s="850"/>
      <c r="K32" s="850"/>
      <c r="L32" s="850"/>
      <c r="M32" s="850"/>
      <c r="N32" s="851"/>
      <c r="O32" s="35"/>
    </row>
    <row r="33" spans="1:15" ht="27" customHeight="1">
      <c r="A33" s="150"/>
      <c r="B33" s="421" t="s">
        <v>106</v>
      </c>
      <c r="C33" s="189"/>
      <c r="D33" s="889" t="str">
        <f>IF(ISBLANK(Programmatic!L21),"",(Programmatic!L21))</f>
        <v/>
      </c>
      <c r="E33" s="890"/>
      <c r="F33" s="890"/>
      <c r="G33" s="891"/>
      <c r="H33" s="185"/>
      <c r="I33" s="849"/>
      <c r="J33" s="850"/>
      <c r="K33" s="850"/>
      <c r="L33" s="850"/>
      <c r="M33" s="850"/>
      <c r="N33" s="851"/>
      <c r="O33" s="35"/>
    </row>
    <row r="34" spans="1:15" ht="21.75" customHeight="1">
      <c r="A34" s="150"/>
      <c r="B34" s="421" t="s">
        <v>107</v>
      </c>
      <c r="C34" s="189"/>
      <c r="D34" s="889" t="str">
        <f>IF(ISBLANK(Programmatic!L22),"",(Programmatic!L22))</f>
        <v/>
      </c>
      <c r="E34" s="890"/>
      <c r="F34" s="890"/>
      <c r="G34" s="891"/>
      <c r="H34" s="185"/>
      <c r="I34" s="849"/>
      <c r="J34" s="850"/>
      <c r="K34" s="850"/>
      <c r="L34" s="850"/>
      <c r="M34" s="850"/>
      <c r="N34" s="851"/>
      <c r="O34" s="35"/>
    </row>
    <row r="35" spans="1:15" ht="21.75" customHeight="1">
      <c r="A35" s="150"/>
      <c r="B35" s="421" t="s">
        <v>108</v>
      </c>
      <c r="C35" s="232"/>
      <c r="D35" s="889" t="str">
        <f>IF(ISBLANK(Programmatic!L23),"",(Programmatic!L23))</f>
        <v/>
      </c>
      <c r="E35" s="890"/>
      <c r="F35" s="890"/>
      <c r="G35" s="891"/>
      <c r="H35" s="185"/>
      <c r="I35" s="849"/>
      <c r="J35" s="850"/>
      <c r="K35" s="850"/>
      <c r="L35" s="850"/>
      <c r="M35" s="850"/>
      <c r="N35" s="851"/>
      <c r="O35" s="35"/>
    </row>
    <row r="36" spans="1:15" ht="21.75" customHeight="1">
      <c r="A36" s="150"/>
      <c r="B36" s="421" t="s">
        <v>120</v>
      </c>
      <c r="C36" s="232"/>
      <c r="D36" s="889" t="str">
        <f>IF(ISBLANK(Programmatic!L24),"",(Programmatic!L24))</f>
        <v/>
      </c>
      <c r="E36" s="890"/>
      <c r="F36" s="890"/>
      <c r="G36" s="891"/>
      <c r="H36" s="185"/>
      <c r="I36" s="849"/>
      <c r="J36" s="850"/>
      <c r="K36" s="850"/>
      <c r="L36" s="850"/>
      <c r="M36" s="850"/>
      <c r="N36" s="851"/>
      <c r="O36" s="35"/>
    </row>
    <row r="37" spans="1:15" ht="21.75" customHeight="1">
      <c r="A37" s="150"/>
      <c r="B37" s="421" t="s">
        <v>121</v>
      </c>
      <c r="C37" s="232"/>
      <c r="D37" s="889" t="str">
        <f>IF(ISBLANK(Programmatic!L25),"",(Programmatic!L25))</f>
        <v/>
      </c>
      <c r="E37" s="890"/>
      <c r="F37" s="890"/>
      <c r="G37" s="891"/>
      <c r="H37" s="185"/>
      <c r="I37" s="849"/>
      <c r="J37" s="850"/>
      <c r="K37" s="850"/>
      <c r="L37" s="850"/>
      <c r="M37" s="850"/>
      <c r="N37" s="851"/>
      <c r="O37" s="35"/>
    </row>
    <row r="38" spans="1:15" ht="21.75" customHeight="1">
      <c r="A38" s="150"/>
      <c r="B38" s="421" t="s">
        <v>122</v>
      </c>
      <c r="C38" s="232"/>
      <c r="D38" s="889" t="str">
        <f>IF(ISBLANK(Programmatic!L26),"",(Programmatic!L26))</f>
        <v/>
      </c>
      <c r="E38" s="890"/>
      <c r="F38" s="890"/>
      <c r="G38" s="891"/>
      <c r="H38" s="185"/>
      <c r="I38" s="849"/>
      <c r="J38" s="850"/>
      <c r="K38" s="850"/>
      <c r="L38" s="850"/>
      <c r="M38" s="850"/>
      <c r="N38" s="851"/>
      <c r="O38" s="35"/>
    </row>
    <row r="39" spans="1:15" ht="21.75" customHeight="1">
      <c r="A39" s="150"/>
      <c r="B39" s="421" t="s">
        <v>123</v>
      </c>
      <c r="C39" s="232"/>
      <c r="D39" s="889" t="str">
        <f>IF(ISBLANK(Programmatic!L27),"",(Programmatic!L27))</f>
        <v/>
      </c>
      <c r="E39" s="890"/>
      <c r="F39" s="890"/>
      <c r="G39" s="891"/>
      <c r="H39" s="185"/>
      <c r="I39" s="849"/>
      <c r="J39" s="850"/>
      <c r="K39" s="850"/>
      <c r="L39" s="850"/>
      <c r="M39" s="850"/>
      <c r="N39" s="851"/>
      <c r="O39" s="35"/>
    </row>
    <row r="40" spans="1:15" ht="21.75" customHeight="1">
      <c r="A40" s="150"/>
      <c r="B40" s="421" t="s">
        <v>124</v>
      </c>
      <c r="C40" s="232"/>
      <c r="D40" s="889" t="str">
        <f>IF(ISBLANK(Programmatic!L28),"",(Programmatic!L28))</f>
        <v/>
      </c>
      <c r="E40" s="890"/>
      <c r="F40" s="890"/>
      <c r="G40" s="891"/>
      <c r="H40" s="185"/>
      <c r="I40" s="849"/>
      <c r="J40" s="850"/>
      <c r="K40" s="850"/>
      <c r="L40" s="850"/>
      <c r="M40" s="850"/>
      <c r="N40" s="851"/>
      <c r="O40" s="35"/>
    </row>
    <row r="41" spans="1:15" ht="21.75" customHeight="1" thickBot="1">
      <c r="A41" s="150"/>
      <c r="B41" s="421" t="s">
        <v>125</v>
      </c>
      <c r="C41" s="190"/>
      <c r="D41" s="889" t="str">
        <f>IF(ISBLANK(Programmatic!L29),"",(Programmatic!L29))</f>
        <v/>
      </c>
      <c r="E41" s="890"/>
      <c r="F41" s="890"/>
      <c r="G41" s="891"/>
      <c r="H41" s="185"/>
      <c r="I41" s="906"/>
      <c r="J41" s="907"/>
      <c r="K41" s="907"/>
      <c r="L41" s="907"/>
      <c r="M41" s="907"/>
      <c r="N41" s="908"/>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8" zoomScale="95" zoomScaleNormal="95" zoomScaleSheetLayoutView="100" zoomScalePageLayoutView="95" workbookViewId="0">
      <selection activeCell="B14" sqref="B14:E15"/>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96" t="str">
        <f>+"Dashboard:  "&amp;"  "&amp;IF(+'Data Entry'!C4="Please Select","",'Data Entry'!C4&amp;" - ")&amp;IF('Data Entry'!G6="Please Select","",'Data Entry'!G6)</f>
        <v>Dashboard:    Georgia - HIV / AIDS</v>
      </c>
      <c r="C2" s="796"/>
      <c r="D2" s="796"/>
      <c r="E2" s="796"/>
      <c r="F2" s="796"/>
      <c r="G2" s="796"/>
      <c r="H2" s="796"/>
      <c r="I2" s="796"/>
      <c r="J2" s="796"/>
      <c r="K2" s="796"/>
      <c r="L2" s="796"/>
    </row>
    <row r="3" spans="1:13">
      <c r="B3" s="24" t="str">
        <f>+IF('Data Entry'!G8="Please Select","",'Data Entry'!G8)</f>
        <v>NFM</v>
      </c>
      <c r="C3" s="794" t="str">
        <f>+IF('Data Entry'!I8="Please Select","",'Data Entry'!I8)</f>
        <v>N/A</v>
      </c>
      <c r="D3" s="794"/>
      <c r="E3" s="795"/>
      <c r="F3" s="795"/>
      <c r="G3" s="795"/>
      <c r="H3" s="795"/>
      <c r="I3" s="795"/>
      <c r="J3" s="798" t="str">
        <f>+'Data Entry'!B16</f>
        <v>Report Period:</v>
      </c>
      <c r="K3" s="798"/>
      <c r="L3" s="198" t="str">
        <f>+'Data Entry'!C16</f>
        <v>P7</v>
      </c>
      <c r="M3" s="85"/>
    </row>
    <row r="4" spans="1:13">
      <c r="B4" s="24" t="str">
        <f>+'Data Entry'!B12</f>
        <v>Latest Rating:</v>
      </c>
      <c r="C4" s="962" t="str">
        <f>+IF('Data Entry'!C12="Please Select","",'Data Entry'!C12)</f>
        <v>A2</v>
      </c>
      <c r="D4" s="962"/>
      <c r="E4" s="795" t="str">
        <f>+'Data Entry'!C8</f>
        <v>NCDC</v>
      </c>
      <c r="F4" s="795"/>
      <c r="G4" s="795"/>
      <c r="H4" s="795"/>
      <c r="I4" s="795"/>
      <c r="J4" s="798" t="str">
        <f>+'Data Entry'!D16</f>
        <v>From:</v>
      </c>
      <c r="K4" s="802"/>
      <c r="L4" s="199">
        <f>+IF(ISBLANK('Data Entry'!E16),"",'Data Entry'!E16)</f>
        <v>43101</v>
      </c>
    </row>
    <row r="5" spans="1:13" ht="18.75" customHeight="1">
      <c r="B5" s="24"/>
      <c r="C5" s="24"/>
      <c r="D5" s="795" t="str">
        <f>+'Data Entry'!G4</f>
        <v xml:space="preserve">Sustaining and Scaling up the Effective HIV/AIDS Prevention, Treatment and Care in Georgia </v>
      </c>
      <c r="E5" s="795"/>
      <c r="F5" s="795"/>
      <c r="G5" s="795"/>
      <c r="H5" s="795"/>
      <c r="I5" s="795"/>
      <c r="J5" s="795"/>
      <c r="K5" s="24" t="str">
        <f>+'Data Entry'!F16</f>
        <v>To:</v>
      </c>
      <c r="L5" s="199">
        <f>+IF(ISBLANK('Data Entry'!G16),"",'Data Entry'!G16)</f>
        <v>43190</v>
      </c>
    </row>
    <row r="6" spans="1:13" ht="18.75">
      <c r="B6" s="23"/>
      <c r="C6" s="24"/>
      <c r="D6" s="25"/>
      <c r="E6" s="797" t="s">
        <v>371</v>
      </c>
      <c r="F6" s="797"/>
      <c r="G6" s="797"/>
      <c r="H6" s="797"/>
      <c r="I6" s="797"/>
    </row>
    <row r="7" spans="1:13" ht="18.75">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46"/>
      <c r="C10" s="947"/>
      <c r="D10" s="947"/>
      <c r="E10" s="947"/>
      <c r="F10" s="947"/>
      <c r="G10" s="947"/>
      <c r="H10" s="947"/>
      <c r="I10" s="947"/>
      <c r="J10" s="947"/>
      <c r="K10" s="947"/>
      <c r="L10" s="948"/>
    </row>
    <row r="11" spans="1:13">
      <c r="B11" s="949"/>
      <c r="C11" s="950"/>
      <c r="D11" s="950"/>
      <c r="E11" s="950"/>
      <c r="F11" s="950"/>
      <c r="G11" s="950"/>
      <c r="H11" s="950"/>
      <c r="I11" s="950"/>
      <c r="J11" s="950"/>
      <c r="K11" s="950"/>
      <c r="L11" s="951"/>
    </row>
    <row r="12" spans="1:13" ht="15.75" thickBot="1"/>
    <row r="13" spans="1:13" ht="26.25" customHeight="1" thickBot="1">
      <c r="B13" s="920" t="s">
        <v>305</v>
      </c>
      <c r="C13" s="921"/>
      <c r="D13" s="921"/>
      <c r="E13" s="922"/>
      <c r="F13" s="77"/>
      <c r="G13" s="916" t="s">
        <v>128</v>
      </c>
      <c r="H13" s="917"/>
      <c r="I13" s="917"/>
      <c r="J13" s="78" t="s">
        <v>96</v>
      </c>
      <c r="K13" s="917" t="s">
        <v>292</v>
      </c>
      <c r="L13" s="952"/>
    </row>
    <row r="14" spans="1:13">
      <c r="A14" s="913" t="s">
        <v>306</v>
      </c>
      <c r="B14" s="941" t="s">
        <v>467</v>
      </c>
      <c r="C14" s="941"/>
      <c r="D14" s="941"/>
      <c r="E14" s="942"/>
      <c r="F14" s="46"/>
      <c r="G14" s="958"/>
      <c r="H14" s="959"/>
      <c r="I14" s="959"/>
      <c r="J14" s="957"/>
      <c r="K14" s="959"/>
      <c r="L14" s="963"/>
    </row>
    <row r="15" spans="1:13">
      <c r="A15" s="914"/>
      <c r="B15" s="941"/>
      <c r="C15" s="941"/>
      <c r="D15" s="941"/>
      <c r="E15" s="942"/>
      <c r="F15" s="46"/>
      <c r="G15" s="918"/>
      <c r="H15" s="909"/>
      <c r="I15" s="909"/>
      <c r="J15" s="909"/>
      <c r="K15" s="909"/>
      <c r="L15" s="910"/>
    </row>
    <row r="16" spans="1:13">
      <c r="A16" s="914"/>
      <c r="B16" s="941"/>
      <c r="C16" s="941"/>
      <c r="D16" s="941"/>
      <c r="E16" s="942"/>
      <c r="F16" s="46"/>
      <c r="G16" s="923"/>
      <c r="H16" s="909"/>
      <c r="I16" s="909"/>
      <c r="J16" s="909"/>
      <c r="K16" s="909"/>
      <c r="L16" s="910"/>
    </row>
    <row r="17" spans="1:12">
      <c r="A17" s="914"/>
      <c r="B17" s="941"/>
      <c r="C17" s="941"/>
      <c r="D17" s="941"/>
      <c r="E17" s="942"/>
      <c r="F17" s="46"/>
      <c r="G17" s="918"/>
      <c r="H17" s="909"/>
      <c r="I17" s="909"/>
      <c r="J17" s="909"/>
      <c r="K17" s="909"/>
      <c r="L17" s="910"/>
    </row>
    <row r="18" spans="1:12">
      <c r="A18" s="914"/>
      <c r="B18" s="941"/>
      <c r="C18" s="941"/>
      <c r="D18" s="941"/>
      <c r="E18" s="942"/>
      <c r="F18" s="46"/>
      <c r="G18" s="953"/>
      <c r="H18" s="954"/>
      <c r="I18" s="955"/>
      <c r="J18" s="909"/>
      <c r="K18" s="909"/>
      <c r="L18" s="910"/>
    </row>
    <row r="19" spans="1:12" ht="30.75" customHeight="1">
      <c r="A19" s="914"/>
      <c r="B19" s="941"/>
      <c r="C19" s="941"/>
      <c r="D19" s="941"/>
      <c r="E19" s="942"/>
      <c r="F19" s="46"/>
      <c r="G19" s="930"/>
      <c r="H19" s="931"/>
      <c r="I19" s="956"/>
      <c r="J19" s="909"/>
      <c r="K19" s="909"/>
      <c r="L19" s="910"/>
    </row>
    <row r="20" spans="1:12">
      <c r="A20" s="914"/>
      <c r="B20" s="941"/>
      <c r="C20" s="941"/>
      <c r="D20" s="941"/>
      <c r="E20" s="942"/>
      <c r="F20" s="46"/>
      <c r="G20" s="918"/>
      <c r="H20" s="909"/>
      <c r="I20" s="909"/>
      <c r="J20" s="909"/>
      <c r="K20" s="909"/>
      <c r="L20" s="910"/>
    </row>
    <row r="21" spans="1:12">
      <c r="A21" s="914"/>
      <c r="B21" s="941"/>
      <c r="C21" s="941"/>
      <c r="D21" s="941"/>
      <c r="E21" s="942"/>
      <c r="F21" s="46"/>
      <c r="G21" s="918"/>
      <c r="H21" s="909"/>
      <c r="I21" s="909"/>
      <c r="J21" s="909"/>
      <c r="K21" s="909"/>
      <c r="L21" s="910"/>
    </row>
    <row r="22" spans="1:12">
      <c r="A22" s="914"/>
      <c r="B22" s="941"/>
      <c r="C22" s="941"/>
      <c r="D22" s="941"/>
      <c r="E22" s="942"/>
      <c r="F22" s="46"/>
      <c r="G22" s="918"/>
      <c r="H22" s="909"/>
      <c r="I22" s="909"/>
      <c r="J22" s="909"/>
      <c r="K22" s="909"/>
      <c r="L22" s="910"/>
    </row>
    <row r="23" spans="1:12">
      <c r="A23" s="914"/>
      <c r="B23" s="941"/>
      <c r="C23" s="941"/>
      <c r="D23" s="941"/>
      <c r="E23" s="942"/>
      <c r="F23" s="46"/>
      <c r="G23" s="918"/>
      <c r="H23" s="909"/>
      <c r="I23" s="909"/>
      <c r="J23" s="909"/>
      <c r="K23" s="909"/>
      <c r="L23" s="910"/>
    </row>
    <row r="24" spans="1:12">
      <c r="A24" s="914"/>
      <c r="B24" s="941"/>
      <c r="C24" s="941"/>
      <c r="D24" s="941"/>
      <c r="E24" s="942"/>
      <c r="F24" s="46"/>
      <c r="G24" s="923"/>
      <c r="H24" s="909"/>
      <c r="I24" s="909"/>
      <c r="J24" s="909"/>
      <c r="K24" s="909"/>
      <c r="L24" s="910"/>
    </row>
    <row r="25" spans="1:12" ht="15.75" thickBot="1">
      <c r="A25" s="915"/>
      <c r="B25" s="943"/>
      <c r="C25" s="943"/>
      <c r="D25" s="943"/>
      <c r="E25" s="944"/>
      <c r="F25" s="46"/>
      <c r="G25" s="924"/>
      <c r="H25" s="925"/>
      <c r="I25" s="925"/>
      <c r="J25" s="925"/>
      <c r="K25" s="925"/>
      <c r="L25" s="960"/>
    </row>
    <row r="27" spans="1:12" ht="18.75">
      <c r="E27" s="919" t="s">
        <v>335</v>
      </c>
      <c r="F27" s="919"/>
      <c r="G27" s="919"/>
      <c r="H27" s="919"/>
      <c r="I27" s="919"/>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20" t="s">
        <v>128</v>
      </c>
      <c r="C31" s="921"/>
      <c r="D31" s="921"/>
      <c r="E31" s="922"/>
      <c r="F31" s="77"/>
      <c r="G31" s="916" t="s">
        <v>320</v>
      </c>
      <c r="H31" s="917"/>
      <c r="I31" s="917"/>
      <c r="J31" s="78" t="s">
        <v>294</v>
      </c>
      <c r="K31" s="917" t="s">
        <v>292</v>
      </c>
      <c r="L31" s="952"/>
    </row>
    <row r="32" spans="1:12" ht="14.25" customHeight="1">
      <c r="A32" s="913" t="s">
        <v>307</v>
      </c>
      <c r="B32" s="927"/>
      <c r="C32" s="928"/>
      <c r="D32" s="928"/>
      <c r="E32" s="929"/>
      <c r="F32" s="46"/>
      <c r="G32" s="945"/>
      <c r="H32" s="911"/>
      <c r="I32" s="911"/>
      <c r="J32" s="911"/>
      <c r="K32" s="911"/>
      <c r="L32" s="965"/>
    </row>
    <row r="33" spans="1:12" ht="16.5" customHeight="1">
      <c r="A33" s="914"/>
      <c r="B33" s="930"/>
      <c r="C33" s="931"/>
      <c r="D33" s="931"/>
      <c r="E33" s="932"/>
      <c r="F33" s="46"/>
      <c r="G33" s="926"/>
      <c r="H33" s="912"/>
      <c r="I33" s="912"/>
      <c r="J33" s="912"/>
      <c r="K33" s="912"/>
      <c r="L33" s="961"/>
    </row>
    <row r="34" spans="1:12">
      <c r="A34" s="914"/>
      <c r="B34" s="933" t="str">
        <f>IF(Recommendations!I43="","",Recommendations!I43)</f>
        <v/>
      </c>
      <c r="C34" s="934"/>
      <c r="D34" s="934"/>
      <c r="E34" s="935"/>
      <c r="F34" s="46"/>
      <c r="G34" s="926"/>
      <c r="H34" s="912"/>
      <c r="I34" s="912"/>
      <c r="J34" s="912"/>
      <c r="K34" s="912"/>
      <c r="L34" s="961"/>
    </row>
    <row r="35" spans="1:12">
      <c r="A35" s="914"/>
      <c r="B35" s="933"/>
      <c r="C35" s="934"/>
      <c r="D35" s="934"/>
      <c r="E35" s="935"/>
      <c r="F35" s="46"/>
      <c r="G35" s="926"/>
      <c r="H35" s="912"/>
      <c r="I35" s="912"/>
      <c r="J35" s="912"/>
      <c r="K35" s="912"/>
      <c r="L35" s="961"/>
    </row>
    <row r="36" spans="1:12">
      <c r="A36" s="914"/>
      <c r="B36" s="933" t="str">
        <f>+IF(Recommendations!I53="","",Recommendations!I53)</f>
        <v/>
      </c>
      <c r="C36" s="934"/>
      <c r="D36" s="934"/>
      <c r="E36" s="935"/>
      <c r="F36" s="46"/>
      <c r="G36" s="926"/>
      <c r="H36" s="912"/>
      <c r="I36" s="912"/>
      <c r="J36" s="912"/>
      <c r="K36" s="912"/>
      <c r="L36" s="961"/>
    </row>
    <row r="37" spans="1:12">
      <c r="A37" s="914"/>
      <c r="B37" s="933"/>
      <c r="C37" s="934"/>
      <c r="D37" s="934"/>
      <c r="E37" s="935"/>
      <c r="F37" s="46"/>
      <c r="G37" s="926"/>
      <c r="H37" s="912"/>
      <c r="I37" s="912"/>
      <c r="J37" s="912"/>
      <c r="K37" s="912"/>
      <c r="L37" s="961"/>
    </row>
    <row r="38" spans="1:12">
      <c r="A38" s="914"/>
      <c r="B38" s="933"/>
      <c r="C38" s="934"/>
      <c r="D38" s="934"/>
      <c r="E38" s="935"/>
      <c r="F38" s="46"/>
      <c r="G38" s="926"/>
      <c r="H38" s="912"/>
      <c r="I38" s="912"/>
      <c r="J38" s="912"/>
      <c r="K38" s="912"/>
      <c r="L38" s="961"/>
    </row>
    <row r="39" spans="1:12">
      <c r="A39" s="914"/>
      <c r="B39" s="933"/>
      <c r="C39" s="934"/>
      <c r="D39" s="934"/>
      <c r="E39" s="935"/>
      <c r="F39" s="46"/>
      <c r="G39" s="926"/>
      <c r="H39" s="912"/>
      <c r="I39" s="912"/>
      <c r="J39" s="912"/>
      <c r="K39" s="912"/>
      <c r="L39" s="961"/>
    </row>
    <row r="40" spans="1:12">
      <c r="A40" s="914"/>
      <c r="B40" s="933"/>
      <c r="C40" s="934"/>
      <c r="D40" s="934"/>
      <c r="E40" s="935"/>
      <c r="F40" s="46"/>
      <c r="G40" s="926"/>
      <c r="H40" s="912"/>
      <c r="I40" s="912"/>
      <c r="J40" s="912"/>
      <c r="K40" s="912"/>
      <c r="L40" s="961"/>
    </row>
    <row r="41" spans="1:12">
      <c r="A41" s="914"/>
      <c r="B41" s="933"/>
      <c r="C41" s="934"/>
      <c r="D41" s="934"/>
      <c r="E41" s="935"/>
      <c r="F41" s="46"/>
      <c r="G41" s="926"/>
      <c r="H41" s="912"/>
      <c r="I41" s="912"/>
      <c r="J41" s="912"/>
      <c r="K41" s="912"/>
      <c r="L41" s="961"/>
    </row>
    <row r="42" spans="1:12">
      <c r="A42" s="914"/>
      <c r="B42" s="933"/>
      <c r="C42" s="934"/>
      <c r="D42" s="934"/>
      <c r="E42" s="935"/>
      <c r="F42" s="46"/>
      <c r="G42" s="926"/>
      <c r="H42" s="912"/>
      <c r="I42" s="912"/>
      <c r="J42" s="912"/>
      <c r="K42" s="912"/>
      <c r="L42" s="961"/>
    </row>
    <row r="43" spans="1:12" ht="15.75" thickBot="1">
      <c r="A43" s="915"/>
      <c r="B43" s="936"/>
      <c r="C43" s="937"/>
      <c r="D43" s="937"/>
      <c r="E43" s="938"/>
      <c r="F43" s="46"/>
      <c r="G43" s="939"/>
      <c r="H43" s="940"/>
      <c r="I43" s="940"/>
      <c r="J43" s="940"/>
      <c r="K43" s="940"/>
      <c r="L43" s="964"/>
    </row>
  </sheetData>
  <sheetProtection password="CFC9" sheet="1"/>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Natia Khonelidze</cp:lastModifiedBy>
  <cp:lastPrinted>2009-11-06T15:57:56Z</cp:lastPrinted>
  <dcterms:created xsi:type="dcterms:W3CDTF">2008-11-20T16:06:13Z</dcterms:created>
  <dcterms:modified xsi:type="dcterms:W3CDTF">2018-08-12T14:57:53Z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