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0" windowWidth="20730" windowHeight="11760" tabRatio="717" activeTab="8"/>
  </bookViews>
  <sheets>
    <sheet name="Menu" sheetId="1" r:id="rId1"/>
    <sheet name="List of Indicators" sheetId="45" r:id="rId2"/>
    <sheet name="Data Entry" sheetId="29" r:id="rId3"/>
    <sheet name="Grant Detail" sheetId="27" r:id="rId4"/>
    <sheet name="Finance" sheetId="30" r:id="rId5"/>
    <sheet name="Management" sheetId="35" r:id="rId6"/>
    <sheet name="Programmatic" sheetId="37" r:id="rId7"/>
    <sheet name="Recommendations"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Finance!$A$2:$K$31</definedName>
    <definedName name="_xlnm.Print_Area" localSheetId="5">Management!$A$1:$L$34</definedName>
    <definedName name="_xlnm.Print_Area" localSheetId="6">Programmatic!$A$1:$Q$29</definedName>
    <definedName name="PrintA">Actions!$A$2:$L$34</definedName>
    <definedName name="PrintDataF">'Data Entry'!$B$25:$J$65</definedName>
    <definedName name="PrintDataM">'Data Entry'!$B$67:$H$111</definedName>
    <definedName name="PrintF">Finance!$A$2:$K$31</definedName>
    <definedName name="PrintGD">'Grant Detail'!$A$2:$J$13</definedName>
    <definedName name="PrintM" localSheetId="8">Actions!$A$2:$L$6</definedName>
    <definedName name="PrintM">Management!$A$2:$L$36</definedName>
    <definedName name="PrintP">Programmatic!$A$2:$P$30</definedName>
    <definedName name="PrintR">Recommendations!$A$2:$N$41</definedName>
    <definedName name="Rating">Setup!$G$9:$G$14</definedName>
    <definedName name="Round">Setup!$D$9:$D$21</definedName>
  </definedNames>
  <calcPr calcId="144525"/>
  <extLst>
    <ext xmlns:mx="http://schemas.microsoft.com/office/mac/excel/2008/main" uri="{7523E5D3-25F3-A5E0-1632-64F254C22452}">
      <mx:ArchID Flags="4"/>
    </ext>
  </extLst>
</workbook>
</file>

<file path=xl/calcChain.xml><?xml version="1.0" encoding="utf-8"?>
<calcChain xmlns="http://schemas.openxmlformats.org/spreadsheetml/2006/main">
  <c r="H108" i="29" l="1"/>
  <c r="N127" i="29" l="1"/>
  <c r="N121" i="29"/>
  <c r="G97" i="29" l="1"/>
  <c r="G96" i="29"/>
  <c r="D52" i="29"/>
  <c r="C55" i="29"/>
  <c r="C54" i="29"/>
  <c r="C53" i="29"/>
  <c r="G32" i="29"/>
  <c r="G34" i="29" s="1"/>
  <c r="H34" i="29" s="1"/>
  <c r="I34" i="29" s="1"/>
  <c r="J34" i="29" s="1"/>
  <c r="K34" i="29" s="1"/>
  <c r="L34" i="29" s="1"/>
  <c r="M34" i="29" s="1"/>
  <c r="N34" i="29" s="1"/>
  <c r="N132" i="29"/>
  <c r="N128" i="29"/>
  <c r="N130" i="29"/>
  <c r="N126" i="29"/>
  <c r="E24" i="37" s="1"/>
  <c r="N120" i="29"/>
  <c r="N124" i="29"/>
  <c r="N118" i="29"/>
  <c r="M132" i="29"/>
  <c r="M130" i="29"/>
  <c r="M128" i="29"/>
  <c r="M126" i="29"/>
  <c r="M124" i="29"/>
  <c r="M120" i="29"/>
  <c r="M118" i="29"/>
  <c r="C32" i="29"/>
  <c r="C34" i="29" s="1"/>
  <c r="D34" i="29" s="1"/>
  <c r="E34" i="29" s="1"/>
  <c r="F34" i="29" s="1"/>
  <c r="E32" i="29"/>
  <c r="F32" i="29"/>
  <c r="L127" i="29"/>
  <c r="L120" i="29"/>
  <c r="L132" i="29"/>
  <c r="L130" i="29"/>
  <c r="L128" i="29"/>
  <c r="L126" i="29"/>
  <c r="L124" i="29"/>
  <c r="L118" i="29"/>
  <c r="F96" i="29"/>
  <c r="G28" i="37"/>
  <c r="K127" i="29"/>
  <c r="K132" i="29"/>
  <c r="K130" i="29"/>
  <c r="K128" i="29"/>
  <c r="K126" i="29"/>
  <c r="K120" i="29"/>
  <c r="K124" i="29"/>
  <c r="K118" i="29"/>
  <c r="J127" i="29"/>
  <c r="J132" i="29"/>
  <c r="E109" i="29"/>
  <c r="G109" i="29"/>
  <c r="I109" i="29" s="1"/>
  <c r="K31" i="35"/>
  <c r="E110" i="29"/>
  <c r="G110" i="29"/>
  <c r="I110" i="29" s="1"/>
  <c r="K32" i="35"/>
  <c r="E111" i="29"/>
  <c r="G111" i="29"/>
  <c r="I111" i="29" s="1"/>
  <c r="K33" i="35"/>
  <c r="E108" i="29"/>
  <c r="G108" i="29"/>
  <c r="I108" i="29" s="1"/>
  <c r="K30" i="35"/>
  <c r="C90" i="29"/>
  <c r="D90" i="29"/>
  <c r="J128" i="29"/>
  <c r="J120" i="29"/>
  <c r="J130" i="29"/>
  <c r="J126" i="29"/>
  <c r="J124" i="29"/>
  <c r="J118" i="29"/>
  <c r="E96" i="29"/>
  <c r="C47" i="29"/>
  <c r="H143" i="29"/>
  <c r="E27" i="37"/>
  <c r="C98" i="29"/>
  <c r="D98" i="29"/>
  <c r="E98" i="29"/>
  <c r="F98" i="29"/>
  <c r="G98" i="29" s="1"/>
  <c r="H98" i="29" s="1"/>
  <c r="I98" i="29" s="1"/>
  <c r="J98" i="29" s="1"/>
  <c r="K98" i="29" s="1"/>
  <c r="L98" i="29" s="1"/>
  <c r="M98" i="29" s="1"/>
  <c r="N98" i="29" s="1"/>
  <c r="D47" i="29"/>
  <c r="C33" i="29"/>
  <c r="D33" i="29"/>
  <c r="E33" i="29"/>
  <c r="E35" i="29" s="1"/>
  <c r="F20" i="37"/>
  <c r="K145" i="29"/>
  <c r="B22" i="45"/>
  <c r="F27" i="37"/>
  <c r="F26" i="37"/>
  <c r="F25" i="37"/>
  <c r="E26" i="37"/>
  <c r="E25" i="37"/>
  <c r="F24" i="37"/>
  <c r="F23" i="37"/>
  <c r="E23" i="37"/>
  <c r="F22" i="37"/>
  <c r="E22" i="37"/>
  <c r="F21" i="37"/>
  <c r="E21" i="37"/>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2" i="1"/>
  <c r="B4" i="1"/>
  <c r="E90" i="29"/>
  <c r="E89" i="29"/>
  <c r="D11" i="42"/>
  <c r="J3" i="35"/>
  <c r="L3" i="35"/>
  <c r="H15" i="35"/>
  <c r="I3" i="30"/>
  <c r="K3" i="30"/>
  <c r="H8" i="30"/>
  <c r="D33" i="42"/>
  <c r="D34" i="42"/>
  <c r="D35" i="42"/>
  <c r="D36" i="42"/>
  <c r="D37" i="42"/>
  <c r="D38" i="42"/>
  <c r="D39" i="42"/>
  <c r="D40" i="42"/>
  <c r="D41" i="42"/>
  <c r="D32" i="42"/>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B143" i="29"/>
  <c r="B32" i="29"/>
  <c r="D38" i="29"/>
  <c r="C38" i="29"/>
  <c r="B31" i="29"/>
  <c r="E51" i="29"/>
  <c r="H29" i="30"/>
  <c r="H28" i="30"/>
  <c r="H27" i="30"/>
  <c r="D24" i="42"/>
  <c r="D23" i="42"/>
  <c r="D22" i="42"/>
  <c r="D21" i="42"/>
  <c r="D20" i="42"/>
  <c r="D19" i="42"/>
  <c r="D14" i="42"/>
  <c r="D13" i="42"/>
  <c r="D12" i="42"/>
  <c r="B25" i="45"/>
  <c r="B23" i="45"/>
  <c r="B21" i="45"/>
  <c r="B20" i="45"/>
  <c r="B19" i="45"/>
  <c r="B11" i="45"/>
  <c r="B10" i="45"/>
  <c r="B9" i="45"/>
  <c r="B8" i="45"/>
  <c r="B4" i="37"/>
  <c r="B4" i="35"/>
  <c r="B4" i="30"/>
  <c r="E20" i="42"/>
  <c r="G12" i="27"/>
  <c r="H4" i="1"/>
  <c r="K148" i="29"/>
  <c r="K147" i="29"/>
  <c r="K146" i="29"/>
  <c r="K144" i="29"/>
  <c r="K143" i="29"/>
  <c r="G72" i="29"/>
  <c r="K27" i="30"/>
  <c r="J27" i="30"/>
  <c r="K28" i="30"/>
  <c r="J28" i="30"/>
  <c r="K29" i="30"/>
  <c r="J29" i="30"/>
  <c r="E53"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c r="E100" i="29" s="1"/>
  <c r="F100" i="29" s="1"/>
  <c r="G100" i="29" s="1"/>
  <c r="H100" i="29" s="1"/>
  <c r="I100" i="29" s="1"/>
  <c r="J100" i="29" s="1"/>
  <c r="K100" i="29" s="1"/>
  <c r="L100" i="29" s="1"/>
  <c r="M100" i="29" s="1"/>
  <c r="N100" i="29" s="1"/>
  <c r="C99" i="29"/>
  <c r="D99" i="29"/>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B26" i="37"/>
  <c r="B25" i="37"/>
  <c r="B24" i="37"/>
  <c r="B23" i="37"/>
  <c r="S142" i="29"/>
  <c r="R142" i="29"/>
  <c r="Q142" i="29"/>
  <c r="P142" i="29"/>
  <c r="O142" i="29"/>
  <c r="B22" i="37"/>
  <c r="B21" i="37"/>
  <c r="B20" i="37"/>
  <c r="E55" i="29"/>
  <c r="B27" i="37"/>
  <c r="N142" i="29"/>
  <c r="M142" i="29"/>
  <c r="L142" i="29"/>
  <c r="K142" i="29"/>
  <c r="J142" i="29"/>
  <c r="I142" i="29"/>
  <c r="H142" i="29"/>
  <c r="B36" i="39"/>
  <c r="B34" i="39"/>
  <c r="E54" i="29"/>
  <c r="B34" i="35"/>
  <c r="AD23" i="37"/>
  <c r="AF21" i="37"/>
  <c r="AE21" i="37"/>
  <c r="AD21" i="37"/>
  <c r="T21" i="37"/>
  <c r="U21" i="37"/>
  <c r="V21" i="37"/>
  <c r="T22" i="37"/>
  <c r="U22" i="37"/>
  <c r="V22" i="37"/>
  <c r="T23" i="37"/>
  <c r="U23" i="37"/>
  <c r="V23" i="37"/>
  <c r="T24" i="37"/>
  <c r="U24" i="37"/>
  <c r="V24" i="37"/>
  <c r="T25" i="37"/>
  <c r="U25" i="37"/>
  <c r="V25" i="37"/>
  <c r="U28" i="37"/>
  <c r="T26" i="37"/>
  <c r="U26" i="37"/>
  <c r="V26" i="37"/>
  <c r="W26" i="37"/>
  <c r="X26" i="37"/>
  <c r="T29" i="37"/>
  <c r="T27" i="37"/>
  <c r="U27" i="37"/>
  <c r="V27" i="37"/>
  <c r="W27" i="37"/>
  <c r="X27" i="37"/>
  <c r="T28" i="37"/>
  <c r="V28" i="37"/>
  <c r="X28"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B7" i="35"/>
  <c r="F20" i="42"/>
  <c r="AE23" i="37"/>
  <c r="AF23" i="37"/>
  <c r="AF22" i="37"/>
  <c r="AD22" i="37"/>
  <c r="AE22" i="37"/>
  <c r="AD24" i="37"/>
  <c r="AF24" i="37"/>
  <c r="AE24" i="37"/>
  <c r="B15" i="35"/>
  <c r="H26" i="35"/>
  <c r="B3" i="32"/>
  <c r="R29" i="29"/>
  <c r="H7" i="35"/>
  <c r="C35" i="29"/>
  <c r="R30" i="29"/>
  <c r="D35" i="29"/>
  <c r="E20" i="37"/>
  <c r="H22" i="30"/>
  <c r="B8" i="30"/>
  <c r="B22" i="30"/>
  <c r="D30" i="42"/>
  <c r="D31" i="42"/>
  <c r="R31" i="29"/>
  <c r="D29" i="42"/>
  <c r="G20" i="37" l="1"/>
  <c r="G22" i="37"/>
  <c r="G21" i="37"/>
  <c r="G25" i="37"/>
  <c r="G27" i="37"/>
  <c r="G26" i="37"/>
  <c r="G24" i="37"/>
  <c r="G23" i="37"/>
  <c r="J33" i="35"/>
  <c r="L33" i="35" s="1"/>
  <c r="K111" i="29"/>
  <c r="K108" i="29"/>
  <c r="J30" i="35"/>
  <c r="L30" i="35" s="1"/>
  <c r="J31" i="35"/>
  <c r="L31" i="35" s="1"/>
  <c r="K109" i="29"/>
  <c r="J32" i="35"/>
  <c r="L32" i="35" s="1"/>
  <c r="K110" i="29"/>
  <c r="C52" i="29"/>
  <c r="E52" i="29" s="1"/>
  <c r="F33" i="29"/>
  <c r="R32" i="29" l="1"/>
  <c r="F35" i="29"/>
  <c r="G33" i="29"/>
  <c r="H33" i="29" l="1"/>
  <c r="R33" i="29"/>
  <c r="G35" i="29"/>
  <c r="R34" i="29" l="1"/>
  <c r="I33" i="29"/>
  <c r="H35" i="29"/>
  <c r="I35" i="29" l="1"/>
  <c r="F47" i="29"/>
  <c r="J33" i="29"/>
  <c r="R35" i="29"/>
  <c r="K33" i="29" l="1"/>
  <c r="R49" i="29"/>
  <c r="J35" i="29"/>
  <c r="L33" i="29" l="1"/>
  <c r="R50" i="29"/>
  <c r="K35" i="29"/>
  <c r="L35" i="29" l="1"/>
  <c r="M33" i="29"/>
  <c r="M35" i="29" l="1"/>
  <c r="Q51" i="29"/>
  <c r="N33" i="29"/>
  <c r="N35" i="29" s="1"/>
  <c r="O31" i="29" s="1"/>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rPr>
          <t>To define your periods (eg. P1, P2, P3 etc or P9, P10, P11 etc) you need to unprotect the cells.</t>
        </r>
      </text>
    </comment>
    <comment ref="B72" authorId="1">
      <text>
        <r>
          <rPr>
            <b/>
            <sz val="8"/>
            <color indexed="81"/>
            <rFont val="Tahoma"/>
            <family val="2"/>
          </rPr>
          <t xml:space="preserve">If data are not available, do not enter zeros; rather, leave the cells in the table blank. </t>
        </r>
      </text>
    </comment>
    <comment ref="B73" authorId="1">
      <text>
        <r>
          <rPr>
            <b/>
            <sz val="8"/>
            <color indexed="81"/>
            <rFont val="Tahoma"/>
            <family val="2"/>
          </rPr>
          <t>If data are not available, do not enter zeros; rather, leave the cells in this table blank.</t>
        </r>
      </text>
    </comment>
    <comment ref="B79" authorId="0">
      <text>
        <r>
          <rPr>
            <sz val="8"/>
            <color indexed="81"/>
            <rFont val="Tahoma"/>
            <family val="2"/>
          </rPr>
          <t xml:space="preserve">If data are not available, do not enter zeros; rather, leave the cells in this table blank. </t>
        </r>
      </text>
    </comment>
    <comment ref="B94" authorId="0">
      <text>
        <r>
          <rPr>
            <sz val="8"/>
            <color indexed="81"/>
            <rFont val="Tahoma"/>
            <family val="2"/>
          </rPr>
          <t>To define your periods (eg. P1, P2, P3 etc or P9, P10, P11 etc) you need to unprotect the cells.</t>
        </r>
      </text>
    </comment>
  </commentList>
</comments>
</file>

<file path=xl/sharedStrings.xml><?xml version="1.0" encoding="utf-8"?>
<sst xmlns="http://schemas.openxmlformats.org/spreadsheetml/2006/main" count="612" uniqueCount="468">
  <si>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</si>
  <si>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Days taken to submit final PU/DR to LFA</t>
  </si>
  <si>
    <t>Information reporting period</t>
  </si>
  <si>
    <t>Enter the data based on the colour-coded cells</t>
  </si>
  <si>
    <t>% Cumulative</t>
  </si>
  <si>
    <t>Obligations cumulative</t>
  </si>
  <si>
    <t>Expenditures cumulative</t>
  </si>
  <si>
    <t>Programmatic</t>
  </si>
  <si>
    <t>To:</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</si>
  <si>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</si>
  <si>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</si>
  <si>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</si>
  <si>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</si>
  <si>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</si>
  <si>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</si>
  <si>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</si>
  <si>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</si>
  <si>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</si>
  <si>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</si>
  <si>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</si>
  <si>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</si>
  <si>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</si>
  <si>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</si>
  <si>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</si>
  <si>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</si>
  <si>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</si>
  <si>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</si>
  <si>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</si>
  <si>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</si>
  <si>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</si>
  <si>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</si>
  <si>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</si>
  <si>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</si>
  <si>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</si>
  <si>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</si>
  <si>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</si>
  <si>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</si>
  <si>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</si>
  <si>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</si>
  <si>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</si>
  <si>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</si>
  <si>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</si>
  <si>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</si>
  <si>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</si>
  <si>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</si>
  <si>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</si>
  <si>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</si>
  <si>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</si>
  <si>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</si>
  <si>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</si>
  <si>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</si>
  <si>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</si>
  <si>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</si>
  <si>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</si>
  <si>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</si>
  <si>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</si>
  <si>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</si>
  <si>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</si>
  <si>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</si>
  <si>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</si>
  <si>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</si>
  <si>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</si>
  <si>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</si>
  <si>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Planned</t>
  </si>
  <si>
    <t>Vacant</t>
  </si>
  <si>
    <t>#  Expected</t>
  </si>
  <si>
    <t># Received</t>
  </si>
  <si>
    <t>Assessed</t>
  </si>
  <si>
    <t>Signed</t>
  </si>
  <si>
    <t>Management Indicators</t>
  </si>
  <si>
    <t>NVP</t>
  </si>
  <si>
    <t>3TC</t>
  </si>
  <si>
    <t>D4T</t>
  </si>
  <si>
    <t>AZT</t>
  </si>
  <si>
    <t>DDI</t>
  </si>
  <si>
    <t>EFV</t>
  </si>
  <si>
    <t>AS/MQ</t>
  </si>
  <si>
    <t>AS/LF</t>
  </si>
  <si>
    <t>AS/AQ</t>
  </si>
  <si>
    <t>Products</t>
  </si>
  <si>
    <t>Peru</t>
  </si>
  <si>
    <t>Filled</t>
  </si>
  <si>
    <t>Approved</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</si>
  <si>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</si>
  <si>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</si>
  <si>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</si>
  <si>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</si>
  <si>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</si>
  <si>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</si>
  <si>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</si>
  <si>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</si>
  <si>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</si>
  <si>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</si>
  <si>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</si>
  <si>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</si>
  <si>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</si>
  <si>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</si>
  <si>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</si>
  <si>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</si>
  <si>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</si>
  <si>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</si>
  <si>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</si>
  <si>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</si>
  <si>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</si>
  <si>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</si>
  <si>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</si>
  <si>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</si>
  <si>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</si>
  <si>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</si>
  <si>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</si>
  <si>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</si>
  <si>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</si>
  <si>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</si>
  <si>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</si>
  <si>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</si>
  <si>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</si>
  <si>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Grant No.:</t>
  </si>
  <si>
    <t>Fulfilled</t>
  </si>
  <si>
    <t>Not fulfilled, and past the deadline</t>
  </si>
  <si>
    <t>Receiving Funding</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</si>
  <si>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</si>
  <si>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</si>
  <si>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</si>
  <si>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</si>
  <si>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</si>
  <si>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</si>
  <si>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</si>
  <si>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</si>
  <si>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</si>
  <si>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</si>
  <si>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</si>
  <si>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</si>
  <si>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</si>
  <si>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</si>
  <si>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</si>
  <si>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</si>
  <si>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</si>
  <si>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</si>
  <si>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</si>
  <si>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</si>
  <si>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</si>
  <si>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</si>
  <si>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</si>
  <si>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</si>
  <si>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</si>
  <si>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</si>
  <si>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</si>
  <si>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</si>
  <si>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</si>
  <si>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</si>
  <si>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</si>
  <si>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</si>
  <si>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</si>
  <si>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</si>
  <si>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</si>
  <si>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</si>
  <si>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</si>
  <si>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</si>
  <si>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</si>
  <si>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</si>
  <si>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</si>
  <si>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</si>
  <si>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</si>
  <si>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</si>
  <si>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</si>
  <si>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</si>
  <si>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</si>
  <si>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</si>
  <si>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</si>
  <si>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</si>
  <si>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</si>
  <si>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</si>
  <si>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</si>
  <si>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</si>
  <si>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</si>
  <si>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</si>
  <si>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</si>
  <si>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</si>
  <si>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</si>
  <si>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</si>
  <si>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</si>
  <si>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</si>
  <si>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</si>
  <si>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</si>
  <si>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</si>
  <si>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</si>
  <si>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</si>
  <si>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</si>
  <si>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</si>
  <si>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</si>
  <si>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</si>
  <si>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</si>
  <si>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</si>
  <si>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</si>
  <si>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</si>
  <si>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</si>
  <si>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</si>
  <si>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</si>
  <si>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</si>
  <si>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</si>
  <si>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</si>
  <si>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</si>
  <si>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</si>
  <si>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</si>
  <si>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</si>
  <si>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</si>
  <si>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</si>
  <si>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</si>
  <si>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</si>
  <si>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</si>
  <si>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</si>
  <si>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</si>
  <si>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</si>
  <si>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</si>
  <si>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</si>
  <si>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</si>
  <si>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</si>
  <si>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</si>
  <si>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</si>
  <si>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</si>
  <si>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</si>
  <si>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</si>
  <si>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</si>
  <si>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</si>
  <si>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</si>
  <si>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</si>
  <si>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</si>
  <si>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</si>
  <si>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</si>
  <si>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</si>
  <si>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</si>
  <si>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</si>
  <si>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</si>
  <si>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</si>
  <si>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</si>
  <si>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</si>
  <si>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</si>
  <si>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</si>
  <si>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</si>
  <si>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</si>
  <si>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</si>
  <si>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</si>
  <si>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</si>
  <si>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</si>
  <si>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</si>
  <si>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</si>
  <si>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</si>
  <si>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</si>
  <si>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</si>
  <si>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</si>
  <si>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</si>
  <si>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</si>
  <si>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</si>
  <si>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</si>
  <si>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</si>
  <si>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</si>
  <si>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</si>
  <si>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</si>
  <si>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</si>
  <si>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</si>
  <si>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</si>
  <si>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</si>
  <si>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</si>
  <si>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Management Information:</t>
  </si>
  <si>
    <t>Valor</t>
  </si>
  <si>
    <t>Rating</t>
  </si>
  <si>
    <t>from:</t>
  </si>
  <si>
    <t>Reporting period</t>
  </si>
  <si>
    <t>Principal Recipient:</t>
  </si>
  <si>
    <t>Disbursed to SRs</t>
  </si>
  <si>
    <t>SR expenditures</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</si>
  <si>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</si>
  <si>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</si>
  <si>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</si>
  <si>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</si>
  <si>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</si>
  <si>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</si>
  <si>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</si>
  <si>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</si>
  <si>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</si>
  <si>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</si>
  <si>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</si>
  <si>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</si>
  <si>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</si>
  <si>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</si>
  <si>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</si>
  <si>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</si>
  <si>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</si>
  <si>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Pending</t>
  </si>
  <si>
    <t>Fund Portfolio Manager:</t>
  </si>
  <si>
    <t>PR expenditure and disbursement</t>
  </si>
  <si>
    <t>Identified</t>
  </si>
  <si>
    <t>Person Responsible</t>
  </si>
  <si>
    <t>LFA</t>
  </si>
  <si>
    <t xml:space="preserve">Date </t>
  </si>
  <si>
    <t xml:space="preserve">The indicators should be selected by the PRs and members of the CCM or the CCM Technical Committee, from the Performance Framework </t>
  </si>
  <si>
    <t>Not fulfilled, but within deadline</t>
  </si>
  <si>
    <t>Programmatic Indicators (from Performance Framework)</t>
  </si>
  <si>
    <t>Indicator Number: Name (Perf Framework No.)</t>
  </si>
  <si>
    <t>Isoniazid</t>
  </si>
  <si>
    <t>Ethambutol</t>
  </si>
  <si>
    <t>Rifampicin</t>
  </si>
  <si>
    <t>Pyrazimamide</t>
  </si>
  <si>
    <t>Definition  (from M&amp;E Plan, June 2007)</t>
  </si>
  <si>
    <t xml:space="preserve">     Enter management data in every blue cell.</t>
  </si>
  <si>
    <t>Key Recommendations from Oversight Group(s)</t>
  </si>
  <si>
    <t>Current  Reporting  Period</t>
  </si>
  <si>
    <t>Previous  Reporting  Period</t>
  </si>
  <si>
    <t xml:space="preserve">Last fund disbursement: Calendar days </t>
  </si>
  <si>
    <t>E-PAP</t>
  </si>
  <si>
    <t>Al/Lum</t>
  </si>
  <si>
    <t>Disbursed by Global Fund</t>
  </si>
  <si>
    <t>PMU</t>
  </si>
  <si>
    <t>Expenditures</t>
  </si>
  <si>
    <t>TB nutri'l supplements</t>
  </si>
  <si>
    <t>Recommendations</t>
  </si>
  <si>
    <t>P1 - trend</t>
  </si>
  <si>
    <t>P2 - trend</t>
  </si>
  <si>
    <t>P3 - trend</t>
  </si>
  <si>
    <t>Set-up = List of validation for Grant Detail page</t>
  </si>
  <si>
    <t>Action Taken</t>
  </si>
  <si>
    <t>Total Funding:</t>
  </si>
  <si>
    <t>Phase:</t>
  </si>
  <si>
    <t>Round:</t>
  </si>
  <si>
    <t>From:</t>
  </si>
  <si>
    <t>Date of entry  of information:</t>
  </si>
  <si>
    <t xml:space="preserve">     Enter finance data in every orange cell like this.</t>
  </si>
  <si>
    <t>Code</t>
  </si>
  <si>
    <t>Grant No.</t>
  </si>
  <si>
    <t>Total Funding</t>
  </si>
  <si>
    <t>Difference between current stock and safety stock</t>
  </si>
  <si>
    <t>Months of safety stock</t>
  </si>
  <si>
    <t>0% - 59%</t>
  </si>
  <si>
    <t>60% - 89%</t>
  </si>
  <si>
    <t>&gt; 90%</t>
  </si>
  <si>
    <t>Actions to Implement / Previous Period</t>
  </si>
  <si>
    <t>(2 = 1 x 30)
Monthly treatment 
(Tablets per patient x 30 days)</t>
  </si>
  <si>
    <t>(3)
Total patients in treatment</t>
  </si>
  <si>
    <t>(4 = 2 x 3)
Total # tab/pills required for all patients per month</t>
  </si>
  <si>
    <t>(5)
Current stock in central warehouse (that does not expire within the next 3 months)</t>
  </si>
  <si>
    <t>(6 = 5 / 4)
Stock level expressed in months of treatment for all current patients</t>
  </si>
  <si>
    <t xml:space="preserve">(7)
Level of safety stock
(expressed in months and defined by country) </t>
  </si>
  <si>
    <t>(8 = 6 - 7)
Difference between current stock and safety stock</t>
  </si>
  <si>
    <t>Stock level expressed in months of treatment for all current patients</t>
  </si>
  <si>
    <t>Directly Tied?</t>
  </si>
  <si>
    <t>Indicator</t>
  </si>
  <si>
    <t xml:space="preserve">Last fund disbursement: Number of calendar days </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</si>
  <si>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</si>
  <si>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</si>
  <si>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</si>
  <si>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</si>
  <si>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</si>
  <si>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</si>
  <si>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</si>
  <si>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</si>
  <si>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</si>
  <si>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</si>
  <si>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</si>
  <si>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</si>
  <si>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</si>
  <si>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</si>
  <si>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</si>
  <si>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Information on indicators</t>
  </si>
  <si>
    <t>Days taken for disbursement to reach PR</t>
  </si>
  <si>
    <t xml:space="preserve">Days taken for disbursement to reach SRs </t>
  </si>
  <si>
    <t>Obligations</t>
  </si>
  <si>
    <t>PR records: Warehouse data.</t>
  </si>
  <si>
    <t>Budget Approved*</t>
  </si>
  <si>
    <t>Round 10</t>
  </si>
  <si>
    <t>Currency of the grant</t>
  </si>
  <si>
    <t xml:space="preserve">     Enter performance data in every yellow cell.</t>
  </si>
  <si>
    <t>Decisions and Actions</t>
  </si>
  <si>
    <t>Please Select</t>
  </si>
  <si>
    <t>Grant information</t>
  </si>
  <si>
    <t>TOP 3</t>
  </si>
  <si>
    <t>Prior to reporting period</t>
  </si>
  <si>
    <t>Current reporting period</t>
  </si>
  <si>
    <t>F3: Disbursements and expenditures</t>
  </si>
  <si>
    <t>F2: Budget and actual expenditures by Grant Objective</t>
  </si>
  <si>
    <t>F1: Budget and disbursements by Global Fund</t>
  </si>
  <si>
    <t>F4: Latest PR reporting and disbursement cycle</t>
  </si>
  <si>
    <t>M1: Status of Conditions Precedent (CPs) and Time Bound Actions (TBAs)</t>
  </si>
  <si>
    <t>M2: Status of key PR management positions</t>
  </si>
  <si>
    <t>M4: Number of complete reports received on time</t>
  </si>
  <si>
    <t>M6: Difference between current and safety stock</t>
  </si>
  <si>
    <t>Cumulative budget</t>
  </si>
  <si>
    <t>Cumulative disbursements</t>
  </si>
  <si>
    <t xml:space="preserve">M3: Contractual arrangements (SRs) </t>
  </si>
  <si>
    <t>SSR to SR</t>
  </si>
  <si>
    <t>SRs to PR</t>
  </si>
  <si>
    <t>M5: Budget and Procurement of health products, health equipment, medicines and pharmaceuticals</t>
  </si>
  <si>
    <t>Programmatic Information:</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</si>
  <si>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</si>
  <si>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</si>
  <si>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</si>
  <si>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</si>
  <si>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</si>
  <si>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Programmatic indicators  (Performance Framework )</t>
  </si>
  <si>
    <t xml:space="preserve">Financial Information: </t>
  </si>
  <si>
    <t xml:space="preserve">Management Information: </t>
  </si>
  <si>
    <t xml:space="preserve">Programmatic Information: </t>
  </si>
  <si>
    <t>Grant Objective</t>
  </si>
  <si>
    <t>Start Date (dd/Mmm/yy):</t>
  </si>
  <si>
    <t>* Includes only EFR category 4 and 5  (Health products and health equipment &amp; Medicines and Pharmaceuticals)</t>
  </si>
  <si>
    <t>Table is automatically updated. No data or information is to be entered here.</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</si>
  <si>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</si>
  <si>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</si>
  <si>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</si>
  <si>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</si>
  <si>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Budget Approved cumulative*</t>
  </si>
  <si>
    <t>Comment: P1</t>
  </si>
  <si>
    <t>Comment: P2</t>
  </si>
  <si>
    <t>Comment: P3</t>
  </si>
  <si>
    <t>GEO-H-NCDC</t>
  </si>
  <si>
    <t>NCDC</t>
  </si>
  <si>
    <t>Alexander Asatiani</t>
  </si>
  <si>
    <t>Zidovudine/Lamivudine</t>
  </si>
  <si>
    <t>Syringes (1ml)</t>
  </si>
  <si>
    <t>(1)
Number of tablets/mgs per patient per day
(Review country treatment guidelines)</t>
  </si>
  <si>
    <t>Prevention programs for MSM and TGs</t>
  </si>
  <si>
    <t>Prevention programs for sex workers and their clients</t>
  </si>
  <si>
    <t>Prevention programs for people who inject drugs (PWID) and their partners</t>
  </si>
  <si>
    <t>Prevention programs for other vulnerable populations (please specify)</t>
  </si>
  <si>
    <t>Treatment, care and support</t>
  </si>
  <si>
    <t>HSS - Health information systems and M&amp;E</t>
  </si>
  <si>
    <t>Removing legal barriers to access</t>
  </si>
  <si>
    <t>Program management</t>
  </si>
  <si>
    <t>Percentage of PWID reached with HIV prevention programs - defined package of services</t>
  </si>
  <si>
    <t>KP-1d</t>
  </si>
  <si>
    <t>Percentage of PWID that have received an HIV test during the reporting period and know their results</t>
  </si>
  <si>
    <t>KP-3d</t>
  </si>
  <si>
    <t>Percentage of MSM reached with HIV prevention programs - defined package of services</t>
  </si>
  <si>
    <t>KP-1a</t>
  </si>
  <si>
    <t>Percentage of MSM that have received an HIV test during the reporting period and know their results</t>
  </si>
  <si>
    <t>KP-3a</t>
  </si>
  <si>
    <t>Percentage of sex workers reached with HIV prevention programs - defined package of services</t>
  </si>
  <si>
    <t>KP-1c</t>
  </si>
  <si>
    <t>Percentage of sex workers that have received an HIV test during the reporting period and know their results</t>
  </si>
  <si>
    <t>KP-3c</t>
  </si>
  <si>
    <t>Percentage of other vulnerable populations (prisoners) that have received an HIV test during the reporting period and know their results</t>
  </si>
  <si>
    <t>KP-3e</t>
  </si>
  <si>
    <t xml:space="preserve">Percentage of people living with HIV currently receiving antiretroviral therapy </t>
  </si>
  <si>
    <t>TCS-1</t>
  </si>
  <si>
    <t>N/A</t>
  </si>
  <si>
    <t>NFM</t>
  </si>
  <si>
    <t xml:space="preserve">Sustaining and Scaling up the Effective HIV/AIDS Prevention, Treatment and Care in Georgia </t>
  </si>
  <si>
    <t>IDACIRC</t>
  </si>
  <si>
    <t>HAPSF</t>
  </si>
  <si>
    <t>GHRN</t>
  </si>
  <si>
    <t>IMPHA</t>
  </si>
  <si>
    <t>CIF</t>
  </si>
  <si>
    <t>Equality</t>
  </si>
  <si>
    <t>Tanadgoma</t>
  </si>
  <si>
    <t>2 Projects</t>
  </si>
  <si>
    <t>NFM Grant Requirements</t>
  </si>
  <si>
    <t>Jul-Sep 2016</t>
  </si>
  <si>
    <t>Oct-Dec 2017</t>
  </si>
  <si>
    <t>Jan-Mar 2017</t>
  </si>
  <si>
    <t xml:space="preserve">Gyongyver Jakab </t>
  </si>
  <si>
    <t>Condoms (Tanadgoma)</t>
  </si>
  <si>
    <t xml:space="preserve"> Percentage of individuals receiving Opioid Substitution Therapy who received treatment for at least 6 months</t>
  </si>
  <si>
    <t>Jan-Jun 2017</t>
  </si>
  <si>
    <t>Jan-Sep 2017</t>
  </si>
  <si>
    <t>Jan-Mar 2018</t>
  </si>
  <si>
    <t>Jan-Dec 2017</t>
  </si>
  <si>
    <t>Condoms (EM)</t>
  </si>
  <si>
    <t>Procurement is at the final stage, delivery is anticipated in July,2018</t>
  </si>
  <si>
    <t>Programatic indicator: Percentage of MSM that have received an HIV testing during the current reporting epriod and know their results. Requires attention and close follow up. The data of Q2 will inform OC recommendaton.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</si>
</sst>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0.00\ _L_a_r_i_-;\-* #,##0.00\ _L_a_r_i_-;_-* &quot;-&quot;??\ _L_a_r_i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s>
  <fonts count="144">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sz val="10"/>
      <name val="Calibri"/>
      <family val="2"/>
    </font>
    <font>
      <sz val="9"/>
      <color indexed="16"/>
      <name val="Calibri"/>
      <family val="2"/>
    </font>
    <font>
      <b/>
      <i/>
      <sz val="14"/>
      <color indexed="12"/>
      <name val="Calibri"/>
      <family val="2"/>
    </font>
    <font>
      <b/>
      <sz val="9"/>
      <name val="Calibri"/>
      <family val="2"/>
    </font>
    <font>
      <sz val="16"/>
      <color indexed="9"/>
      <name val="Calibri"/>
      <family val="2"/>
    </font>
    <font>
      <i/>
      <sz val="11"/>
      <color indexed="8"/>
      <name val="Calibri"/>
      <family val="2"/>
    </font>
    <font>
      <b/>
      <sz val="14"/>
      <color indexed="44"/>
      <name val="Calibri"/>
      <family val="2"/>
    </font>
    <font>
      <b/>
      <sz val="14"/>
      <color indexed="51"/>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11"/>
      <color indexed="8"/>
      <name val="Calibri"/>
      <family val="2"/>
    </font>
    <font>
      <sz val="8"/>
      <color indexed="81"/>
      <name val="Tahoma"/>
      <family val="2"/>
    </font>
    <font>
      <b/>
      <sz val="20"/>
      <color indexed="8"/>
      <name val="Calibri"/>
      <family val="2"/>
    </font>
    <font>
      <sz val="20"/>
      <color indexed="8"/>
      <name val="Calibri"/>
      <family val="2"/>
    </font>
    <font>
      <sz val="11"/>
      <color theme="1"/>
      <name val="Calibri"/>
      <family val="2"/>
      <scheme val="minor"/>
    </font>
    <font>
      <b/>
      <sz val="11"/>
      <color theme="1"/>
      <name val="Calibri"/>
      <family val="2"/>
      <scheme val="minor"/>
    </font>
    <font>
      <sz val="11"/>
      <color rgb="FFFF0000"/>
      <name val="Calibri"/>
      <family val="2"/>
      <scheme val="minor"/>
    </font>
    <font>
      <strike/>
      <sz val="10"/>
      <name val="Arial"/>
      <family val="2"/>
    </font>
    <font>
      <sz val="11"/>
      <color theme="1"/>
      <name val="Calibri"/>
      <family val="2"/>
    </font>
    <font>
      <sz val="11"/>
      <color rgb="FF000000"/>
      <name val="Calibri"/>
      <family val="2"/>
      <scheme val="minor"/>
    </font>
    <font>
      <sz val="11"/>
      <color theme="0"/>
      <name val="Calibri"/>
      <family val="2"/>
      <scheme val="minor"/>
    </font>
    <font>
      <sz val="9"/>
      <name val="Calibri"/>
      <family val="2"/>
      <scheme val="minor"/>
    </font>
    <font>
      <b/>
      <sz val="11"/>
      <color theme="0"/>
      <name val="Calibri"/>
      <family val="2"/>
      <scheme val="minor"/>
    </font>
    <font>
      <sz val="11"/>
      <color theme="0" tint="-0.14999847407452621"/>
      <name val="Calibri"/>
      <family val="2"/>
      <scheme val="minor"/>
    </font>
    <font>
      <i/>
      <sz val="11"/>
      <color theme="0" tint="-0.14999847407452621"/>
      <name val="Calibri"/>
      <family val="2"/>
    </font>
    <font>
      <sz val="11"/>
      <color theme="0" tint="-0.14999847407452621"/>
      <name val="Calibri"/>
      <family val="2"/>
    </font>
    <font>
      <sz val="11"/>
      <color rgb="FFFF0000"/>
      <name val="Calibri"/>
      <family val="2"/>
    </font>
  </fonts>
  <fills count="41">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3"/>
        <bgColor indexed="64"/>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43"/>
        <bgColor indexed="51"/>
      </patternFill>
    </fill>
    <fill>
      <patternFill patternType="solid">
        <fgColor indexed="65"/>
        <bgColor indexed="64"/>
      </patternFill>
    </fill>
    <fill>
      <patternFill patternType="solid">
        <fgColor indexed="61"/>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24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auto="1"/>
      </right>
      <top style="thin">
        <color auto="1"/>
      </top>
      <bottom style="thin">
        <color auto="1"/>
      </bottom>
      <diagonal/>
    </border>
    <border>
      <left style="medium">
        <color indexed="16"/>
      </left>
      <right style="thin">
        <color auto="1"/>
      </right>
      <top style="thin">
        <color auto="1"/>
      </top>
      <bottom style="medium">
        <color indexed="16"/>
      </bottom>
      <diagonal/>
    </border>
    <border>
      <left/>
      <right/>
      <top/>
      <bottom style="medium">
        <color indexed="12"/>
      </bottom>
      <diagonal/>
    </border>
    <border>
      <left style="thin">
        <color auto="1"/>
      </left>
      <right style="thin">
        <color auto="1"/>
      </right>
      <top style="medium">
        <color indexed="48"/>
      </top>
      <bottom style="thin">
        <color auto="1"/>
      </bottom>
      <diagonal/>
    </border>
    <border>
      <left style="thin">
        <color auto="1"/>
      </left>
      <right style="medium">
        <color indexed="48"/>
      </right>
      <top style="medium">
        <color indexed="48"/>
      </top>
      <bottom style="thin">
        <color auto="1"/>
      </bottom>
      <diagonal/>
    </border>
    <border>
      <left style="thin">
        <color auto="1"/>
      </left>
      <right style="medium">
        <color indexed="48"/>
      </right>
      <top style="thin">
        <color auto="1"/>
      </top>
      <bottom style="thin">
        <color auto="1"/>
      </bottom>
      <diagonal/>
    </border>
    <border>
      <left style="thin">
        <color auto="1"/>
      </left>
      <right style="medium">
        <color indexed="48"/>
      </right>
      <top style="thin">
        <color auto="1"/>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auto="1"/>
      </left>
      <right/>
      <top style="thin">
        <color auto="1"/>
      </top>
      <bottom style="thin">
        <color auto="1"/>
      </bottom>
      <diagonal/>
    </border>
    <border>
      <left style="thin">
        <color auto="1"/>
      </left>
      <right/>
      <top style="thin">
        <color auto="1"/>
      </top>
      <bottom style="medium">
        <color indexed="51"/>
      </bottom>
      <diagonal/>
    </border>
    <border>
      <left style="thin">
        <color auto="1"/>
      </left>
      <right style="medium">
        <color indexed="51"/>
      </right>
      <top style="thin">
        <color auto="1"/>
      </top>
      <bottom style="thin">
        <color auto="1"/>
      </bottom>
      <diagonal/>
    </border>
    <border>
      <left style="dotted">
        <color auto="1"/>
      </left>
      <right style="dotted">
        <color auto="1"/>
      </right>
      <top style="medium">
        <color indexed="52"/>
      </top>
      <bottom style="hair">
        <color auto="1"/>
      </bottom>
      <diagonal/>
    </border>
    <border>
      <left style="dotted">
        <color auto="1"/>
      </left>
      <right style="dotted">
        <color auto="1"/>
      </right>
      <top style="hair">
        <color auto="1"/>
      </top>
      <bottom style="hair">
        <color auto="1"/>
      </bottom>
      <diagonal/>
    </border>
    <border>
      <left style="dotted">
        <color auto="1"/>
      </left>
      <right style="dotted">
        <color auto="1"/>
      </right>
      <top style="hair">
        <color auto="1"/>
      </top>
      <bottom style="medium">
        <color indexed="52"/>
      </bottom>
      <diagonal/>
    </border>
    <border>
      <left style="dotted">
        <color indexed="62"/>
      </left>
      <right style="dotted">
        <color auto="1"/>
      </right>
      <top style="medium">
        <color indexed="62"/>
      </top>
      <bottom style="hair">
        <color auto="1"/>
      </bottom>
      <diagonal/>
    </border>
    <border>
      <left style="dotted">
        <color indexed="62"/>
      </left>
      <right style="dotted">
        <color auto="1"/>
      </right>
      <top style="hair">
        <color auto="1"/>
      </top>
      <bottom style="hair">
        <color auto="1"/>
      </bottom>
      <diagonal/>
    </border>
    <border>
      <left style="dotted">
        <color indexed="62"/>
      </left>
      <right style="dotted">
        <color auto="1"/>
      </right>
      <top style="hair">
        <color auto="1"/>
      </top>
      <bottom style="medium">
        <color indexed="62"/>
      </bottom>
      <diagonal/>
    </border>
    <border>
      <left style="hair">
        <color auto="1"/>
      </left>
      <right style="hair">
        <color auto="1"/>
      </right>
      <top style="medium">
        <color indexed="51"/>
      </top>
      <bottom style="hair">
        <color auto="1"/>
      </bottom>
      <diagonal/>
    </border>
    <border>
      <left style="hair">
        <color auto="1"/>
      </left>
      <right style="hair">
        <color auto="1"/>
      </right>
      <top/>
      <bottom style="hair">
        <color auto="1"/>
      </bottom>
      <diagonal/>
    </border>
    <border>
      <left style="hair">
        <color auto="1"/>
      </left>
      <right style="hair">
        <color auto="1"/>
      </right>
      <top style="hair">
        <color auto="1"/>
      </top>
      <bottom style="medium">
        <color indexed="5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indexed="30"/>
      </top>
      <bottom style="thin">
        <color indexed="30"/>
      </bottom>
      <diagonal/>
    </border>
    <border>
      <left/>
      <right style="thick">
        <color indexed="9"/>
      </right>
      <top/>
      <bottom/>
      <diagonal/>
    </border>
    <border>
      <left style="hair">
        <color auto="1"/>
      </left>
      <right style="hair">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medium">
        <color indexed="51"/>
      </top>
      <bottom style="thin">
        <color auto="1"/>
      </bottom>
      <diagonal/>
    </border>
    <border>
      <left style="thin">
        <color auto="1"/>
      </left>
      <right style="thin">
        <color auto="1"/>
      </right>
      <top style="thin">
        <color auto="1"/>
      </top>
      <bottom style="medium">
        <color indexed="48"/>
      </bottom>
      <diagonal/>
    </border>
    <border>
      <left style="medium">
        <color indexed="16"/>
      </left>
      <right style="thin">
        <color indexed="16"/>
      </right>
      <top/>
      <bottom style="thin">
        <color indexed="16"/>
      </bottom>
      <diagonal/>
    </border>
    <border>
      <left/>
      <right style="thin">
        <color auto="1"/>
      </right>
      <top style="medium">
        <color indexed="51"/>
      </top>
      <bottom style="thin">
        <color auto="1"/>
      </bottom>
      <diagonal/>
    </border>
    <border>
      <left style="thin">
        <color auto="1"/>
      </left>
      <right/>
      <top/>
      <bottom/>
      <diagonal/>
    </border>
    <border>
      <left style="medium">
        <color indexed="60"/>
      </left>
      <right style="thin">
        <color auto="1"/>
      </right>
      <top style="thin">
        <color auto="1"/>
      </top>
      <bottom style="thin">
        <color auto="1"/>
      </bottom>
      <diagonal/>
    </border>
    <border>
      <left style="medium">
        <color indexed="60"/>
      </left>
      <right style="thin">
        <color auto="1"/>
      </right>
      <top style="thin">
        <color auto="1"/>
      </top>
      <bottom style="medium">
        <color indexed="60"/>
      </bottom>
      <diagonal/>
    </border>
    <border>
      <left style="medium">
        <color indexed="60"/>
      </left>
      <right/>
      <top style="medium">
        <color indexed="60"/>
      </top>
      <bottom style="thin">
        <color auto="1"/>
      </bottom>
      <diagonal/>
    </border>
    <border>
      <left style="thin">
        <color indexed="60"/>
      </left>
      <right style="thin">
        <color indexed="60"/>
      </right>
      <top style="medium">
        <color indexed="60"/>
      </top>
      <bottom style="thin">
        <color auto="1"/>
      </bottom>
      <diagonal/>
    </border>
    <border>
      <left style="medium">
        <color auto="1"/>
      </left>
      <right style="thin">
        <color auto="1"/>
      </right>
      <top style="thin">
        <color auto="1"/>
      </top>
      <bottom style="thin">
        <color auto="1"/>
      </bottom>
      <diagonal/>
    </border>
    <border>
      <left style="thin">
        <color auto="1"/>
      </left>
      <right style="medium">
        <color indexed="16"/>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51"/>
      </left>
      <right style="medium">
        <color indexed="51"/>
      </right>
      <top style="medium">
        <color indexed="5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style="thin">
        <color auto="1"/>
      </right>
      <top style="thin">
        <color auto="1"/>
      </top>
      <bottom style="medium">
        <color indexed="16"/>
      </bottom>
      <diagonal/>
    </border>
    <border>
      <left style="thin">
        <color auto="1"/>
      </left>
      <right style="medium">
        <color indexed="16"/>
      </right>
      <top style="thin">
        <color auto="1"/>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auto="1"/>
      </top>
      <bottom style="thin">
        <color auto="1"/>
      </bottom>
      <diagonal/>
    </border>
    <border>
      <left style="thin">
        <color indexed="16"/>
      </left>
      <right style="medium">
        <color indexed="16"/>
      </right>
      <top style="medium">
        <color auto="1"/>
      </top>
      <bottom style="thin">
        <color auto="1"/>
      </bottom>
      <diagonal/>
    </border>
    <border>
      <left style="medium">
        <color auto="1"/>
      </left>
      <right/>
      <top/>
      <bottom style="thin">
        <color auto="1"/>
      </bottom>
      <diagonal/>
    </border>
    <border>
      <left style="thin">
        <color indexed="16"/>
      </left>
      <right style="thin">
        <color indexed="16"/>
      </right>
      <top style="thin">
        <color indexed="16"/>
      </top>
      <bottom/>
      <diagonal/>
    </border>
    <border>
      <left style="thin">
        <color auto="1"/>
      </left>
      <right style="medium">
        <color indexed="60"/>
      </right>
      <top style="thin">
        <color auto="1"/>
      </top>
      <bottom style="thin">
        <color auto="1"/>
      </bottom>
      <diagonal/>
    </border>
    <border>
      <left style="thin">
        <color auto="1"/>
      </left>
      <right style="medium">
        <color indexed="60"/>
      </right>
      <top style="thin">
        <color auto="1"/>
      </top>
      <bottom style="medium">
        <color indexed="60"/>
      </bottom>
      <diagonal/>
    </border>
    <border>
      <left style="thin">
        <color indexed="16"/>
      </left>
      <right style="thin">
        <color indexed="16"/>
      </right>
      <top style="medium">
        <color indexed="51"/>
      </top>
      <bottom style="thin">
        <color auto="1"/>
      </bottom>
      <diagonal/>
    </border>
    <border>
      <left style="thin">
        <color indexed="16"/>
      </left>
      <right style="medium">
        <color indexed="51"/>
      </right>
      <top style="medium">
        <color indexed="51"/>
      </top>
      <bottom style="thin">
        <color auto="1"/>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auto="1"/>
      </left>
      <right style="thin">
        <color auto="1"/>
      </right>
      <top/>
      <bottom/>
      <diagonal/>
    </border>
    <border>
      <left/>
      <right style="medium">
        <color indexed="60"/>
      </right>
      <top style="medium">
        <color indexed="60"/>
      </top>
      <bottom/>
      <diagonal/>
    </border>
    <border>
      <left style="thin">
        <color auto="1"/>
      </left>
      <right style="thin">
        <color auto="1"/>
      </right>
      <top style="thin">
        <color auto="1"/>
      </top>
      <bottom style="medium">
        <color indexed="51"/>
      </bottom>
      <diagonal/>
    </border>
    <border>
      <left style="medium">
        <color indexed="60"/>
      </left>
      <right style="dotted">
        <color auto="1"/>
      </right>
      <top style="medium">
        <color indexed="60"/>
      </top>
      <bottom style="hair">
        <color auto="1"/>
      </bottom>
      <diagonal/>
    </border>
    <border>
      <left style="medium">
        <color indexed="60"/>
      </left>
      <right style="dotted">
        <color auto="1"/>
      </right>
      <top style="hair">
        <color auto="1"/>
      </top>
      <bottom style="hair">
        <color auto="1"/>
      </bottom>
      <diagonal/>
    </border>
    <border>
      <left style="medium">
        <color indexed="60"/>
      </left>
      <right style="dotted">
        <color auto="1"/>
      </right>
      <top style="hair">
        <color auto="1"/>
      </top>
      <bottom style="medium">
        <color indexed="60"/>
      </bottom>
      <diagonal/>
    </border>
    <border>
      <left style="medium">
        <color indexed="62"/>
      </left>
      <right/>
      <top style="medium">
        <color indexed="62"/>
      </top>
      <bottom style="hair">
        <color auto="1"/>
      </bottom>
      <diagonal/>
    </border>
    <border>
      <left style="medium">
        <color indexed="62"/>
      </left>
      <right/>
      <top style="hair">
        <color auto="1"/>
      </top>
      <bottom style="hair">
        <color auto="1"/>
      </bottom>
      <diagonal/>
    </border>
    <border>
      <left style="medium">
        <color indexed="62"/>
      </left>
      <right/>
      <top style="hair">
        <color auto="1"/>
      </top>
      <bottom style="medium">
        <color indexed="62"/>
      </bottom>
      <diagonal/>
    </border>
    <border>
      <left style="medium">
        <color indexed="51"/>
      </left>
      <right style="hair">
        <color auto="1"/>
      </right>
      <top style="medium">
        <color indexed="51"/>
      </top>
      <bottom style="hair">
        <color auto="1"/>
      </bottom>
      <diagonal/>
    </border>
    <border>
      <left style="medium">
        <color indexed="51"/>
      </left>
      <right style="hair">
        <color auto="1"/>
      </right>
      <top style="hair">
        <color auto="1"/>
      </top>
      <bottom style="hair">
        <color auto="1"/>
      </bottom>
      <diagonal/>
    </border>
    <border>
      <left style="medium">
        <color indexed="51"/>
      </left>
      <right/>
      <top/>
      <bottom style="hair">
        <color auto="1"/>
      </bottom>
      <diagonal/>
    </border>
    <border>
      <left style="thin">
        <color auto="1"/>
      </left>
      <right style="medium">
        <color indexed="51"/>
      </right>
      <top style="thin">
        <color auto="1"/>
      </top>
      <bottom style="medium">
        <color indexed="51"/>
      </bottom>
      <diagonal/>
    </border>
    <border>
      <left style="thin">
        <color auto="1"/>
      </left>
      <right style="thin">
        <color auto="1"/>
      </right>
      <top style="thin">
        <color auto="1"/>
      </top>
      <bottom style="medium">
        <color auto="1"/>
      </bottom>
      <diagonal/>
    </border>
    <border>
      <left/>
      <right/>
      <top style="medium">
        <color auto="1"/>
      </top>
      <bottom/>
      <diagonal/>
    </border>
    <border>
      <left style="medium">
        <color indexed="48"/>
      </left>
      <right style="thin">
        <color auto="1"/>
      </right>
      <top style="thin">
        <color auto="1"/>
      </top>
      <bottom style="medium">
        <color indexed="48"/>
      </bottom>
      <diagonal/>
    </border>
    <border>
      <left style="medium">
        <color indexed="51"/>
      </left>
      <right/>
      <top/>
      <bottom style="thin">
        <color auto="1"/>
      </bottom>
      <diagonal/>
    </border>
    <border>
      <left/>
      <right/>
      <top/>
      <bottom style="thin">
        <color auto="1"/>
      </bottom>
      <diagonal/>
    </border>
    <border>
      <left style="medium">
        <color indexed="51"/>
      </left>
      <right style="medium">
        <color indexed="5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medium">
        <color indexed="5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style="thin">
        <color auto="1"/>
      </top>
      <bottom style="medium">
        <color indexed="51"/>
      </bottom>
      <diagonal/>
    </border>
    <border>
      <left style="medium">
        <color indexed="51"/>
      </left>
      <right style="medium">
        <color indexed="51"/>
      </right>
      <top style="thin">
        <color auto="1"/>
      </top>
      <bottom style="thin">
        <color auto="1"/>
      </bottom>
      <diagonal/>
    </border>
    <border>
      <left style="medium">
        <color indexed="51"/>
      </left>
      <right style="medium">
        <color indexed="51"/>
      </right>
      <top style="thin">
        <color auto="1"/>
      </top>
      <bottom style="medium">
        <color indexed="51"/>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auto="1"/>
      </right>
      <top style="thin">
        <color auto="1"/>
      </top>
      <bottom/>
      <diagonal/>
    </border>
    <border>
      <left style="medium">
        <color indexed="5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51"/>
      </left>
      <right/>
      <top style="thin">
        <color auto="1"/>
      </top>
      <bottom style="medium">
        <color indexed="51"/>
      </bottom>
      <diagonal/>
    </border>
    <border>
      <left/>
      <right/>
      <top style="thin">
        <color auto="1"/>
      </top>
      <bottom style="medium">
        <color indexed="51"/>
      </bottom>
      <diagonal/>
    </border>
    <border>
      <left/>
      <right style="medium">
        <color indexed="51"/>
      </right>
      <top style="thin">
        <color auto="1"/>
      </top>
      <bottom style="medium">
        <color indexed="51"/>
      </bottom>
      <diagonal/>
    </border>
    <border>
      <left style="medium">
        <color indexed="51"/>
      </left>
      <right/>
      <top style="thin">
        <color auto="1"/>
      </top>
      <bottom/>
      <diagonal/>
    </border>
    <border>
      <left/>
      <right style="medium">
        <color indexed="51"/>
      </right>
      <top style="thin">
        <color auto="1"/>
      </top>
      <bottom/>
      <diagonal/>
    </border>
    <border>
      <left style="medium">
        <color indexed="51"/>
      </left>
      <right/>
      <top/>
      <bottom style="medium">
        <color indexed="51"/>
      </bottom>
      <diagonal/>
    </border>
    <border>
      <left/>
      <right style="medium">
        <color indexed="51"/>
      </right>
      <top/>
      <bottom style="medium">
        <color indexed="51"/>
      </bottom>
      <diagonal/>
    </border>
    <border>
      <left style="medium">
        <color indexed="48"/>
      </left>
      <right style="thin">
        <color auto="1"/>
      </right>
      <top style="medium">
        <color indexed="48"/>
      </top>
      <bottom style="thin">
        <color auto="1"/>
      </bottom>
      <diagonal/>
    </border>
    <border>
      <left/>
      <right/>
      <top style="medium">
        <color indexed="60"/>
      </top>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indexed="51"/>
      </left>
      <right/>
      <top style="medium">
        <color indexed="51"/>
      </top>
      <bottom style="thin">
        <color auto="1"/>
      </bottom>
      <diagonal/>
    </border>
    <border>
      <left/>
      <right/>
      <top style="medium">
        <color indexed="51"/>
      </top>
      <bottom style="thin">
        <color auto="1"/>
      </bottom>
      <diagonal/>
    </border>
    <border>
      <left/>
      <right style="medium">
        <color indexed="51"/>
      </right>
      <top style="medium">
        <color indexed="51"/>
      </top>
      <bottom style="thin">
        <color auto="1"/>
      </bottom>
      <diagonal/>
    </border>
    <border>
      <left style="medium">
        <color indexed="51"/>
      </left>
      <right/>
      <top style="thin">
        <color auto="1"/>
      </top>
      <bottom style="thin">
        <color auto="1"/>
      </bottom>
      <diagonal/>
    </border>
    <border>
      <left/>
      <right style="medium">
        <color indexed="51"/>
      </right>
      <top style="thin">
        <color auto="1"/>
      </top>
      <bottom style="thin">
        <color auto="1"/>
      </bottom>
      <diagonal/>
    </border>
    <border>
      <left/>
      <right style="thin">
        <color auto="1"/>
      </right>
      <top/>
      <bottom/>
      <diagonal/>
    </border>
    <border>
      <left style="medium">
        <color indexed="48"/>
      </left>
      <right style="thin">
        <color auto="1"/>
      </right>
      <top style="thin">
        <color auto="1"/>
      </top>
      <bottom style="thin">
        <color auto="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auto="1"/>
      </right>
      <top style="thin">
        <color auto="1"/>
      </top>
      <bottom style="thin">
        <color auto="1"/>
      </bottom>
      <diagonal/>
    </border>
    <border>
      <left style="medium">
        <color indexed="16"/>
      </left>
      <right/>
      <top style="medium">
        <color indexed="16"/>
      </top>
      <bottom style="thin">
        <color auto="1"/>
      </bottom>
      <diagonal/>
    </border>
    <border>
      <left/>
      <right/>
      <top style="medium">
        <color indexed="16"/>
      </top>
      <bottom style="thin">
        <color auto="1"/>
      </bottom>
      <diagonal/>
    </border>
    <border>
      <left/>
      <right style="medium">
        <color indexed="16"/>
      </right>
      <top style="medium">
        <color indexed="16"/>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auto="1"/>
      </top>
      <bottom style="hair">
        <color auto="1"/>
      </bottom>
      <diagonal/>
    </border>
    <border>
      <left/>
      <right/>
      <top style="hair">
        <color auto="1"/>
      </top>
      <bottom style="hair">
        <color auto="1"/>
      </bottom>
      <diagonal/>
    </border>
    <border>
      <left/>
      <right style="medium">
        <color indexed="60"/>
      </right>
      <top style="hair">
        <color auto="1"/>
      </top>
      <bottom style="hair">
        <color auto="1"/>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auto="1"/>
      </bottom>
      <diagonal/>
    </border>
    <border>
      <left/>
      <right/>
      <top/>
      <bottom style="hair">
        <color auto="1"/>
      </bottom>
      <diagonal/>
    </border>
    <border>
      <left/>
      <right style="medium">
        <color indexed="60"/>
      </right>
      <top/>
      <bottom style="hair">
        <color auto="1"/>
      </bottom>
      <diagonal/>
    </border>
    <border>
      <left style="hair">
        <color auto="1"/>
      </left>
      <right/>
      <top style="hair">
        <color auto="1"/>
      </top>
      <bottom style="hair">
        <color auto="1"/>
      </bottom>
      <diagonal/>
    </border>
    <border>
      <left/>
      <right style="medium">
        <color indexed="51"/>
      </right>
      <top style="hair">
        <color auto="1"/>
      </top>
      <bottom style="hair">
        <color auto="1"/>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auto="1"/>
      </left>
      <right/>
      <top style="medium">
        <color indexed="51"/>
      </top>
      <bottom style="hair">
        <color auto="1"/>
      </bottom>
      <diagonal/>
    </border>
    <border>
      <left/>
      <right/>
      <top style="medium">
        <color indexed="51"/>
      </top>
      <bottom style="hair">
        <color auto="1"/>
      </bottom>
      <diagonal/>
    </border>
    <border>
      <left/>
      <right style="medium">
        <color indexed="51"/>
      </right>
      <top style="medium">
        <color indexed="51"/>
      </top>
      <bottom style="hair">
        <color auto="1"/>
      </bottom>
      <diagonal/>
    </border>
    <border>
      <left style="hair">
        <color indexed="57"/>
      </left>
      <right style="medium">
        <color indexed="57"/>
      </right>
      <top style="medium">
        <color indexed="57"/>
      </top>
      <bottom style="medium">
        <color indexed="57"/>
      </bottom>
      <diagonal/>
    </border>
    <border>
      <left/>
      <right style="medium">
        <color auto="1"/>
      </right>
      <top style="hair">
        <color auto="1"/>
      </top>
      <bottom style="hair">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style="hair">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hair">
        <color auto="1"/>
      </right>
      <top style="hair">
        <color auto="1"/>
      </top>
      <bottom/>
      <diagonal/>
    </border>
    <border>
      <left style="medium">
        <color auto="1"/>
      </left>
      <right/>
      <top/>
      <bottom style="hair">
        <color auto="1"/>
      </bottom>
      <diagonal/>
    </border>
    <border>
      <left/>
      <right style="hair">
        <color auto="1"/>
      </right>
      <top/>
      <bottom style="hair">
        <color auto="1"/>
      </bottom>
      <diagonal/>
    </border>
    <border>
      <left style="medium">
        <color indexed="57"/>
      </left>
      <right style="hair">
        <color indexed="57"/>
      </right>
      <top style="medium">
        <color indexed="57"/>
      </top>
      <bottom style="medium">
        <color indexed="57"/>
      </bottom>
      <diagonal/>
    </border>
    <border>
      <left style="thin">
        <color auto="1"/>
      </left>
      <right style="thin">
        <color auto="1"/>
      </right>
      <top style="thin">
        <color auto="1"/>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medium">
        <color auto="1"/>
      </left>
      <right/>
      <top style="medium">
        <color indexed="57"/>
      </top>
      <bottom/>
      <diagonal/>
    </border>
    <border>
      <left/>
      <right/>
      <top style="medium">
        <color indexed="57"/>
      </top>
      <bottom/>
      <diagonal/>
    </border>
    <border>
      <left/>
      <right style="medium">
        <color auto="1"/>
      </right>
      <top style="medium">
        <color indexed="57"/>
      </top>
      <bottom/>
      <diagonal/>
    </border>
    <border>
      <left/>
      <right style="medium">
        <color auto="1"/>
      </right>
      <top/>
      <bottom style="hair">
        <color auto="1"/>
      </bottom>
      <diagonal/>
    </border>
    <border>
      <left style="medium">
        <color auto="1"/>
      </left>
      <right/>
      <top style="hair">
        <color auto="1"/>
      </top>
      <bottom style="hair">
        <color auto="1"/>
      </bottom>
      <diagonal/>
    </border>
    <border>
      <left style="medium">
        <color auto="1"/>
      </left>
      <right/>
      <top style="hair">
        <color auto="1"/>
      </top>
      <bottom style="medium">
        <color auto="1"/>
      </bottom>
      <diagonal/>
    </border>
    <border>
      <left style="hair">
        <color auto="1"/>
      </left>
      <right style="medium">
        <color auto="1"/>
      </right>
      <top/>
      <bottom style="hair">
        <color auto="1"/>
      </bottom>
      <diagonal/>
    </border>
    <border>
      <left style="hair">
        <color auto="1"/>
      </left>
      <right style="medium">
        <color auto="1"/>
      </right>
      <top style="hair">
        <color auto="1"/>
      </top>
      <bottom style="medium">
        <color auto="1"/>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right/>
      <top style="medium">
        <color rgb="FFFFC000"/>
      </top>
      <bottom/>
      <diagonal/>
    </border>
    <border>
      <left style="thin">
        <color auto="1"/>
      </left>
      <right style="medium">
        <color indexed="51"/>
      </right>
      <top style="thin">
        <color auto="1"/>
      </top>
      <bottom style="medium">
        <color rgb="FFFFC000"/>
      </bottom>
      <diagonal/>
    </border>
  </borders>
  <cellStyleXfs count="6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31" fillId="0" borderId="0"/>
    <xf numFmtId="43" fontId="131" fillId="0" borderId="0"/>
    <xf numFmtId="43" fontId="131" fillId="0" borderId="0"/>
    <xf numFmtId="43" fontId="131"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31"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31" fillId="0" borderId="9" applyNumberFormat="0" applyFill="0" applyAlignment="0" applyProtection="0"/>
    <xf numFmtId="0" fontId="76" fillId="0" borderId="0" applyNumberFormat="0" applyFill="0" applyBorder="0" applyAlignment="0" applyProtection="0"/>
    <xf numFmtId="164" fontId="136" fillId="0" borderId="0" applyFont="0" applyFill="0" applyBorder="0" applyAlignment="0" applyProtection="0"/>
  </cellStyleXfs>
  <cellXfs count="967">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31" fillId="0" borderId="0" xfId="49" applyProtection="1"/>
    <xf numFmtId="43" fontId="15" fillId="0" borderId="0" xfId="49" applyFont="1" applyProtection="1"/>
    <xf numFmtId="0" fontId="18" fillId="0" borderId="0" xfId="49" applyNumberFormat="1" applyFont="1" applyBorder="1" applyProtection="1"/>
    <xf numFmtId="43" fontId="131" fillId="0" borderId="0" xfId="51" applyProtection="1"/>
    <xf numFmtId="43" fontId="131" fillId="0" borderId="0" xfId="51" applyFill="1" applyBorder="1" applyAlignment="1" applyProtection="1">
      <alignment horizontal="left"/>
    </xf>
    <xf numFmtId="0" fontId="0" fillId="0" borderId="0" xfId="0" applyFill="1" applyBorder="1" applyProtection="1"/>
    <xf numFmtId="43" fontId="131"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6"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31" fillId="0" borderId="0" xfId="61"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1"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31"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31"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0" fillId="0" borderId="21" xfId="0"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1" fontId="21" fillId="20" borderId="23" xfId="0" applyNumberFormat="1" applyFont="1" applyFill="1" applyBorder="1" applyAlignment="1" applyProtection="1">
      <alignment horizontal="center"/>
    </xf>
    <xf numFmtId="1" fontId="21" fillId="20" borderId="24" xfId="0" applyNumberFormat="1" applyFont="1" applyFill="1" applyBorder="1" applyAlignment="1" applyProtection="1">
      <alignment horizontal="center"/>
    </xf>
    <xf numFmtId="0" fontId="0" fillId="0" borderId="25" xfId="0" applyBorder="1" applyProtection="1"/>
    <xf numFmtId="0" fontId="0" fillId="0" borderId="22"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1" fillId="0" borderId="0" xfId="28" applyFont="1" applyFill="1" applyBorder="1" applyProtection="1"/>
    <xf numFmtId="43" fontId="0" fillId="0" borderId="0" xfId="0" applyNumberFormat="1" applyFill="1" applyBorder="1" applyProtection="1"/>
    <xf numFmtId="43" fontId="68" fillId="0" borderId="26" xfId="61" applyFont="1" applyFill="1" applyBorder="1" applyAlignment="1" applyProtection="1"/>
    <xf numFmtId="43" fontId="39" fillId="0" borderId="26" xfId="61" applyFont="1" applyFill="1" applyBorder="1" applyAlignment="1" applyProtection="1">
      <alignment vertical="center"/>
    </xf>
    <xf numFmtId="0" fontId="67" fillId="0" borderId="27" xfId="0" applyFont="1" applyFill="1" applyBorder="1" applyProtection="1"/>
    <xf numFmtId="0" fontId="67" fillId="0" borderId="28"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29"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6"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6"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7"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9"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8"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0" xfId="0" applyNumberFormat="1" applyFont="1" applyFill="1" applyBorder="1" applyAlignment="1" applyProtection="1">
      <alignment horizontal="right"/>
    </xf>
    <xf numFmtId="0" fontId="53" fillId="0" borderId="31" xfId="0" applyNumberFormat="1" applyFont="1" applyFill="1" applyBorder="1" applyAlignment="1" applyProtection="1">
      <alignment horizontal="right"/>
    </xf>
    <xf numFmtId="0" fontId="53" fillId="0" borderId="32"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3" xfId="0" applyNumberFormat="1" applyFont="1" applyFill="1" applyBorder="1" applyAlignment="1" applyProtection="1">
      <alignment horizontal="right"/>
    </xf>
    <xf numFmtId="9" fontId="55" fillId="0" borderId="0" xfId="0" applyNumberFormat="1" applyFont="1" applyFill="1" applyBorder="1" applyProtection="1"/>
    <xf numFmtId="0" fontId="53" fillId="0" borderId="34" xfId="0" applyNumberFormat="1" applyFont="1" applyFill="1" applyBorder="1" applyAlignment="1" applyProtection="1">
      <alignment horizontal="right"/>
    </xf>
    <xf numFmtId="0" fontId="53" fillId="0" borderId="35" xfId="0" applyNumberFormat="1" applyFont="1" applyFill="1" applyBorder="1" applyAlignment="1" applyProtection="1">
      <alignment horizontal="right"/>
    </xf>
    <xf numFmtId="0" fontId="34" fillId="0" borderId="36" xfId="0" applyNumberFormat="1" applyFont="1" applyFill="1" applyBorder="1" applyAlignment="1" applyProtection="1">
      <alignment vertical="center"/>
    </xf>
    <xf numFmtId="0" fontId="34" fillId="0" borderId="37" xfId="0" applyNumberFormat="1" applyFont="1" applyFill="1" applyBorder="1" applyAlignment="1" applyProtection="1">
      <alignment vertical="center"/>
    </xf>
    <xf numFmtId="0" fontId="34" fillId="0" borderId="38"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6" fontId="6" fillId="0" borderId="0" xfId="28" applyNumberFormat="1" applyFont="1" applyFill="1" applyBorder="1" applyAlignment="1" applyProtection="1">
      <protection locked="0"/>
    </xf>
    <xf numFmtId="166"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39" xfId="0" applyFont="1" applyFill="1" applyBorder="1" applyAlignment="1" applyProtection="1">
      <alignment horizontal="center" wrapText="1"/>
    </xf>
    <xf numFmtId="0" fontId="28" fillId="0" borderId="40" xfId="0" applyFont="1" applyFill="1" applyBorder="1" applyAlignment="1" applyProtection="1">
      <alignment horizontal="center" wrapText="1"/>
    </xf>
    <xf numFmtId="0" fontId="0" fillId="0" borderId="40"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1" xfId="58" applyFont="1" applyBorder="1" applyAlignment="1" applyProtection="1">
      <alignment horizontal="right"/>
    </xf>
    <xf numFmtId="0" fontId="12" fillId="0" borderId="0" xfId="0" applyFont="1"/>
    <xf numFmtId="0" fontId="0" fillId="20" borderId="0" xfId="0" applyFill="1" applyProtection="1"/>
    <xf numFmtId="0" fontId="0" fillId="20" borderId="42"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3" xfId="0" applyNumberFormat="1" applyFont="1" applyFill="1" applyBorder="1" applyAlignment="1" applyProtection="1">
      <alignment vertical="center"/>
    </xf>
    <xf numFmtId="43" fontId="131" fillId="0" borderId="0" xfId="52" applyFill="1" applyBorder="1" applyAlignment="1" applyProtection="1">
      <alignment horizontal="center"/>
    </xf>
    <xf numFmtId="0" fontId="34" fillId="0" borderId="0" xfId="0" quotePrefix="1" applyFont="1" applyProtection="1"/>
    <xf numFmtId="0" fontId="63" fillId="0" borderId="27" xfId="0" applyFont="1" applyBorder="1" applyAlignment="1">
      <alignment horizontal="justify" vertic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89" fillId="0" borderId="44" xfId="0" applyFont="1" applyBorder="1" applyAlignment="1">
      <alignment horizontal="justify" vertical="center" wrapText="1"/>
    </xf>
    <xf numFmtId="43" fontId="92" fillId="0" borderId="26" xfId="61" applyFont="1" applyFill="1" applyBorder="1" applyAlignment="1" applyProtection="1"/>
    <xf numFmtId="43" fontId="9" fillId="0" borderId="26"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7" xfId="0" applyFont="1" applyBorder="1" applyAlignment="1">
      <alignment vertical="center" wrapText="1"/>
    </xf>
    <xf numFmtId="0" fontId="88" fillId="0" borderId="44" xfId="0" applyFont="1" applyBorder="1" applyAlignment="1">
      <alignment vertical="center" wrapText="1"/>
    </xf>
    <xf numFmtId="0" fontId="2" fillId="0" borderId="46" xfId="0" applyFont="1" applyFill="1" applyBorder="1" applyAlignment="1" applyProtection="1">
      <alignment horizontal="center"/>
    </xf>
    <xf numFmtId="0" fontId="67" fillId="0" borderId="10" xfId="0" applyFont="1" applyFill="1" applyBorder="1" applyAlignment="1" applyProtection="1">
      <alignment horizontal="center"/>
    </xf>
    <xf numFmtId="0" fontId="1" fillId="0" borderId="0" xfId="0" applyFont="1"/>
    <xf numFmtId="0" fontId="95" fillId="0" borderId="0" xfId="0" applyFont="1"/>
    <xf numFmtId="0" fontId="63" fillId="22" borderId="27" xfId="0" applyFont="1" applyFill="1" applyBorder="1" applyAlignment="1">
      <alignment horizontal="justify" vertical="center" wrapText="1"/>
    </xf>
    <xf numFmtId="0" fontId="89" fillId="22" borderId="44" xfId="0" applyFont="1" applyFill="1" applyBorder="1" applyAlignment="1">
      <alignment horizontal="justify" vertical="center" wrapText="1"/>
    </xf>
    <xf numFmtId="0" fontId="89" fillId="22" borderId="45" xfId="0" applyFont="1" applyFill="1" applyBorder="1" applyAlignment="1">
      <alignment horizontal="justify" vertical="center" wrapText="1"/>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43" fontId="97" fillId="0" borderId="26" xfId="61" applyFont="1" applyFill="1" applyBorder="1" applyAlignment="1" applyProtection="1">
      <alignment vertical="center"/>
    </xf>
    <xf numFmtId="0" fontId="96"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7"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6" fontId="0" fillId="0" borderId="0" xfId="0" applyNumberFormat="1" applyProtection="1"/>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3" fillId="0" borderId="0" xfId="0" applyFont="1" applyFill="1" applyBorder="1" applyAlignment="1" applyProtection="1">
      <alignment horizontal="right"/>
    </xf>
    <xf numFmtId="0" fontId="63" fillId="22" borderId="27" xfId="0" applyFont="1" applyFill="1" applyBorder="1" applyAlignment="1">
      <alignment horizontal="left" vertical="center" wrapText="1"/>
    </xf>
    <xf numFmtId="0" fontId="63" fillId="22" borderId="44" xfId="0" applyFont="1" applyFill="1" applyBorder="1" applyAlignment="1">
      <alignment horizontal="left" vertical="center" wrapText="1"/>
    </xf>
    <xf numFmtId="0" fontId="63" fillId="22" borderId="45" xfId="0" applyFont="1" applyFill="1" applyBorder="1" applyAlignment="1">
      <alignment horizontal="left" vertical="center" wrapText="1"/>
    </xf>
    <xf numFmtId="43" fontId="104" fillId="0" borderId="14" xfId="61"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6"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0" fontId="0" fillId="0" borderId="0" xfId="0" quotePrefix="1" applyProtection="1"/>
    <xf numFmtId="15" fontId="32" fillId="0" borderId="48"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77" fillId="0" borderId="49" xfId="0" applyFont="1" applyFill="1" applyBorder="1" applyAlignment="1" applyProtection="1">
      <alignment horizontal="center" vertical="center"/>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0"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6" fillId="0" borderId="51" xfId="0" applyFont="1" applyBorder="1" applyAlignment="1" applyProtection="1"/>
    <xf numFmtId="0" fontId="6" fillId="0" borderId="52" xfId="0" applyFont="1" applyBorder="1" applyAlignment="1" applyProtection="1"/>
    <xf numFmtId="0" fontId="25" fillId="0" borderId="53" xfId="0" applyFont="1" applyBorder="1" applyAlignment="1" applyProtection="1">
      <alignment vertical="distributed"/>
    </xf>
    <xf numFmtId="15" fontId="27" fillId="0" borderId="54"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6" fillId="0" borderId="55"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6" xfId="0" applyNumberFormat="1" applyFont="1" applyFill="1" applyBorder="1" applyAlignment="1" applyProtection="1">
      <alignment horizontal="center"/>
    </xf>
    <xf numFmtId="0" fontId="32" fillId="25" borderId="57" xfId="0" applyFont="1" applyFill="1" applyBorder="1" applyAlignment="1" applyProtection="1">
      <alignment horizontal="centerContinuous"/>
    </xf>
    <xf numFmtId="15" fontId="110" fillId="0" borderId="40" xfId="0" applyNumberFormat="1" applyFont="1" applyFill="1" applyBorder="1" applyAlignment="1" applyProtection="1">
      <alignment horizontal="center" wrapText="1"/>
    </xf>
    <xf numFmtId="15" fontId="110" fillId="0" borderId="58" xfId="0" applyNumberFormat="1" applyFont="1" applyFill="1" applyBorder="1" applyAlignment="1" applyProtection="1">
      <alignment horizontal="center" wrapText="1"/>
    </xf>
    <xf numFmtId="0" fontId="37" fillId="0" borderId="55" xfId="0" applyFont="1" applyFill="1" applyBorder="1" applyAlignment="1" applyProtection="1">
      <alignment horizontal="center"/>
    </xf>
    <xf numFmtId="0" fontId="37" fillId="0" borderId="59" xfId="0" applyFont="1" applyFill="1" applyBorder="1" applyAlignment="1" applyProtection="1">
      <alignment horizontal="center"/>
    </xf>
    <xf numFmtId="0" fontId="32" fillId="25" borderId="60"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 fontId="0" fillId="0" borderId="23"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0" fillId="0" borderId="61" xfId="0" applyBorder="1" applyAlignment="1" applyProtection="1">
      <alignment horizontal="center"/>
    </xf>
    <xf numFmtId="0" fontId="0" fillId="0" borderId="40" xfId="0" applyFill="1" applyBorder="1" applyAlignment="1" applyProtection="1">
      <alignment horizontal="center"/>
    </xf>
    <xf numFmtId="0" fontId="1" fillId="0" borderId="39" xfId="0" applyFont="1" applyFill="1" applyBorder="1" applyAlignment="1" applyProtection="1">
      <alignment horizontal="center" wrapText="1"/>
    </xf>
    <xf numFmtId="0" fontId="0" fillId="0" borderId="39" xfId="0" applyBorder="1" applyAlignment="1">
      <alignment horizontal="center" wrapText="1"/>
    </xf>
    <xf numFmtId="0" fontId="28" fillId="0" borderId="39" xfId="0" applyFont="1" applyBorder="1" applyAlignment="1">
      <alignment horizontal="center" wrapText="1"/>
    </xf>
    <xf numFmtId="0" fontId="1" fillId="0" borderId="58" xfId="0" applyFont="1" applyFill="1" applyBorder="1" applyAlignment="1" applyProtection="1">
      <alignment horizontal="center" wrapText="1"/>
    </xf>
    <xf numFmtId="3" fontId="67" fillId="23" borderId="29"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7" fillId="0" borderId="62"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1" xfId="58" applyFont="1" applyFill="1" applyBorder="1" applyAlignment="1" applyProtection="1">
      <alignment horizontal="right"/>
    </xf>
    <xf numFmtId="0" fontId="28" fillId="0" borderId="63" xfId="0" applyFont="1" applyFill="1" applyBorder="1" applyAlignment="1" applyProtection="1">
      <alignment wrapText="1"/>
    </xf>
    <xf numFmtId="0" fontId="34" fillId="0" borderId="64" xfId="0" applyFont="1" applyFill="1" applyBorder="1" applyAlignment="1" applyProtection="1">
      <alignment horizontal="center" wrapText="1"/>
    </xf>
    <xf numFmtId="0" fontId="21" fillId="20" borderId="27" xfId="0" applyFont="1" applyFill="1" applyBorder="1" applyAlignment="1" applyProtection="1"/>
    <xf numFmtId="0" fontId="21" fillId="20" borderId="65"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6" xfId="0" applyFill="1" applyBorder="1" applyProtection="1"/>
    <xf numFmtId="43" fontId="116" fillId="0" borderId="26" xfId="61" applyFont="1" applyFill="1" applyBorder="1" applyAlignment="1" applyProtection="1">
      <alignment vertical="center"/>
    </xf>
    <xf numFmtId="0" fontId="0" fillId="0" borderId="26" xfId="0" applyBorder="1" applyProtection="1"/>
    <xf numFmtId="0" fontId="0" fillId="0" borderId="26" xfId="0" applyBorder="1"/>
    <xf numFmtId="9" fontId="15" fillId="0" borderId="0" xfId="56" applyFont="1" applyProtection="1"/>
    <xf numFmtId="14" fontId="24" fillId="24" borderId="41" xfId="58" applyNumberFormat="1" applyFont="1" applyFill="1" applyBorder="1" applyAlignment="1" applyProtection="1">
      <alignment horizontal="center" vertical="center"/>
    </xf>
    <xf numFmtId="43" fontId="24" fillId="24" borderId="41" xfId="58" applyFont="1" applyFill="1" applyBorder="1" applyAlignment="1" applyProtection="1">
      <alignment horizontal="center" vertical="center"/>
    </xf>
    <xf numFmtId="15" fontId="24" fillId="24" borderId="41" xfId="58" applyNumberFormat="1" applyFont="1" applyFill="1" applyBorder="1" applyAlignment="1" applyProtection="1">
      <alignment horizontal="center" vertical="center"/>
    </xf>
    <xf numFmtId="172" fontId="24" fillId="24" borderId="41" xfId="58" applyNumberFormat="1" applyFont="1" applyFill="1" applyBorder="1" applyAlignment="1" applyProtection="1">
      <alignment horizontal="center"/>
    </xf>
    <xf numFmtId="3" fontId="24" fillId="24" borderId="41" xfId="58" applyNumberFormat="1" applyFont="1" applyFill="1" applyBorder="1" applyAlignment="1" applyProtection="1">
      <alignment horizontal="center"/>
    </xf>
    <xf numFmtId="43" fontId="24" fillId="24"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43" fontId="90" fillId="0" borderId="0" xfId="0" applyNumberFormat="1" applyFont="1" applyAlignment="1"/>
    <xf numFmtId="0" fontId="34" fillId="0" borderId="39" xfId="0" applyFont="1" applyFill="1" applyBorder="1" applyAlignment="1" applyProtection="1">
      <alignment horizontal="center" wrapText="1"/>
    </xf>
    <xf numFmtId="0" fontId="67" fillId="0" borderId="66"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7" xfId="0" applyNumberFormat="1" applyFill="1" applyBorder="1" applyAlignment="1" applyProtection="1">
      <alignment horizontal="center"/>
      <protection locked="0"/>
    </xf>
    <xf numFmtId="0" fontId="0" fillId="0" borderId="24" xfId="0" applyNumberFormat="1" applyFill="1" applyBorder="1" applyAlignment="1" applyProtection="1">
      <alignment horizontal="center"/>
    </xf>
    <xf numFmtId="0" fontId="0" fillId="24" borderId="24"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Protection="1"/>
    <xf numFmtId="1" fontId="0" fillId="25" borderId="10" xfId="0" applyNumberFormat="1" applyFill="1" applyBorder="1" applyAlignment="1" applyProtection="1">
      <alignment horizontal="center"/>
      <protection locked="0"/>
    </xf>
    <xf numFmtId="1" fontId="0" fillId="25" borderId="56" xfId="0" applyNumberFormat="1" applyFill="1" applyBorder="1" applyAlignment="1" applyProtection="1">
      <alignment horizontal="center"/>
      <protection locked="0"/>
    </xf>
    <xf numFmtId="1" fontId="0" fillId="25" borderId="67" xfId="0" applyNumberFormat="1" applyFill="1" applyBorder="1" applyAlignment="1" applyProtection="1">
      <alignment horizontal="center"/>
      <protection locked="0"/>
    </xf>
    <xf numFmtId="1" fontId="0" fillId="25" borderId="68" xfId="0" applyNumberFormat="1" applyFill="1" applyBorder="1" applyAlignment="1" applyProtection="1">
      <alignment horizontal="center"/>
      <protection locked="0"/>
    </xf>
    <xf numFmtId="165" fontId="32" fillId="19" borderId="69" xfId="0" applyNumberFormat="1" applyFont="1" applyFill="1" applyBorder="1" applyAlignment="1" applyProtection="1">
      <alignment horizontal="center"/>
      <protection locked="0"/>
    </xf>
    <xf numFmtId="165" fontId="32" fillId="19" borderId="70" xfId="0" applyNumberFormat="1" applyFont="1" applyFill="1" applyBorder="1" applyAlignment="1" applyProtection="1">
      <alignment horizontal="center"/>
      <protection locked="0"/>
    </xf>
    <xf numFmtId="165" fontId="32" fillId="19" borderId="71" xfId="0" applyNumberFormat="1" applyFont="1" applyFill="1" applyBorder="1" applyAlignment="1" applyProtection="1">
      <alignment horizontal="center"/>
      <protection locked="0"/>
    </xf>
    <xf numFmtId="165" fontId="32" fillId="19" borderId="72" xfId="0" applyNumberFormat="1" applyFont="1" applyFill="1" applyBorder="1" applyAlignment="1" applyProtection="1">
      <alignment horizontal="center"/>
      <protection locked="0"/>
    </xf>
    <xf numFmtId="165" fontId="32" fillId="19" borderId="73" xfId="0" applyNumberFormat="1" applyFont="1" applyFill="1" applyBorder="1" applyAlignment="1" applyProtection="1">
      <alignment horizontal="center"/>
      <protection locked="0"/>
    </xf>
    <xf numFmtId="0" fontId="0" fillId="0" borderId="74"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1" xfId="58" applyFont="1" applyBorder="1" applyAlignment="1" applyProtection="1">
      <alignment horizontal="right"/>
    </xf>
    <xf numFmtId="43" fontId="124" fillId="0" borderId="0" xfId="51" applyFont="1" applyFill="1" applyBorder="1" applyProtection="1"/>
    <xf numFmtId="3" fontId="28" fillId="25" borderId="69" xfId="0" applyNumberFormat="1" applyFont="1" applyFill="1" applyBorder="1" applyAlignment="1" applyProtection="1">
      <protection locked="0"/>
    </xf>
    <xf numFmtId="3" fontId="28" fillId="25" borderId="75"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7"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6" xfId="28" applyNumberFormat="1" applyFont="1" applyFill="1" applyBorder="1" applyAlignment="1" applyProtection="1"/>
    <xf numFmtId="3" fontId="6" fillId="0" borderId="77" xfId="28" applyNumberFormat="1" applyFont="1" applyFill="1" applyBorder="1" applyAlignment="1" applyProtection="1"/>
    <xf numFmtId="165" fontId="14" fillId="19" borderId="78" xfId="0" applyNumberFormat="1" applyFont="1" applyFill="1" applyBorder="1" applyAlignment="1" applyProtection="1">
      <alignment horizontal="center"/>
      <protection locked="0"/>
    </xf>
    <xf numFmtId="165" fontId="14" fillId="19" borderId="79"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49" fontId="25" fillId="0" borderId="80" xfId="0" applyNumberFormat="1" applyFont="1" applyFill="1" applyBorder="1" applyAlignment="1" applyProtection="1">
      <alignment vertical="center" wrapText="1"/>
    </xf>
    <xf numFmtId="0" fontId="91" fillId="0" borderId="81" xfId="0" applyNumberFormat="1" applyFont="1" applyFill="1" applyBorder="1" applyAlignment="1" applyProtection="1">
      <alignment horizontal="center" vertical="center" wrapText="1"/>
    </xf>
    <xf numFmtId="0" fontId="91" fillId="0" borderId="82" xfId="0" applyNumberFormat="1" applyFont="1" applyFill="1" applyBorder="1" applyAlignment="1" applyProtection="1">
      <alignment horizontal="center" vertical="center" wrapText="1"/>
    </xf>
    <xf numFmtId="49" fontId="26" fillId="0" borderId="83" xfId="0" applyNumberFormat="1" applyFont="1" applyFill="1" applyBorder="1" applyAlignment="1" applyProtection="1">
      <alignment wrapText="1"/>
      <protection locked="0"/>
    </xf>
    <xf numFmtId="49" fontId="26" fillId="0" borderId="83" xfId="0" applyNumberFormat="1" applyFont="1" applyFill="1" applyBorder="1" applyAlignment="1" applyProtection="1">
      <protection locked="0"/>
    </xf>
    <xf numFmtId="0" fontId="26" fillId="0" borderId="83" xfId="0" applyFont="1" applyFill="1" applyBorder="1" applyAlignment="1" applyProtection="1">
      <alignment wrapText="1"/>
      <protection locked="0"/>
    </xf>
    <xf numFmtId="0" fontId="0" fillId="0" borderId="84" xfId="0" applyBorder="1" applyAlignment="1" applyProtection="1"/>
    <xf numFmtId="49" fontId="0" fillId="0" borderId="10" xfId="0" applyNumberFormat="1" applyBorder="1" applyAlignment="1" applyProtection="1">
      <alignment horizontal="center"/>
      <protection locked="0"/>
    </xf>
    <xf numFmtId="43" fontId="131" fillId="25" borderId="85" xfId="61" applyFill="1" applyBorder="1" applyAlignment="1" applyProtection="1">
      <alignment vertical="center"/>
    </xf>
    <xf numFmtId="0" fontId="0" fillId="22" borderId="86" xfId="0" applyFill="1" applyBorder="1"/>
    <xf numFmtId="0" fontId="0" fillId="0" borderId="20" xfId="0" applyBorder="1" applyProtection="1"/>
    <xf numFmtId="43" fontId="39" fillId="24" borderId="87" xfId="61" applyFont="1" applyFill="1" applyBorder="1" applyAlignment="1" applyProtection="1">
      <alignment horizontal="center" vertical="center"/>
    </xf>
    <xf numFmtId="43" fontId="39" fillId="0" borderId="88" xfId="61" applyFont="1" applyFill="1" applyBorder="1" applyAlignment="1" applyProtection="1">
      <alignment vertical="center"/>
    </xf>
    <xf numFmtId="0" fontId="0" fillId="0" borderId="89" xfId="0" applyNumberFormat="1" applyFill="1" applyBorder="1"/>
    <xf numFmtId="15" fontId="27" fillId="0" borderId="90"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67" fillId="0" borderId="10" xfId="0" applyNumberFormat="1" applyFont="1" applyFill="1" applyBorder="1" applyAlignment="1" applyProtection="1">
      <alignment vertical="center"/>
    </xf>
    <xf numFmtId="3" fontId="67" fillId="0" borderId="91" xfId="0" applyNumberFormat="1" applyFont="1" applyFill="1" applyBorder="1" applyAlignment="1" applyProtection="1">
      <alignment vertic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92" xfId="0" applyFont="1" applyFill="1" applyBorder="1" applyAlignment="1" applyProtection="1">
      <alignment horizontal="center" vertical="center" wrapText="1"/>
    </xf>
    <xf numFmtId="0" fontId="77" fillId="0" borderId="93" xfId="0" applyFont="1" applyFill="1" applyBorder="1" applyAlignment="1" applyProtection="1">
      <alignment horizontal="center"/>
    </xf>
    <xf numFmtId="0" fontId="77" fillId="0" borderId="94" xfId="0" applyFont="1" applyFill="1" applyBorder="1" applyAlignment="1" applyProtection="1">
      <alignment horizontal="center"/>
    </xf>
    <xf numFmtId="0" fontId="77" fillId="0" borderId="95"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xf>
    <xf numFmtId="0" fontId="77" fillId="0" borderId="96" xfId="0" applyNumberFormat="1" applyFont="1" applyFill="1" applyBorder="1" applyAlignment="1" applyProtection="1">
      <alignment horizontal="center" vertical="center"/>
    </xf>
    <xf numFmtId="0" fontId="77" fillId="0" borderId="97" xfId="0" applyNumberFormat="1" applyFont="1" applyFill="1" applyBorder="1" applyAlignment="1" applyProtection="1">
      <alignment horizontal="center" vertical="center"/>
    </xf>
    <xf numFmtId="0" fontId="81" fillId="0" borderId="98" xfId="0" applyNumberFormat="1" applyFont="1" applyFill="1" applyBorder="1" applyAlignment="1" applyProtection="1">
      <alignment horizontal="center" vertical="center"/>
    </xf>
    <xf numFmtId="0" fontId="81" fillId="0" borderId="99" xfId="0" applyNumberFormat="1" applyFont="1" applyFill="1" applyBorder="1" applyAlignment="1" applyProtection="1">
      <alignment horizontal="center" vertical="center"/>
    </xf>
    <xf numFmtId="0" fontId="81" fillId="0" borderId="100" xfId="0" applyNumberFormat="1" applyFont="1" applyFill="1" applyBorder="1" applyAlignment="1" applyProtection="1">
      <alignment horizontal="center" vertical="center"/>
    </xf>
    <xf numFmtId="0" fontId="67" fillId="27" borderId="10" xfId="0" applyFont="1" applyFill="1" applyBorder="1" applyAlignment="1" applyProtection="1">
      <alignment horizontal="center"/>
    </xf>
    <xf numFmtId="0" fontId="67" fillId="28" borderId="10" xfId="0" applyFont="1" applyFill="1" applyBorder="1" applyAlignment="1" applyProtection="1">
      <alignment horizontal="center"/>
    </xf>
    <xf numFmtId="3" fontId="67"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67" fillId="29" borderId="29" xfId="0" applyNumberFormat="1" applyFont="1" applyFill="1" applyBorder="1" applyAlignment="1" applyProtection="1">
      <alignment vertical="center"/>
      <protection locked="0"/>
    </xf>
    <xf numFmtId="3" fontId="67" fillId="23" borderId="29" xfId="0" applyNumberFormat="1" applyFont="1" applyFill="1" applyBorder="1" applyAlignment="1" applyProtection="1">
      <alignment horizontal="right" vertical="center"/>
      <protection locked="0"/>
    </xf>
    <xf numFmtId="0" fontId="67" fillId="27" borderId="91" xfId="0" applyFont="1" applyFill="1" applyBorder="1" applyAlignment="1" applyProtection="1">
      <alignment horizontal="center"/>
    </xf>
    <xf numFmtId="3" fontId="67" fillId="23" borderId="91" xfId="0" applyNumberFormat="1" applyFont="1" applyFill="1" applyBorder="1" applyAlignment="1" applyProtection="1">
      <alignment horizontal="right" vertical="center"/>
      <protection locked="0"/>
    </xf>
    <xf numFmtId="3" fontId="67" fillId="23" borderId="101" xfId="0" applyNumberFormat="1" applyFont="1" applyFill="1" applyBorder="1" applyAlignment="1" applyProtection="1">
      <alignment horizontal="right" vertical="center"/>
      <protection locked="0"/>
    </xf>
    <xf numFmtId="0" fontId="67" fillId="27" borderId="10" xfId="0" applyFont="1" applyFill="1" applyBorder="1" applyProtection="1"/>
    <xf numFmtId="3" fontId="67" fillId="27" borderId="10" xfId="0" applyNumberFormat="1" applyFont="1" applyFill="1" applyBorder="1" applyAlignment="1" applyProtection="1">
      <alignment vertical="center"/>
    </xf>
    <xf numFmtId="0" fontId="0" fillId="0" borderId="242" xfId="0" applyBorder="1"/>
    <xf numFmtId="0" fontId="0" fillId="0" borderId="59" xfId="0" applyBorder="1" applyAlignment="1" applyProtection="1">
      <alignment horizontal="center" wrapText="1"/>
    </xf>
    <xf numFmtId="3" fontId="1" fillId="0" borderId="102" xfId="28" applyNumberFormat="1" applyFont="1" applyFill="1" applyBorder="1" applyAlignment="1" applyProtection="1">
      <alignment horizontal="right"/>
    </xf>
    <xf numFmtId="3" fontId="0" fillId="0" borderId="102" xfId="0" applyNumberFormat="1" applyBorder="1" applyAlignment="1" applyProtection="1">
      <alignment horizontal="right" wrapText="1"/>
    </xf>
    <xf numFmtId="3" fontId="0" fillId="24" borderId="57" xfId="0" applyNumberFormat="1" applyFill="1" applyBorder="1" applyAlignment="1" applyProtection="1">
      <alignment horizontal="right" wrapText="1"/>
      <protection locked="0"/>
    </xf>
    <xf numFmtId="3" fontId="67" fillId="0" borderId="29" xfId="0" applyNumberFormat="1" applyFont="1" applyFill="1" applyBorder="1" applyAlignment="1" applyProtection="1">
      <alignment vertical="center"/>
    </xf>
    <xf numFmtId="3" fontId="67" fillId="27" borderId="29" xfId="0" applyNumberFormat="1" applyFont="1" applyFill="1" applyBorder="1" applyAlignment="1" applyProtection="1">
      <alignment vertical="center"/>
    </xf>
    <xf numFmtId="3" fontId="67" fillId="0" borderId="243"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43" fontId="131" fillId="0" borderId="0" xfId="28" applyFont="1" applyBorder="1" applyProtection="1"/>
    <xf numFmtId="0" fontId="0" fillId="0" borderId="103" xfId="0" applyNumberFormat="1" applyFill="1" applyBorder="1" applyProtection="1"/>
    <xf numFmtId="0" fontId="0" fillId="0" borderId="103" xfId="0" applyBorder="1" applyProtection="1"/>
    <xf numFmtId="166" fontId="131" fillId="0" borderId="102" xfId="28" applyNumberFormat="1" applyFont="1" applyFill="1" applyBorder="1" applyProtection="1"/>
    <xf numFmtId="166" fontId="131" fillId="0" borderId="102" xfId="28" applyNumberFormat="1" applyFont="1" applyFill="1" applyBorder="1" applyAlignment="1" applyProtection="1">
      <alignment horizontal="center"/>
    </xf>
    <xf numFmtId="166" fontId="131" fillId="0" borderId="60" xfId="28" applyNumberFormat="1" applyFont="1" applyFill="1" applyBorder="1" applyProtection="1"/>
    <xf numFmtId="166" fontId="131" fillId="0" borderId="10" xfId="28" applyNumberFormat="1" applyFont="1" applyFill="1" applyBorder="1" applyProtection="1"/>
    <xf numFmtId="166" fontId="131" fillId="0" borderId="10" xfId="28" applyNumberFormat="1" applyFont="1" applyFill="1" applyBorder="1" applyAlignment="1" applyProtection="1">
      <alignment horizontal="center"/>
    </xf>
    <xf numFmtId="166" fontId="131" fillId="0" borderId="57" xfId="28" applyNumberFormat="1" applyFont="1" applyFill="1" applyBorder="1" applyProtection="1"/>
    <xf numFmtId="49" fontId="0" fillId="39" borderId="10" xfId="0" applyNumberFormat="1" applyFill="1" applyBorder="1" applyAlignment="1" applyProtection="1">
      <alignment horizontal="center"/>
      <protection locked="0"/>
    </xf>
    <xf numFmtId="15" fontId="1" fillId="39" borderId="10" xfId="58" applyNumberFormat="1" applyFont="1" applyFill="1" applyBorder="1" applyAlignment="1" applyProtection="1">
      <alignment horizontal="center"/>
      <protection locked="0"/>
    </xf>
    <xf numFmtId="166" fontId="67" fillId="23" borderId="10" xfId="28" applyNumberFormat="1" applyFont="1" applyFill="1" applyBorder="1" applyAlignment="1" applyProtection="1">
      <alignment horizontal="right" vertical="center"/>
      <protection locked="0"/>
    </xf>
    <xf numFmtId="166" fontId="67" fillId="23" borderId="10" xfId="28" applyNumberFormat="1" applyFont="1" applyFill="1" applyBorder="1" applyAlignment="1" applyProtection="1">
      <alignment horizontal="right" vertical="center"/>
    </xf>
    <xf numFmtId="166" fontId="67" fillId="22" borderId="10" xfId="28" applyNumberFormat="1" applyFont="1" applyFill="1" applyBorder="1" applyAlignment="1" applyProtection="1">
      <alignment vertical="center"/>
    </xf>
    <xf numFmtId="166" fontId="67" fillId="22" borderId="10" xfId="28" applyNumberFormat="1" applyFont="1" applyFill="1" applyBorder="1" applyAlignment="1" applyProtection="1">
      <alignment vertical="center"/>
      <protection locked="0"/>
    </xf>
    <xf numFmtId="166" fontId="67" fillId="23" borderId="10" xfId="28" applyNumberFormat="1" applyFont="1" applyFill="1" applyBorder="1" applyAlignment="1" applyProtection="1">
      <alignment vertical="center"/>
    </xf>
    <xf numFmtId="166" fontId="67" fillId="23" borderId="10" xfId="28" applyNumberFormat="1" applyFont="1" applyFill="1" applyBorder="1" applyAlignment="1" applyProtection="1">
      <alignment vertical="center"/>
      <protection locked="0"/>
    </xf>
    <xf numFmtId="166" fontId="67" fillId="29" borderId="10" xfId="28" applyNumberFormat="1" applyFont="1" applyFill="1" applyBorder="1" applyAlignment="1" applyProtection="1">
      <alignment vertical="center"/>
    </xf>
    <xf numFmtId="166" fontId="67" fillId="29" borderId="10" xfId="28" applyNumberFormat="1" applyFont="1" applyFill="1" applyBorder="1" applyAlignment="1" applyProtection="1">
      <alignment vertical="center"/>
      <protection locked="0"/>
    </xf>
    <xf numFmtId="166" fontId="77" fillId="29" borderId="10" xfId="28" applyNumberFormat="1" applyFont="1" applyFill="1" applyBorder="1" applyAlignment="1" applyProtection="1">
      <alignment vertical="center"/>
      <protection locked="0"/>
    </xf>
    <xf numFmtId="166" fontId="77" fillId="23" borderId="91" xfId="28" applyNumberFormat="1" applyFont="1" applyFill="1" applyBorder="1" applyAlignment="1" applyProtection="1">
      <alignment horizontal="right" vertical="center"/>
    </xf>
    <xf numFmtId="166" fontId="77" fillId="23" borderId="91" xfId="28" applyNumberFormat="1" applyFont="1" applyFill="1" applyBorder="1" applyAlignment="1" applyProtection="1">
      <alignment horizontal="right" vertical="center"/>
      <protection locked="0"/>
    </xf>
    <xf numFmtId="166" fontId="2" fillId="22" borderId="10" xfId="28" applyNumberFormat="1" applyFont="1" applyFill="1" applyBorder="1" applyAlignment="1" applyProtection="1">
      <alignment vertical="center"/>
    </xf>
    <xf numFmtId="166" fontId="2" fillId="23" borderId="10" xfId="28" applyNumberFormat="1" applyFont="1" applyFill="1" applyBorder="1" applyAlignment="1" applyProtection="1">
      <alignment vertical="center"/>
    </xf>
    <xf numFmtId="166" fontId="28" fillId="0" borderId="10" xfId="28" applyNumberFormat="1" applyFont="1" applyBorder="1" applyAlignment="1" applyProtection="1">
      <alignment vertical="center" wrapText="1"/>
    </xf>
    <xf numFmtId="166" fontId="2" fillId="23" borderId="10" xfId="28" applyNumberFormat="1" applyFont="1" applyFill="1" applyBorder="1" applyAlignment="1" applyProtection="1">
      <alignment horizontal="right" vertical="center"/>
    </xf>
    <xf numFmtId="166" fontId="2" fillId="29" borderId="10" xfId="28" applyNumberFormat="1" applyFont="1" applyFill="1" applyBorder="1" applyAlignment="1" applyProtection="1">
      <alignment vertical="center"/>
    </xf>
    <xf numFmtId="0" fontId="77" fillId="38" borderId="105" xfId="0" applyFont="1" applyFill="1" applyBorder="1" applyAlignment="1" applyProtection="1">
      <alignment horizontal="center" vertical="center"/>
    </xf>
    <xf numFmtId="0" fontId="77" fillId="38" borderId="106" xfId="0" applyFont="1" applyFill="1" applyBorder="1" applyAlignment="1" applyProtection="1">
      <alignment horizontal="center" vertical="center"/>
    </xf>
    <xf numFmtId="0" fontId="77" fillId="38" borderId="107" xfId="0" applyFont="1" applyFill="1" applyBorder="1" applyAlignment="1" applyProtection="1">
      <alignment horizontal="center" vertical="center"/>
    </xf>
    <xf numFmtId="0" fontId="77" fillId="38" borderId="108" xfId="0" applyFont="1" applyFill="1" applyBorder="1" applyAlignment="1" applyProtection="1">
      <alignment horizontal="center" vertical="center"/>
    </xf>
    <xf numFmtId="0" fontId="2" fillId="38" borderId="109" xfId="0" applyFont="1" applyFill="1" applyBorder="1" applyAlignment="1" applyProtection="1">
      <alignment horizontal="center"/>
    </xf>
    <xf numFmtId="165" fontId="14" fillId="38" borderId="106" xfId="0" applyNumberFormat="1" applyFont="1" applyFill="1" applyBorder="1" applyAlignment="1" applyProtection="1">
      <alignment horizontal="center"/>
      <protection locked="0"/>
    </xf>
    <xf numFmtId="165" fontId="14" fillId="38" borderId="110" xfId="0" applyNumberFormat="1" applyFont="1" applyFill="1" applyBorder="1" applyAlignment="1" applyProtection="1">
      <alignment horizontal="center"/>
      <protection locked="0"/>
    </xf>
    <xf numFmtId="3" fontId="1" fillId="25" borderId="239" xfId="28" applyNumberFormat="1" applyFont="1" applyFill="1" applyBorder="1" applyAlignment="1" applyProtection="1">
      <alignment horizontal="right" vertical="center"/>
      <protection locked="0"/>
    </xf>
    <xf numFmtId="3" fontId="1" fillId="25" borderId="240" xfId="28" applyNumberFormat="1" applyFont="1" applyFill="1" applyBorder="1" applyAlignment="1" applyProtection="1">
      <alignment horizontal="right" vertical="center"/>
      <protection locked="0"/>
    </xf>
    <xf numFmtId="3" fontId="0" fillId="0" borderId="241" xfId="0" applyNumberFormat="1" applyBorder="1" applyAlignment="1" applyProtection="1">
      <alignment horizontal="right" vertical="center"/>
    </xf>
    <xf numFmtId="0" fontId="0" fillId="0" borderId="104" xfId="0" applyFill="1" applyBorder="1" applyAlignment="1" applyProtection="1">
      <alignment horizontal="center"/>
    </xf>
    <xf numFmtId="0" fontId="14" fillId="0" borderId="143" xfId="0" applyFont="1" applyFill="1" applyBorder="1" applyAlignment="1" applyProtection="1">
      <alignment horizontal="center"/>
    </xf>
    <xf numFmtId="0" fontId="14" fillId="0" borderId="104" xfId="0" applyFont="1" applyFill="1" applyBorder="1" applyAlignment="1" applyProtection="1">
      <alignment horizontal="center"/>
    </xf>
    <xf numFmtId="9" fontId="67" fillId="29" borderId="10" xfId="56" applyFont="1" applyFill="1" applyBorder="1" applyAlignment="1" applyProtection="1">
      <alignment vertical="center"/>
    </xf>
    <xf numFmtId="0" fontId="133" fillId="0" borderId="0" xfId="0" applyFont="1"/>
    <xf numFmtId="9" fontId="134" fillId="29" borderId="10" xfId="56" applyFont="1" applyFill="1" applyBorder="1" applyAlignment="1" applyProtection="1">
      <alignment vertical="center"/>
    </xf>
    <xf numFmtId="174" fontId="134" fillId="29" borderId="10" xfId="56" applyNumberFormat="1" applyFont="1" applyFill="1" applyBorder="1" applyAlignment="1" applyProtection="1">
      <alignment horizontal="right" vertical="center"/>
    </xf>
    <xf numFmtId="3" fontId="67" fillId="22" borderId="10" xfId="0" applyNumberFormat="1" applyFont="1" applyFill="1" applyBorder="1" applyAlignment="1" applyProtection="1">
      <alignment vertical="center"/>
    </xf>
    <xf numFmtId="3" fontId="67" fillId="23" borderId="10" xfId="0" applyNumberFormat="1" applyFont="1" applyFill="1" applyBorder="1" applyAlignment="1" applyProtection="1">
      <alignment vertical="center"/>
    </xf>
    <xf numFmtId="3" fontId="67" fillId="29" borderId="10" xfId="0" applyNumberFormat="1" applyFont="1" applyFill="1" applyBorder="1" applyAlignment="1" applyProtection="1">
      <alignment vertical="center"/>
    </xf>
    <xf numFmtId="3" fontId="67" fillId="23" borderId="10" xfId="0" applyNumberFormat="1" applyFont="1" applyFill="1" applyBorder="1" applyAlignment="1" applyProtection="1">
      <alignment horizontal="right" vertical="center"/>
    </xf>
    <xf numFmtId="1" fontId="21" fillId="24" borderId="47" xfId="0" applyNumberFormat="1" applyFont="1" applyFill="1" applyBorder="1" applyAlignment="1" applyProtection="1">
      <alignment horizontal="center"/>
    </xf>
    <xf numFmtId="1" fontId="0" fillId="24" borderId="47" xfId="0" applyNumberFormat="1" applyFill="1" applyBorder="1" applyAlignment="1" applyProtection="1">
      <alignment horizontal="center"/>
    </xf>
    <xf numFmtId="0" fontId="0" fillId="37" borderId="24" xfId="0" applyNumberFormat="1" applyFill="1" applyBorder="1" applyAlignment="1" applyProtection="1">
      <alignment horizontal="center"/>
    </xf>
    <xf numFmtId="9" fontId="28" fillId="0" borderId="10" xfId="56" applyFont="1" applyFill="1" applyBorder="1" applyAlignment="1" applyProtection="1">
      <alignment vertical="center" wrapText="1"/>
    </xf>
    <xf numFmtId="0" fontId="138" fillId="0" borderId="0" xfId="0" applyFont="1" applyAlignment="1">
      <alignment horizontal="left" vertical="top" wrapText="1"/>
    </xf>
    <xf numFmtId="1" fontId="135" fillId="36" borderId="153" xfId="0" applyNumberFormat="1" applyFont="1" applyFill="1" applyBorder="1" applyAlignment="1" applyProtection="1">
      <alignment horizontal="center" vertical="center"/>
    </xf>
    <xf numFmtId="1" fontId="15" fillId="36" borderId="153" xfId="0" applyNumberFormat="1" applyFont="1" applyFill="1" applyBorder="1" applyAlignment="1" applyProtection="1">
      <alignment horizontal="center" vertical="center"/>
    </xf>
    <xf numFmtId="1" fontId="0" fillId="20" borderId="10" xfId="0" applyNumberFormat="1" applyFill="1" applyBorder="1" applyAlignment="1" applyProtection="1">
      <alignment horizontal="center" vertical="center"/>
    </xf>
    <xf numFmtId="1" fontId="0" fillId="0" borderId="10" xfId="0" applyNumberFormat="1" applyBorder="1" applyAlignment="1" applyProtection="1">
      <alignment horizontal="center" vertical="center"/>
    </xf>
    <xf numFmtId="1" fontId="0" fillId="20" borderId="102" xfId="0" applyNumberFormat="1" applyFill="1" applyBorder="1" applyAlignment="1" applyProtection="1">
      <alignment horizontal="center" vertical="center"/>
    </xf>
    <xf numFmtId="1" fontId="0" fillId="0" borderId="102" xfId="0" applyNumberFormat="1" applyBorder="1" applyAlignment="1" applyProtection="1">
      <alignment horizontal="center" vertical="center"/>
    </xf>
    <xf numFmtId="3" fontId="77" fillId="22" borderId="10" xfId="0" applyNumberFormat="1" applyFont="1" applyFill="1" applyBorder="1" applyAlignment="1" applyProtection="1">
      <alignment vertical="center"/>
    </xf>
    <xf numFmtId="3" fontId="77" fillId="23" borderId="10" xfId="0" applyNumberFormat="1" applyFont="1" applyFill="1" applyBorder="1" applyAlignment="1" applyProtection="1">
      <alignment vertical="center"/>
    </xf>
    <xf numFmtId="3" fontId="77" fillId="22"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xf>
    <xf numFmtId="3" fontId="77" fillId="23" borderId="10" xfId="0" applyNumberFormat="1" applyFont="1" applyFill="1" applyBorder="1" applyAlignment="1" applyProtection="1">
      <alignment horizontal="right" vertical="center"/>
    </xf>
    <xf numFmtId="9" fontId="67" fillId="29" borderId="10" xfId="56" applyFont="1" applyFill="1" applyBorder="1" applyAlignment="1" applyProtection="1">
      <alignment vertical="center"/>
      <protection locked="0"/>
    </xf>
    <xf numFmtId="0" fontId="0" fillId="0" borderId="10" xfId="0" applyBorder="1" applyProtection="1"/>
    <xf numFmtId="0" fontId="140" fillId="0" borderId="0" xfId="0" applyFont="1" applyBorder="1" applyProtection="1"/>
    <xf numFmtId="0" fontId="141" fillId="0" borderId="0" xfId="0" applyFont="1" applyFill="1" applyBorder="1" applyAlignment="1" applyProtection="1">
      <alignment horizontal="center" vertical="center" wrapText="1"/>
    </xf>
    <xf numFmtId="0" fontId="142" fillId="0" borderId="0" xfId="0" applyFont="1" applyFill="1" applyBorder="1" applyAlignment="1" applyProtection="1">
      <alignment horizontal="center" vertical="center"/>
    </xf>
    <xf numFmtId="0" fontId="140" fillId="0" borderId="0" xfId="0" applyFont="1" applyFill="1" applyBorder="1" applyAlignment="1" applyProtection="1">
      <alignment horizontal="center" vertical="center"/>
    </xf>
    <xf numFmtId="0" fontId="140" fillId="0" borderId="0" xfId="0" applyFont="1" applyBorder="1" applyAlignment="1" applyProtection="1">
      <alignment horizontal="center" vertical="center"/>
    </xf>
    <xf numFmtId="0" fontId="140" fillId="0" borderId="0" xfId="0" applyFont="1" applyBorder="1" applyAlignment="1">
      <alignment horizontal="center" vertical="center"/>
    </xf>
    <xf numFmtId="15" fontId="140" fillId="0" borderId="0" xfId="0" applyNumberFormat="1" applyFont="1" applyFill="1" applyBorder="1" applyAlignment="1" applyProtection="1">
      <alignment horizontal="center" vertical="center"/>
      <protection locked="0"/>
    </xf>
    <xf numFmtId="0" fontId="140" fillId="0" borderId="0" xfId="0" applyFont="1" applyFill="1" applyBorder="1" applyAlignment="1" applyProtection="1">
      <alignment horizontal="center" vertical="center"/>
      <protection locked="0"/>
    </xf>
    <xf numFmtId="49" fontId="139" fillId="40" borderId="10" xfId="0" applyNumberFormat="1" applyFont="1" applyFill="1" applyBorder="1" applyProtection="1">
      <protection locked="0"/>
    </xf>
    <xf numFmtId="49" fontId="139" fillId="40" borderId="102" xfId="0" applyNumberFormat="1" applyFont="1" applyFill="1" applyBorder="1" applyAlignment="1" applyProtection="1">
      <alignment horizontal="left"/>
      <protection locked="0"/>
    </xf>
    <xf numFmtId="43" fontId="137" fillId="40" borderId="10" xfId="28" applyFont="1" applyFill="1" applyBorder="1" applyProtection="1">
      <protection locked="0"/>
    </xf>
    <xf numFmtId="43" fontId="137" fillId="40" borderId="10" xfId="28" applyNumberFormat="1" applyFont="1" applyFill="1" applyBorder="1" applyProtection="1">
      <protection locked="0"/>
    </xf>
    <xf numFmtId="43" fontId="137" fillId="40" borderId="102" xfId="28" applyNumberFormat="1" applyFont="1" applyFill="1" applyBorder="1" applyProtection="1">
      <protection locked="0"/>
    </xf>
    <xf numFmtId="166" fontId="137" fillId="40" borderId="10" xfId="28" applyNumberFormat="1" applyFont="1" applyFill="1" applyBorder="1" applyProtection="1">
      <protection locked="0"/>
    </xf>
    <xf numFmtId="166" fontId="137" fillId="40" borderId="102" xfId="28" applyNumberFormat="1" applyFont="1" applyFill="1" applyBorder="1" applyProtection="1">
      <protection locked="0"/>
    </xf>
    <xf numFmtId="166" fontId="137" fillId="40" borderId="10" xfId="28" applyNumberFormat="1" applyFont="1" applyFill="1" applyBorder="1" applyProtection="1"/>
    <xf numFmtId="166" fontId="137" fillId="40" borderId="10" xfId="28" applyNumberFormat="1" applyFont="1" applyFill="1" applyBorder="1" applyAlignment="1" applyProtection="1">
      <alignment horizontal="center"/>
      <protection locked="0"/>
    </xf>
    <xf numFmtId="166" fontId="137" fillId="40" borderId="102" xfId="28" applyNumberFormat="1" applyFont="1" applyFill="1" applyBorder="1" applyAlignment="1" applyProtection="1">
      <alignment horizontal="center"/>
      <protection locked="0"/>
    </xf>
    <xf numFmtId="3" fontId="77" fillId="23" borderId="10" xfId="0" applyNumberFormat="1" applyFont="1" applyFill="1" applyBorder="1" applyAlignment="1" applyProtection="1">
      <alignment vertical="center"/>
      <protection locked="0"/>
    </xf>
    <xf numFmtId="3" fontId="77" fillId="29" borderId="10" xfId="0" applyNumberFormat="1" applyFont="1" applyFill="1" applyBorder="1" applyAlignment="1" applyProtection="1">
      <alignment vertical="center"/>
      <protection locked="0"/>
    </xf>
    <xf numFmtId="3" fontId="77" fillId="23" borderId="10" xfId="0" applyNumberFormat="1" applyFont="1" applyFill="1" applyBorder="1" applyAlignment="1" applyProtection="1">
      <alignment horizontal="right" vertical="center"/>
      <protection locked="0"/>
    </xf>
    <xf numFmtId="1" fontId="143" fillId="36" borderId="153" xfId="0" applyNumberFormat="1" applyFont="1" applyFill="1" applyBorder="1" applyAlignment="1" applyProtection="1">
      <alignment horizontal="center" vertical="center"/>
    </xf>
    <xf numFmtId="43" fontId="17" fillId="31"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9" fillId="0" borderId="27" xfId="0" applyFont="1" applyFill="1" applyBorder="1" applyAlignment="1" applyProtection="1">
      <alignment vertical="center" wrapText="1"/>
      <protection locked="0"/>
    </xf>
    <xf numFmtId="0" fontId="89" fillId="0" borderId="44" xfId="0" applyFont="1" applyFill="1" applyBorder="1" applyAlignment="1" applyProtection="1">
      <alignment vertical="center" wrapText="1"/>
      <protection locked="0"/>
    </xf>
    <xf numFmtId="0" fontId="89" fillId="0" borderId="45" xfId="0" applyFont="1" applyFill="1" applyBorder="1" applyAlignment="1" applyProtection="1">
      <alignment vertical="center" wrapText="1"/>
      <protection locked="0"/>
    </xf>
    <xf numFmtId="0" fontId="98" fillId="0" borderId="27"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98" fillId="0" borderId="45" xfId="0" applyFont="1" applyFill="1" applyBorder="1" applyAlignment="1" applyProtection="1">
      <alignment vertical="center" wrapText="1"/>
      <protection locked="0"/>
    </xf>
    <xf numFmtId="0" fontId="63" fillId="0" borderId="27"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89" fillId="0" borderId="45" xfId="0" applyFont="1" applyBorder="1" applyAlignment="1" applyProtection="1">
      <alignment horizontal="justify" vertical="center" wrapText="1"/>
      <protection locked="0"/>
    </xf>
    <xf numFmtId="0" fontId="88" fillId="0" borderId="27" xfId="0" applyFont="1" applyBorder="1" applyAlignment="1" applyProtection="1">
      <alignment vertical="center" wrapText="1"/>
      <protection locked="0"/>
    </xf>
    <xf numFmtId="0" fontId="88" fillId="0" borderId="44" xfId="0" applyFont="1" applyBorder="1" applyAlignment="1" applyProtection="1">
      <alignment vertical="center" wrapText="1"/>
      <protection locked="0"/>
    </xf>
    <xf numFmtId="0" fontId="88" fillId="0" borderId="45" xfId="0" applyFont="1" applyBorder="1" applyAlignment="1" applyProtection="1">
      <alignment vertical="center" wrapText="1"/>
      <protection locked="0"/>
    </xf>
    <xf numFmtId="0" fontId="63" fillId="0" borderId="27" xfId="0" applyFont="1" applyBorder="1" applyAlignment="1" applyProtection="1">
      <alignment horizontal="left" vertical="center" wrapText="1"/>
      <protection locked="0"/>
    </xf>
    <xf numFmtId="0" fontId="63" fillId="0" borderId="44" xfId="0" applyFont="1" applyBorder="1" applyAlignment="1" applyProtection="1">
      <alignment horizontal="left" vertical="center" wrapText="1"/>
      <protection locked="0"/>
    </xf>
    <xf numFmtId="0" fontId="63" fillId="0" borderId="45" xfId="0" applyFont="1" applyBorder="1" applyAlignment="1" applyProtection="1">
      <alignment horizontal="left" vertical="center" wrapText="1"/>
      <protection locked="0"/>
    </xf>
    <xf numFmtId="43" fontId="88" fillId="0" borderId="27" xfId="0" applyNumberFormat="1" applyFont="1" applyBorder="1" applyAlignment="1">
      <alignment horizontal="justify" vertical="center" wrapText="1"/>
    </xf>
    <xf numFmtId="0" fontId="88" fillId="0" borderId="44" xfId="0" applyFont="1" applyBorder="1" applyAlignment="1">
      <alignment horizontal="justify" vertical="center" wrapText="1"/>
    </xf>
    <xf numFmtId="0" fontId="88" fillId="0" borderId="45" xfId="0" applyFont="1" applyBorder="1" applyAlignment="1">
      <alignment horizontal="justify" vertical="center" wrapText="1"/>
    </xf>
    <xf numFmtId="0" fontId="89" fillId="0" borderId="27"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89" fillId="0" borderId="45" xfId="0" applyFont="1" applyBorder="1" applyAlignment="1" applyProtection="1">
      <alignment vertical="center" wrapText="1"/>
      <protection locked="0"/>
    </xf>
    <xf numFmtId="0" fontId="89" fillId="0" borderId="44" xfId="0" applyFont="1" applyBorder="1" applyAlignment="1" applyProtection="1">
      <alignment horizontal="left" vertical="center" wrapText="1"/>
      <protection locked="0"/>
    </xf>
    <xf numFmtId="0" fontId="89" fillId="0" borderId="45" xfId="0" applyFont="1" applyBorder="1" applyAlignment="1" applyProtection="1">
      <alignment horizontal="left" vertical="center" wrapText="1"/>
      <protection locked="0"/>
    </xf>
    <xf numFmtId="0" fontId="89" fillId="22" borderId="27" xfId="0" applyFont="1" applyFill="1" applyBorder="1" applyAlignment="1">
      <alignment vertical="center" wrapText="1"/>
    </xf>
    <xf numFmtId="0" fontId="89" fillId="22" borderId="44" xfId="0" applyFont="1" applyFill="1" applyBorder="1" applyAlignment="1">
      <alignment vertical="center" wrapText="1"/>
    </xf>
    <xf numFmtId="0" fontId="89" fillId="22" borderId="45" xfId="0" applyFont="1" applyFill="1" applyBorder="1" applyAlignment="1">
      <alignment vertical="center" wrapText="1"/>
    </xf>
    <xf numFmtId="0" fontId="122" fillId="0" borderId="66" xfId="0" applyFont="1" applyBorder="1" applyAlignment="1">
      <alignment horizontal="justify" vertical="center" wrapText="1"/>
    </xf>
    <xf numFmtId="0" fontId="122" fillId="0" borderId="106" xfId="0" applyFont="1" applyBorder="1" applyAlignment="1">
      <alignment horizontal="justify" vertical="center" wrapText="1"/>
    </xf>
    <xf numFmtId="0" fontId="122" fillId="0" borderId="108" xfId="0" applyFont="1" applyBorder="1" applyAlignment="1">
      <alignment horizontal="justify" vertical="center" wrapText="1"/>
    </xf>
    <xf numFmtId="0" fontId="63" fillId="0" borderId="27" xfId="0" applyNumberFormat="1" applyFont="1" applyBorder="1" applyAlignment="1" applyProtection="1">
      <alignment horizontal="left" vertical="center" wrapText="1"/>
      <protection locked="0"/>
    </xf>
    <xf numFmtId="0" fontId="63" fillId="0" borderId="44" xfId="0" applyNumberFormat="1" applyFont="1" applyBorder="1" applyAlignment="1" applyProtection="1">
      <alignment horizontal="left" vertical="center" wrapText="1"/>
      <protection locked="0"/>
    </xf>
    <xf numFmtId="0" fontId="63" fillId="0" borderId="45" xfId="0" applyNumberFormat="1" applyFont="1" applyBorder="1" applyAlignment="1" applyProtection="1">
      <alignment horizontal="left" vertical="center" wrapText="1"/>
      <protection locked="0"/>
    </xf>
    <xf numFmtId="0" fontId="63" fillId="0" borderId="27" xfId="0" applyFont="1" applyBorder="1" applyAlignment="1">
      <alignment horizontal="left" vertical="center" wrapText="1"/>
    </xf>
    <xf numFmtId="0" fontId="63" fillId="0" borderId="44" xfId="0" applyFont="1" applyBorder="1" applyAlignment="1">
      <alignment horizontal="left" vertical="center" wrapText="1"/>
    </xf>
    <xf numFmtId="0" fontId="63" fillId="0" borderId="45" xfId="0" applyFont="1" applyBorder="1" applyAlignment="1">
      <alignment horizontal="left" vertical="center" wrapText="1"/>
    </xf>
    <xf numFmtId="0" fontId="122" fillId="0" borderId="27" xfId="0" applyFont="1" applyBorder="1" applyAlignment="1">
      <alignment horizontal="justify" vertical="center" wrapText="1"/>
    </xf>
    <xf numFmtId="0" fontId="122" fillId="0" borderId="44" xfId="0" applyFont="1" applyBorder="1" applyAlignment="1">
      <alignment horizontal="justify" vertical="center" wrapText="1"/>
    </xf>
    <xf numFmtId="0" fontId="122" fillId="0" borderId="45" xfId="0" applyFont="1" applyBorder="1" applyAlignment="1">
      <alignment horizontal="justify" vertical="center" wrapText="1"/>
    </xf>
    <xf numFmtId="0" fontId="122" fillId="0" borderId="27" xfId="0" applyFont="1" applyBorder="1" applyAlignment="1">
      <alignment horizontal="left" vertical="center" wrapText="1"/>
    </xf>
    <xf numFmtId="0" fontId="119" fillId="0" borderId="44" xfId="0" applyFont="1" applyBorder="1" applyAlignment="1">
      <alignment horizontal="left" vertical="center" wrapText="1"/>
    </xf>
    <xf numFmtId="0" fontId="119" fillId="0" borderId="45"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1" xfId="0" applyFont="1" applyBorder="1" applyAlignment="1">
      <alignment horizontal="left" vertical="center" wrapText="1"/>
    </xf>
    <xf numFmtId="0" fontId="63" fillId="0" borderId="113" xfId="0" applyFont="1" applyBorder="1" applyAlignment="1">
      <alignment horizontal="left" vertical="center" wrapText="1"/>
    </xf>
    <xf numFmtId="0" fontId="63" fillId="0" borderId="66" xfId="0" applyFont="1" applyBorder="1" applyAlignment="1">
      <alignment horizontal="left" vertical="center" wrapText="1"/>
    </xf>
    <xf numFmtId="0" fontId="63" fillId="0" borderId="106" xfId="0" applyFont="1" applyBorder="1" applyAlignment="1">
      <alignment horizontal="left" vertical="center" wrapText="1"/>
    </xf>
    <xf numFmtId="0" fontId="63" fillId="0" borderId="108" xfId="0" applyFont="1" applyBorder="1" applyAlignment="1">
      <alignment horizontal="left" vertical="center" wrapText="1"/>
    </xf>
    <xf numFmtId="0" fontId="89" fillId="0" borderId="27" xfId="0" applyFont="1" applyBorder="1" applyAlignment="1">
      <alignment horizontal="justify" vertical="center" wrapText="1"/>
    </xf>
    <xf numFmtId="0" fontId="89" fillId="0" borderId="44" xfId="0" applyFont="1" applyBorder="1" applyAlignment="1">
      <alignment horizontal="justify" vertical="center" wrapText="1"/>
    </xf>
    <xf numFmtId="0" fontId="89" fillId="0" borderId="45" xfId="0" applyFont="1" applyBorder="1" applyAlignment="1">
      <alignment horizontal="justify" vertical="center" wrapText="1"/>
    </xf>
    <xf numFmtId="0" fontId="63" fillId="0" borderId="27" xfId="0" applyFont="1" applyBorder="1" applyAlignment="1">
      <alignment horizontal="justify" vertical="center" wrapText="1"/>
    </xf>
    <xf numFmtId="43" fontId="88" fillId="0" borderId="112" xfId="0" applyNumberFormat="1" applyFont="1" applyBorder="1" applyAlignment="1">
      <alignment horizontal="left" vertical="center" wrapText="1"/>
    </xf>
    <xf numFmtId="0" fontId="88" fillId="0" borderId="111" xfId="0" applyFont="1" applyBorder="1" applyAlignment="1">
      <alignment horizontal="left" vertical="center" wrapText="1"/>
    </xf>
    <xf numFmtId="0" fontId="88" fillId="0" borderId="113" xfId="0" applyFont="1" applyBorder="1" applyAlignment="1">
      <alignment horizontal="left" vertical="center" wrapText="1"/>
    </xf>
    <xf numFmtId="0" fontId="88" fillId="0" borderId="66" xfId="0" applyFont="1" applyBorder="1" applyAlignment="1">
      <alignment horizontal="left" vertical="center" wrapText="1"/>
    </xf>
    <xf numFmtId="0" fontId="88" fillId="0" borderId="106" xfId="0" applyFont="1" applyBorder="1" applyAlignment="1">
      <alignment horizontal="left" vertical="center" wrapText="1"/>
    </xf>
    <xf numFmtId="0" fontId="88" fillId="0" borderId="108"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63" fillId="0" borderId="44" xfId="0" applyFont="1" applyBorder="1" applyAlignment="1">
      <alignment horizontal="justify" vertical="center" wrapText="1"/>
    </xf>
    <xf numFmtId="0" fontId="63" fillId="0" borderId="45" xfId="0" applyFont="1" applyBorder="1" applyAlignment="1">
      <alignment horizontal="justify" vertical="center" wrapText="1"/>
    </xf>
    <xf numFmtId="0" fontId="63" fillId="0" borderId="112" xfId="0" applyFont="1" applyBorder="1" applyAlignment="1">
      <alignment horizontal="justify" wrapText="1"/>
    </xf>
    <xf numFmtId="0" fontId="63" fillId="0" borderId="111" xfId="0" applyFont="1" applyBorder="1" applyAlignment="1">
      <alignment horizontal="justify" wrapText="1"/>
    </xf>
    <xf numFmtId="0" fontId="63" fillId="0" borderId="113" xfId="0" applyFont="1" applyBorder="1" applyAlignment="1">
      <alignment horizontal="justify" wrapText="1"/>
    </xf>
    <xf numFmtId="0" fontId="89" fillId="0" borderId="66" xfId="0" applyFont="1" applyBorder="1" applyAlignment="1">
      <alignment horizontal="justify" vertical="center" wrapText="1"/>
    </xf>
    <xf numFmtId="0" fontId="89" fillId="0" borderId="106" xfId="0" applyFont="1" applyBorder="1" applyAlignment="1">
      <alignment horizontal="justify" vertical="center" wrapText="1"/>
    </xf>
    <xf numFmtId="0" fontId="89" fillId="0" borderId="108" xfId="0" applyFont="1" applyBorder="1" applyAlignment="1">
      <alignment horizontal="justify" vertical="center" wrapText="1"/>
    </xf>
    <xf numFmtId="0" fontId="0" fillId="0" borderId="27"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86" fillId="0" borderId="0" xfId="0" applyFont="1" applyAlignment="1">
      <alignment horizontal="center"/>
    </xf>
    <xf numFmtId="0" fontId="94" fillId="22" borderId="27" xfId="0" applyFont="1" applyFill="1" applyBorder="1" applyAlignment="1">
      <alignment horizontal="center" vertical="center" wrapText="1"/>
    </xf>
    <xf numFmtId="0" fontId="94" fillId="22" borderId="44" xfId="0" applyFont="1" applyFill="1" applyBorder="1" applyAlignment="1">
      <alignment horizontal="center" vertical="center"/>
    </xf>
    <xf numFmtId="0" fontId="94" fillId="22" borderId="45" xfId="0" applyFont="1" applyFill="1" applyBorder="1" applyAlignment="1">
      <alignment horizontal="center" vertical="center"/>
    </xf>
    <xf numFmtId="0" fontId="93" fillId="22" borderId="27" xfId="0" applyFont="1" applyFill="1" applyBorder="1" applyAlignment="1">
      <alignment horizontal="center" vertical="center"/>
    </xf>
    <xf numFmtId="0" fontId="93" fillId="22" borderId="44" xfId="0" applyFont="1" applyFill="1" applyBorder="1" applyAlignment="1">
      <alignment horizontal="center" vertical="center"/>
    </xf>
    <xf numFmtId="0" fontId="93" fillId="22" borderId="45" xfId="0" applyFont="1" applyFill="1" applyBorder="1" applyAlignment="1">
      <alignment horizontal="center" vertical="center"/>
    </xf>
    <xf numFmtId="0" fontId="24" fillId="0" borderId="27"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45" xfId="0" applyFont="1" applyBorder="1" applyAlignment="1">
      <alignment horizontal="center" vertical="center" wrapText="1"/>
    </xf>
    <xf numFmtId="0" fontId="93" fillId="22" borderId="27" xfId="0" applyFont="1" applyFill="1" applyBorder="1" applyAlignment="1">
      <alignment horizontal="center" wrapText="1"/>
    </xf>
    <xf numFmtId="0" fontId="93" fillId="22" borderId="44" xfId="0" applyFont="1" applyFill="1" applyBorder="1" applyAlignment="1">
      <alignment horizontal="center" wrapText="1"/>
    </xf>
    <xf numFmtId="0" fontId="93" fillId="22" borderId="45" xfId="0" applyFont="1" applyFill="1" applyBorder="1" applyAlignment="1">
      <alignment horizontal="center" wrapText="1"/>
    </xf>
    <xf numFmtId="0" fontId="93" fillId="22" borderId="27" xfId="0" applyFont="1" applyFill="1" applyBorder="1" applyAlignment="1">
      <alignment horizontal="center"/>
    </xf>
    <xf numFmtId="0" fontId="93" fillId="22" borderId="44" xfId="0" applyFont="1" applyFill="1" applyBorder="1" applyAlignment="1">
      <alignment horizontal="center"/>
    </xf>
    <xf numFmtId="0" fontId="93" fillId="22" borderId="45" xfId="0" applyFont="1" applyFill="1" applyBorder="1" applyAlignment="1">
      <alignment horizontal="center"/>
    </xf>
    <xf numFmtId="43" fontId="17" fillId="32" borderId="0" xfId="47" applyFont="1" applyFill="1" applyAlignment="1" applyProtection="1">
      <alignment horizontal="center" vertical="center"/>
    </xf>
    <xf numFmtId="0" fontId="87" fillId="25" borderId="27" xfId="0" applyFont="1" applyFill="1" applyBorder="1" applyAlignment="1">
      <alignment horizontal="center"/>
    </xf>
    <xf numFmtId="0" fontId="87" fillId="25" borderId="44" xfId="0" applyFont="1" applyFill="1" applyBorder="1" applyAlignment="1">
      <alignment horizontal="center"/>
    </xf>
    <xf numFmtId="0" fontId="87" fillId="25" borderId="45" xfId="0" applyFont="1" applyFill="1" applyBorder="1" applyAlignment="1">
      <alignment horizontal="center"/>
    </xf>
    <xf numFmtId="9" fontId="89" fillId="0" borderId="27" xfId="56" applyFont="1" applyBorder="1" applyAlignment="1">
      <alignment horizontal="justify" vertical="center" wrapText="1"/>
    </xf>
    <xf numFmtId="9" fontId="89" fillId="0" borderId="44" xfId="56" applyFont="1" applyBorder="1" applyAlignment="1">
      <alignment horizontal="justify" vertical="center" wrapText="1"/>
    </xf>
    <xf numFmtId="9" fontId="89" fillId="0" borderId="45" xfId="56" applyFont="1" applyBorder="1" applyAlignment="1">
      <alignment horizontal="justify" vertical="center" wrapText="1"/>
    </xf>
    <xf numFmtId="43" fontId="88" fillId="0" borderId="27" xfId="0" applyNumberFormat="1" applyFont="1" applyBorder="1" applyAlignment="1">
      <alignment horizontal="left" vertical="center" wrapText="1"/>
    </xf>
    <xf numFmtId="0" fontId="88" fillId="0" borderId="44" xfId="0" applyFont="1" applyBorder="1" applyAlignment="1">
      <alignment horizontal="left" vertical="center" wrapText="1"/>
    </xf>
    <xf numFmtId="0" fontId="88" fillId="0" borderId="45" xfId="0" applyFont="1" applyBorder="1" applyAlignment="1">
      <alignment horizontal="left" vertical="center" wrapText="1"/>
    </xf>
    <xf numFmtId="0" fontId="88" fillId="0" borderId="44" xfId="0" applyFont="1" applyBorder="1" applyAlignment="1">
      <alignment horizontal="left" vertical="center"/>
    </xf>
    <xf numFmtId="0" fontId="88" fillId="0" borderId="45" xfId="0" applyFont="1" applyBorder="1" applyAlignment="1">
      <alignment horizontal="left" vertical="center"/>
    </xf>
    <xf numFmtId="0" fontId="88" fillId="0" borderId="44" xfId="0" applyFont="1" applyBorder="1" applyAlignment="1">
      <alignment horizontal="justify" vertical="center"/>
    </xf>
    <xf numFmtId="0" fontId="88" fillId="0" borderId="45" xfId="0" applyFont="1" applyBorder="1" applyAlignment="1">
      <alignment horizontal="justify" vertical="center"/>
    </xf>
    <xf numFmtId="0" fontId="0" fillId="0" borderId="111" xfId="0" applyBorder="1" applyAlignment="1">
      <alignment horizontal="center"/>
    </xf>
    <xf numFmtId="0" fontId="0" fillId="0" borderId="111" xfId="0" applyBorder="1" applyAlignment="1">
      <alignment horizontal="center" wrapText="1"/>
    </xf>
    <xf numFmtId="0" fontId="87" fillId="24" borderId="27" xfId="0" applyFont="1" applyFill="1" applyBorder="1" applyAlignment="1">
      <alignment horizontal="center"/>
    </xf>
    <xf numFmtId="0" fontId="87" fillId="24" borderId="44" xfId="0" applyFont="1" applyFill="1" applyBorder="1" applyAlignment="1">
      <alignment horizontal="center"/>
    </xf>
    <xf numFmtId="0" fontId="87" fillId="24" borderId="45" xfId="0" applyFont="1" applyFill="1" applyBorder="1" applyAlignment="1">
      <alignment horizontal="center"/>
    </xf>
    <xf numFmtId="0" fontId="0" fillId="19" borderId="144" xfId="0" applyFill="1" applyBorder="1" applyAlignment="1" applyProtection="1">
      <alignment horizontal="center" vertical="center" textRotation="90"/>
    </xf>
    <xf numFmtId="43" fontId="14" fillId="0" borderId="145" xfId="0" applyNumberFormat="1" applyFont="1" applyBorder="1" applyAlignment="1" applyProtection="1">
      <alignment horizontal="center"/>
    </xf>
    <xf numFmtId="0" fontId="14" fillId="0" borderId="146" xfId="0" applyFont="1" applyBorder="1" applyAlignment="1" applyProtection="1">
      <alignment horizontal="center"/>
    </xf>
    <xf numFmtId="0" fontId="14" fillId="0" borderId="147" xfId="0" applyFont="1" applyBorder="1" applyAlignment="1" applyProtection="1">
      <alignment horizontal="center"/>
    </xf>
    <xf numFmtId="49" fontId="2" fillId="22" borderId="121" xfId="0" applyNumberFormat="1" applyFont="1" applyFill="1" applyBorder="1" applyAlignment="1" applyProtection="1">
      <alignment horizontal="left" vertical="center" wrapText="1"/>
      <protection locked="0"/>
    </xf>
    <xf numFmtId="49" fontId="67" fillId="22" borderId="109" xfId="0" applyNumberFormat="1" applyFont="1" applyFill="1" applyBorder="1" applyAlignment="1" applyProtection="1">
      <alignment horizontal="left" vertical="center" wrapText="1"/>
      <protection locked="0"/>
    </xf>
    <xf numFmtId="49" fontId="67" fillId="22" borderId="66" xfId="0" applyNumberFormat="1" applyFont="1" applyFill="1" applyBorder="1" applyAlignment="1" applyProtection="1">
      <alignment horizontal="left" vertical="center" wrapText="1"/>
      <protection locked="0"/>
    </xf>
    <xf numFmtId="49" fontId="67" fillId="22" borderId="148" xfId="0" applyNumberFormat="1" applyFont="1" applyFill="1" applyBorder="1" applyAlignment="1" applyProtection="1">
      <alignment horizontal="left" vertical="center" wrapText="1"/>
      <protection locked="0"/>
    </xf>
    <xf numFmtId="49" fontId="67" fillId="22" borderId="10" xfId="0" applyNumberFormat="1" applyFont="1" applyFill="1" applyBorder="1" applyAlignment="1" applyProtection="1">
      <alignment horizontal="left" vertical="center" wrapText="1"/>
      <protection locked="0"/>
    </xf>
    <xf numFmtId="49" fontId="67" fillId="22" borderId="27"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67" fillId="22" borderId="120" xfId="0" applyNumberFormat="1" applyFont="1" applyFill="1" applyBorder="1" applyAlignment="1" applyProtection="1">
      <alignment horizontal="center" vertical="center" wrapText="1"/>
      <protection locked="0"/>
    </xf>
    <xf numFmtId="49" fontId="67" fillId="22" borderId="121" xfId="0" applyNumberFormat="1" applyFont="1" applyFill="1" applyBorder="1" applyAlignment="1" applyProtection="1">
      <alignment horizontal="center" vertical="center" wrapText="1"/>
      <protection locked="0"/>
    </xf>
    <xf numFmtId="49" fontId="2" fillId="23" borderId="148" xfId="0" applyNumberFormat="1" applyFont="1" applyFill="1" applyBorder="1" applyAlignment="1" applyProtection="1">
      <alignment horizontal="left" vertical="center" wrapText="1"/>
      <protection locked="0"/>
    </xf>
    <xf numFmtId="49" fontId="67" fillId="23" borderId="10" xfId="0" applyNumberFormat="1" applyFont="1" applyFill="1" applyBorder="1" applyAlignment="1" applyProtection="1">
      <alignment horizontal="left" vertical="center" wrapText="1"/>
      <protection locked="0"/>
    </xf>
    <xf numFmtId="49" fontId="67" fillId="23" borderId="27" xfId="0" applyNumberFormat="1" applyFont="1" applyFill="1" applyBorder="1" applyAlignment="1" applyProtection="1">
      <alignment horizontal="left" vertical="center" wrapText="1"/>
      <protection locked="0"/>
    </xf>
    <xf numFmtId="49" fontId="67" fillId="23" borderId="148" xfId="0" applyNumberFormat="1" applyFont="1" applyFill="1" applyBorder="1" applyAlignment="1" applyProtection="1">
      <alignment horizontal="left" vertical="center" wrapText="1"/>
      <protection locked="0"/>
    </xf>
    <xf numFmtId="49" fontId="2" fillId="22" borderId="148" xfId="0" applyNumberFormat="1" applyFont="1" applyFill="1" applyBorder="1" applyAlignment="1" applyProtection="1">
      <alignment horizontal="left" vertical="center" wrapText="1"/>
      <protection locked="0"/>
    </xf>
    <xf numFmtId="43" fontId="15" fillId="39" borderId="10" xfId="58" applyFont="1" applyFill="1" applyBorder="1" applyAlignment="1" applyProtection="1">
      <alignment horizontal="center"/>
      <protection locked="0"/>
    </xf>
    <xf numFmtId="0" fontId="114" fillId="0" borderId="0" xfId="0" applyFont="1" applyAlignment="1" applyProtection="1">
      <alignment horizontal="right"/>
    </xf>
    <xf numFmtId="49" fontId="0" fillId="0" borderId="27" xfId="0" applyNumberFormat="1" applyBorder="1" applyAlignment="1" applyProtection="1">
      <alignment horizontal="center"/>
      <protection locked="0"/>
    </xf>
    <xf numFmtId="49" fontId="0" fillId="0" borderId="45" xfId="0" applyNumberFormat="1" applyBorder="1" applyAlignment="1" applyProtection="1">
      <alignment horizontal="center"/>
      <protection locked="0"/>
    </xf>
    <xf numFmtId="49" fontId="14" fillId="0" borderId="14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114" fillId="0" borderId="0" xfId="0" applyFont="1" applyBorder="1" applyAlignment="1" applyProtection="1">
      <alignment horizontal="right"/>
    </xf>
    <xf numFmtId="0" fontId="114" fillId="0" borderId="142" xfId="0" applyFont="1" applyBorder="1" applyAlignment="1" applyProtection="1">
      <alignment horizontal="right"/>
    </xf>
    <xf numFmtId="49" fontId="0" fillId="0" borderId="10" xfId="0" applyNumberFormat="1" applyBorder="1" applyAlignment="1" applyProtection="1">
      <alignment horizontal="center"/>
      <protection locked="0"/>
    </xf>
    <xf numFmtId="0" fontId="67" fillId="0" borderId="45" xfId="0" applyFont="1" applyFill="1" applyBorder="1" applyAlignment="1" applyProtection="1">
      <alignment horizontal="center" vertical="center" wrapText="1"/>
    </xf>
    <xf numFmtId="0" fontId="67" fillId="27" borderId="45" xfId="0" applyFont="1" applyFill="1" applyBorder="1" applyAlignment="1" applyProtection="1">
      <alignment horizontal="center" vertical="center" wrapText="1"/>
    </xf>
    <xf numFmtId="43" fontId="61" fillId="32" borderId="0" xfId="39" applyFont="1" applyFill="1" applyAlignment="1" applyProtection="1">
      <alignment horizontal="center" vertical="center"/>
    </xf>
    <xf numFmtId="49" fontId="0" fillId="38" borderId="27" xfId="0" applyNumberFormat="1" applyFill="1" applyBorder="1" applyAlignment="1" applyProtection="1">
      <alignment horizontal="center"/>
      <protection locked="0"/>
    </xf>
    <xf numFmtId="49" fontId="0" fillId="38" borderId="44" xfId="0" applyNumberFormat="1" applyFill="1" applyBorder="1" applyAlignment="1" applyProtection="1">
      <alignment horizontal="center"/>
      <protection locked="0"/>
    </xf>
    <xf numFmtId="49" fontId="0" fillId="38" borderId="45" xfId="0" applyNumberFormat="1" applyFill="1" applyBorder="1" applyAlignment="1" applyProtection="1">
      <alignment horizontal="center"/>
      <protection locked="0"/>
    </xf>
    <xf numFmtId="0" fontId="114" fillId="0" borderId="50" xfId="0" applyFont="1" applyBorder="1" applyAlignment="1" applyProtection="1">
      <alignment horizontal="right"/>
    </xf>
    <xf numFmtId="3" fontId="0" fillId="0" borderId="27" xfId="0" applyNumberFormat="1" applyFill="1" applyBorder="1" applyAlignment="1" applyProtection="1">
      <alignment horizontal="center"/>
      <protection locked="0"/>
    </xf>
    <xf numFmtId="3" fontId="0" fillId="0" borderId="45" xfId="0" applyNumberFormat="1" applyFill="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4" xfId="0" applyNumberFormat="1" applyBorder="1" applyAlignment="1" applyProtection="1">
      <alignment horizontal="center"/>
      <protection locked="0"/>
    </xf>
    <xf numFmtId="49" fontId="0" fillId="39" borderId="27" xfId="0" applyNumberFormat="1" applyFill="1" applyBorder="1" applyAlignment="1" applyProtection="1">
      <alignment horizontal="center"/>
      <protection locked="0"/>
    </xf>
    <xf numFmtId="49" fontId="0" fillId="39" borderId="45" xfId="0" applyNumberFormat="1" applyFill="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31" fillId="0" borderId="10" xfId="58" applyNumberFormat="1" applyFill="1" applyBorder="1" applyAlignment="1" applyProtection="1">
      <alignment horizontal="center"/>
      <protection locked="0"/>
    </xf>
    <xf numFmtId="0" fontId="67" fillId="0" borderId="137" xfId="0" applyFont="1" applyFill="1" applyBorder="1" applyAlignment="1" applyProtection="1">
      <alignment horizontal="left" vertical="center" wrapText="1"/>
    </xf>
    <xf numFmtId="0" fontId="67" fillId="0" borderId="138" xfId="0" applyFont="1" applyFill="1" applyBorder="1" applyAlignment="1" applyProtection="1">
      <alignment horizontal="left" vertical="center" wrapText="1"/>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44"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27" borderId="140" xfId="0" applyFont="1" applyFill="1" applyBorder="1" applyAlignment="1" applyProtection="1">
      <alignment horizontal="left" vertical="center" wrapText="1"/>
    </xf>
    <xf numFmtId="0" fontId="67" fillId="27" borderId="44" xfId="0" applyFont="1" applyFill="1" applyBorder="1" applyAlignment="1" applyProtection="1">
      <alignment horizontal="left" vertical="center" wrapText="1"/>
    </xf>
    <xf numFmtId="0" fontId="67" fillId="27" borderId="141" xfId="0" applyFont="1" applyFill="1" applyBorder="1" applyAlignment="1" applyProtection="1">
      <alignment horizontal="left" vertical="center" wrapText="1"/>
    </xf>
    <xf numFmtId="49" fontId="2" fillId="23" borderId="128" xfId="0" applyNumberFormat="1" applyFont="1" applyFill="1" applyBorder="1" applyAlignment="1" applyProtection="1">
      <alignment horizontal="left" vertical="center" wrapText="1"/>
      <protection locked="0"/>
    </xf>
    <xf numFmtId="49" fontId="67" fillId="23" borderId="111" xfId="0" applyNumberFormat="1" applyFont="1" applyFill="1" applyBorder="1" applyAlignment="1" applyProtection="1">
      <alignment horizontal="left" vertical="center" wrapText="1"/>
      <protection locked="0"/>
    </xf>
    <xf numFmtId="49" fontId="67" fillId="23" borderId="129" xfId="0" applyNumberFormat="1" applyFont="1" applyFill="1" applyBorder="1" applyAlignment="1" applyProtection="1">
      <alignment horizontal="left" vertical="center" wrapText="1"/>
      <protection locked="0"/>
    </xf>
    <xf numFmtId="49" fontId="67" fillId="23" borderId="105" xfId="0" applyNumberFormat="1" applyFont="1" applyFill="1" applyBorder="1" applyAlignment="1" applyProtection="1">
      <alignment horizontal="left" vertical="center" wrapText="1"/>
      <protection locked="0"/>
    </xf>
    <xf numFmtId="49" fontId="67" fillId="23" borderId="106" xfId="0" applyNumberFormat="1" applyFont="1" applyFill="1" applyBorder="1" applyAlignment="1" applyProtection="1">
      <alignment horizontal="left" vertical="center" wrapText="1"/>
      <protection locked="0"/>
    </xf>
    <xf numFmtId="49" fontId="67" fillId="23" borderId="110" xfId="0" applyNumberFormat="1" applyFont="1" applyFill="1" applyBorder="1" applyAlignment="1" applyProtection="1">
      <alignment horizontal="left" vertical="center" wrapText="1"/>
      <protection locked="0"/>
    </xf>
    <xf numFmtId="49" fontId="2" fillId="34" borderId="128" xfId="0" applyNumberFormat="1" applyFont="1" applyFill="1" applyBorder="1" applyAlignment="1" applyProtection="1">
      <alignment horizontal="left" vertical="center" wrapText="1"/>
      <protection locked="0"/>
    </xf>
    <xf numFmtId="49" fontId="67" fillId="34" borderId="111" xfId="0" applyNumberFormat="1" applyFont="1" applyFill="1" applyBorder="1" applyAlignment="1" applyProtection="1">
      <alignment horizontal="left" vertical="center" wrapText="1"/>
      <protection locked="0"/>
    </xf>
    <xf numFmtId="49" fontId="67" fillId="34" borderId="129" xfId="0" applyNumberFormat="1" applyFont="1" applyFill="1" applyBorder="1" applyAlignment="1" applyProtection="1">
      <alignment horizontal="left" vertical="center" wrapText="1"/>
      <protection locked="0"/>
    </xf>
    <xf numFmtId="49" fontId="67" fillId="34" borderId="105" xfId="0" applyNumberFormat="1" applyFont="1" applyFill="1" applyBorder="1" applyAlignment="1" applyProtection="1">
      <alignment horizontal="left" vertical="center" wrapText="1"/>
      <protection locked="0"/>
    </xf>
    <xf numFmtId="49" fontId="67" fillId="34" borderId="106" xfId="0" applyNumberFormat="1" applyFont="1" applyFill="1" applyBorder="1" applyAlignment="1" applyProtection="1">
      <alignment horizontal="left" vertical="center" wrapText="1"/>
      <protection locked="0"/>
    </xf>
    <xf numFmtId="49" fontId="67" fillId="34" borderId="110" xfId="0" applyNumberFormat="1" applyFont="1" applyFill="1" applyBorder="1" applyAlignment="1" applyProtection="1">
      <alignment horizontal="left" vertical="center" wrapText="1"/>
      <protection locked="0"/>
    </xf>
    <xf numFmtId="49" fontId="134" fillId="34" borderId="128" xfId="0" applyNumberFormat="1" applyFont="1" applyFill="1" applyBorder="1" applyAlignment="1" applyProtection="1">
      <alignment horizontal="left" vertical="center" wrapText="1"/>
      <protection locked="0"/>
    </xf>
    <xf numFmtId="49" fontId="134" fillId="34" borderId="111" xfId="0" applyNumberFormat="1" applyFont="1" applyFill="1" applyBorder="1" applyAlignment="1" applyProtection="1">
      <alignment horizontal="left" vertical="center" wrapText="1"/>
      <protection locked="0"/>
    </xf>
    <xf numFmtId="49" fontId="134" fillId="34" borderId="129" xfId="0" applyNumberFormat="1" applyFont="1" applyFill="1" applyBorder="1" applyAlignment="1" applyProtection="1">
      <alignment horizontal="left" vertical="center" wrapText="1"/>
      <protection locked="0"/>
    </xf>
    <xf numFmtId="49" fontId="134" fillId="34" borderId="105" xfId="0" applyNumberFormat="1" applyFont="1" applyFill="1" applyBorder="1" applyAlignment="1" applyProtection="1">
      <alignment horizontal="left" vertical="center" wrapText="1"/>
      <protection locked="0"/>
    </xf>
    <xf numFmtId="49" fontId="134" fillId="34" borderId="106" xfId="0" applyNumberFormat="1" applyFont="1" applyFill="1" applyBorder="1" applyAlignment="1" applyProtection="1">
      <alignment horizontal="left" vertical="center" wrapText="1"/>
      <protection locked="0"/>
    </xf>
    <xf numFmtId="49" fontId="134" fillId="34" borderId="110" xfId="0" applyNumberFormat="1" applyFont="1" applyFill="1" applyBorder="1" applyAlignment="1" applyProtection="1">
      <alignment horizontal="left" vertical="center" wrapText="1"/>
      <protection locked="0"/>
    </xf>
    <xf numFmtId="49" fontId="67" fillId="23" borderId="45" xfId="0" applyNumberFormat="1" applyFont="1" applyFill="1" applyBorder="1" applyAlignment="1" applyProtection="1">
      <alignment horizontal="center" vertical="center" wrapText="1"/>
      <protection locked="0"/>
    </xf>
    <xf numFmtId="0" fontId="0" fillId="0" borderId="132" xfId="0" applyBorder="1" applyAlignment="1" applyProtection="1">
      <alignment horizontal="center"/>
    </xf>
    <xf numFmtId="0" fontId="0" fillId="0" borderId="21" xfId="0" applyBorder="1" applyAlignment="1" applyProtection="1">
      <alignment horizontal="center"/>
    </xf>
    <xf numFmtId="0" fontId="84" fillId="0" borderId="133" xfId="0" applyFont="1" applyBorder="1" applyAlignment="1" applyProtection="1">
      <alignment horizontal="right"/>
    </xf>
    <xf numFmtId="0" fontId="123" fillId="0" borderId="133" xfId="0" applyFont="1" applyBorder="1" applyAlignment="1"/>
    <xf numFmtId="0" fontId="0" fillId="0" borderId="134" xfId="0" applyFill="1" applyBorder="1" applyAlignment="1" applyProtection="1">
      <alignment horizontal="center" vertical="center"/>
      <protection locked="0"/>
    </xf>
    <xf numFmtId="0" fontId="0" fillId="0" borderId="135" xfId="0" applyFill="1" applyBorder="1" applyAlignment="1" applyProtection="1">
      <alignment horizontal="center" vertical="center"/>
      <protection locked="0"/>
    </xf>
    <xf numFmtId="0" fontId="0" fillId="0" borderId="136" xfId="0" applyFill="1" applyBorder="1" applyAlignment="1" applyProtection="1">
      <alignment horizontal="center" vertical="center"/>
      <protection locked="0"/>
    </xf>
    <xf numFmtId="49" fontId="67" fillId="23" borderId="120" xfId="0" applyNumberFormat="1" applyFont="1" applyFill="1" applyBorder="1" applyAlignment="1" applyProtection="1">
      <alignment horizontal="center" vertical="center" wrapText="1"/>
      <protection locked="0"/>
    </xf>
    <xf numFmtId="49" fontId="67" fillId="23" borderId="121" xfId="0" applyNumberFormat="1" applyFont="1" applyFill="1" applyBorder="1" applyAlignment="1" applyProtection="1">
      <alignment horizontal="center" vertical="center" wrapText="1"/>
      <protection locked="0"/>
    </xf>
    <xf numFmtId="0" fontId="2" fillId="22" borderId="115" xfId="0" applyNumberFormat="1" applyFont="1" applyFill="1" applyBorder="1" applyAlignment="1" applyProtection="1">
      <alignment horizontal="center" vertical="center" wrapText="1"/>
      <protection locked="0"/>
    </xf>
    <xf numFmtId="0" fontId="67" fillId="22" borderId="115" xfId="0" applyNumberFormat="1" applyFont="1" applyFill="1" applyBorder="1" applyAlignment="1" applyProtection="1">
      <alignment horizontal="center" vertical="center" wrapText="1"/>
      <protection locked="0"/>
    </xf>
    <xf numFmtId="49" fontId="67" fillId="22" borderId="45" xfId="0" applyNumberFormat="1" applyFont="1" applyFill="1" applyBorder="1" applyAlignment="1" applyProtection="1">
      <alignment horizontal="center" vertical="center" wrapText="1"/>
      <protection locked="0"/>
    </xf>
    <xf numFmtId="0" fontId="0" fillId="22" borderId="27" xfId="0" applyFill="1" applyBorder="1" applyAlignment="1" applyProtection="1">
      <alignment horizontal="center"/>
    </xf>
    <xf numFmtId="0" fontId="0" fillId="22" borderId="45" xfId="0" applyFill="1" applyBorder="1" applyAlignment="1" applyProtection="1">
      <alignment horizontal="center"/>
    </xf>
    <xf numFmtId="49" fontId="14" fillId="0" borderId="104" xfId="0" applyNumberFormat="1" applyFont="1" applyBorder="1" applyAlignment="1" applyProtection="1">
      <alignment horizontal="center"/>
    </xf>
    <xf numFmtId="49" fontId="14" fillId="0" borderId="47" xfId="0" applyNumberFormat="1" applyFont="1" applyBorder="1" applyAlignment="1" applyProtection="1">
      <alignment horizontal="center"/>
    </xf>
    <xf numFmtId="0" fontId="77" fillId="0" borderId="137" xfId="0" applyFont="1" applyFill="1" applyBorder="1" applyAlignment="1" applyProtection="1">
      <alignment horizontal="center" vertical="center"/>
    </xf>
    <xf numFmtId="0" fontId="77" fillId="0" borderId="138" xfId="0" applyFont="1" applyFill="1" applyBorder="1" applyAlignment="1" applyProtection="1">
      <alignment horizontal="center" vertical="center"/>
    </xf>
    <xf numFmtId="0" fontId="77" fillId="0" borderId="139" xfId="0" applyFont="1" applyFill="1" applyBorder="1" applyAlignment="1" applyProtection="1">
      <alignment horizontal="center" vertical="center"/>
    </xf>
    <xf numFmtId="9" fontId="33" fillId="0" borderId="117" xfId="56" applyFont="1" applyFill="1" applyBorder="1" applyAlignment="1" applyProtection="1">
      <alignment horizontal="center" vertical="center"/>
    </xf>
    <xf numFmtId="9" fontId="33" fillId="0" borderId="118" xfId="56" applyFont="1" applyFill="1" applyBorder="1" applyAlignment="1" applyProtection="1">
      <alignment horizontal="center" vertical="center"/>
    </xf>
    <xf numFmtId="9" fontId="33" fillId="0" borderId="119" xfId="56" applyFont="1" applyFill="1" applyBorder="1" applyAlignment="1" applyProtection="1">
      <alignment horizontal="center" vertical="center"/>
    </xf>
    <xf numFmtId="49" fontId="2" fillId="23" borderId="120" xfId="0" applyNumberFormat="1" applyFont="1" applyFill="1" applyBorder="1" applyAlignment="1" applyProtection="1">
      <alignment horizontal="center" vertical="center" wrapText="1"/>
      <protection locked="0"/>
    </xf>
    <xf numFmtId="0" fontId="2" fillId="23" borderId="115" xfId="0" applyNumberFormat="1" applyFont="1" applyFill="1" applyBorder="1" applyAlignment="1" applyProtection="1">
      <alignment horizontal="center" vertical="center" wrapText="1"/>
      <protection locked="0"/>
    </xf>
    <xf numFmtId="0" fontId="67" fillId="23" borderId="115" xfId="0" applyNumberFormat="1" applyFont="1" applyFill="1" applyBorder="1" applyAlignment="1" applyProtection="1">
      <alignment horizontal="center" vertical="center" wrapText="1"/>
      <protection locked="0"/>
    </xf>
    <xf numFmtId="0" fontId="0" fillId="33" borderId="122" xfId="0" applyFill="1" applyBorder="1" applyAlignment="1" applyProtection="1">
      <alignment horizontal="center"/>
    </xf>
    <xf numFmtId="0" fontId="0" fillId="33" borderId="123" xfId="0" applyFill="1" applyBorder="1" applyAlignment="1" applyProtection="1">
      <alignment horizontal="center"/>
    </xf>
    <xf numFmtId="0" fontId="0" fillId="33" borderId="124" xfId="0" applyFill="1" applyBorder="1" applyAlignment="1" applyProtection="1">
      <alignment horizontal="center"/>
    </xf>
    <xf numFmtId="0" fontId="67" fillId="0" borderId="115" xfId="0" applyFont="1" applyFill="1" applyBorder="1" applyAlignment="1" applyProtection="1">
      <alignment horizontal="center" vertical="center" wrapText="1"/>
    </xf>
    <xf numFmtId="0" fontId="67" fillId="0" borderId="116" xfId="0" applyFont="1" applyFill="1" applyBorder="1" applyAlignment="1" applyProtection="1">
      <alignment horizontal="center" vertical="center" wrapText="1"/>
    </xf>
    <xf numFmtId="0" fontId="67" fillId="0" borderId="114" xfId="0" applyFont="1" applyFill="1" applyBorder="1" applyAlignment="1" applyProtection="1">
      <alignment horizontal="center" vertical="center" wrapText="1"/>
    </xf>
    <xf numFmtId="0" fontId="134" fillId="22" borderId="115" xfId="0" applyNumberFormat="1" applyFont="1" applyFill="1" applyBorder="1" applyAlignment="1" applyProtection="1">
      <alignment horizontal="center" vertical="center" wrapText="1"/>
      <protection locked="0"/>
    </xf>
    <xf numFmtId="0" fontId="134" fillId="22" borderId="45" xfId="0" applyNumberFormat="1" applyFont="1" applyFill="1" applyBorder="1" applyAlignment="1" applyProtection="1">
      <alignment horizontal="center" vertical="center" wrapText="1"/>
      <protection locked="0"/>
    </xf>
    <xf numFmtId="0" fontId="67" fillId="23" borderId="116" xfId="0" applyNumberFormat="1" applyFont="1" applyFill="1" applyBorder="1" applyAlignment="1" applyProtection="1">
      <alignment horizontal="center" vertical="center" wrapText="1"/>
      <protection locked="0"/>
    </xf>
    <xf numFmtId="49" fontId="67" fillId="23" borderId="114" xfId="0" applyNumberFormat="1" applyFont="1" applyFill="1" applyBorder="1" applyAlignment="1" applyProtection="1">
      <alignment horizontal="center" vertical="center" wrapText="1"/>
      <protection locked="0"/>
    </xf>
    <xf numFmtId="0" fontId="67" fillId="0" borderId="105" xfId="0" applyFont="1" applyFill="1" applyBorder="1" applyAlignment="1" applyProtection="1">
      <alignment horizontal="left" vertical="center" wrapText="1"/>
    </xf>
    <xf numFmtId="0" fontId="67" fillId="0" borderId="106"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25" xfId="0" applyFont="1" applyFill="1" applyBorder="1" applyAlignment="1" applyProtection="1">
      <alignment horizontal="left" vertical="center" wrapText="1"/>
    </xf>
    <xf numFmtId="0" fontId="67" fillId="0" borderId="126" xfId="0" applyFont="1" applyFill="1" applyBorder="1" applyAlignment="1" applyProtection="1">
      <alignment horizontal="left" vertical="center" wrapText="1"/>
    </xf>
    <xf numFmtId="0" fontId="67" fillId="0" borderId="127" xfId="0" applyFont="1" applyFill="1" applyBorder="1" applyAlignment="1" applyProtection="1">
      <alignment horizontal="left" vertical="center" wrapText="1"/>
    </xf>
    <xf numFmtId="49" fontId="67" fillId="23" borderId="128" xfId="0" applyNumberFormat="1" applyFont="1" applyFill="1" applyBorder="1" applyAlignment="1" applyProtection="1">
      <alignment horizontal="left" vertical="center" wrapText="1"/>
      <protection locked="0"/>
    </xf>
    <xf numFmtId="49" fontId="67" fillId="23" borderId="130" xfId="0" applyNumberFormat="1" applyFont="1" applyFill="1" applyBorder="1" applyAlignment="1" applyProtection="1">
      <alignment horizontal="left" vertical="center" wrapText="1"/>
      <protection locked="0"/>
    </xf>
    <xf numFmtId="49" fontId="67" fillId="23" borderId="26" xfId="0" applyNumberFormat="1" applyFont="1" applyFill="1" applyBorder="1" applyAlignment="1" applyProtection="1">
      <alignment horizontal="left" vertical="center" wrapText="1"/>
      <protection locked="0"/>
    </xf>
    <xf numFmtId="49" fontId="67" fillId="23" borderId="131" xfId="0" applyNumberFormat="1" applyFont="1" applyFill="1" applyBorder="1" applyAlignment="1" applyProtection="1">
      <alignment horizontal="left" vertical="center" wrapText="1"/>
      <protection locked="0"/>
    </xf>
    <xf numFmtId="0" fontId="67" fillId="27" borderId="115" xfId="0" applyFont="1" applyFill="1" applyBorder="1" applyAlignment="1" applyProtection="1">
      <alignment horizontal="center" vertical="center" wrapText="1"/>
    </xf>
    <xf numFmtId="43" fontId="106" fillId="32" borderId="0" xfId="39" applyFont="1" applyFill="1" applyAlignment="1" applyProtection="1">
      <alignment horizontal="center" vertical="center"/>
    </xf>
    <xf numFmtId="43" fontId="24" fillId="24" borderId="41" xfId="58" applyFont="1" applyFill="1" applyBorder="1" applyAlignment="1" applyProtection="1">
      <alignment horizontal="center"/>
    </xf>
    <xf numFmtId="43" fontId="33" fillId="24" borderId="0" xfId="50" applyFont="1" applyFill="1" applyAlignment="1" applyProtection="1">
      <alignment horizontal="center" vertical="center" wrapText="1"/>
    </xf>
    <xf numFmtId="173" fontId="24" fillId="24" borderId="41" xfId="58" applyNumberFormat="1" applyFont="1" applyFill="1" applyBorder="1" applyAlignment="1" applyProtection="1">
      <alignment horizontal="center" vertical="center"/>
    </xf>
    <xf numFmtId="43" fontId="1" fillId="0" borderId="41" xfId="58" applyFont="1" applyBorder="1" applyAlignment="1" applyProtection="1">
      <alignment horizontal="right"/>
    </xf>
    <xf numFmtId="43" fontId="1" fillId="0" borderId="41"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1" borderId="41" xfId="58" applyFont="1" applyFill="1" applyBorder="1" applyAlignment="1" applyProtection="1">
      <alignment horizontal="center"/>
    </xf>
    <xf numFmtId="15" fontId="24" fillId="24" borderId="41" xfId="58" applyNumberFormat="1" applyFont="1" applyFill="1" applyBorder="1" applyAlignment="1" applyProtection="1">
      <alignment horizontal="center"/>
    </xf>
    <xf numFmtId="0" fontId="0" fillId="0" borderId="41" xfId="0" applyBorder="1" applyAlignment="1"/>
    <xf numFmtId="0" fontId="34" fillId="22" borderId="27" xfId="0" applyFont="1" applyFill="1" applyBorder="1" applyAlignment="1" applyProtection="1">
      <alignment horizontal="left" wrapText="1"/>
      <protection locked="0"/>
    </xf>
    <xf numFmtId="0" fontId="0" fillId="0" borderId="44" xfId="0" applyBorder="1" applyAlignment="1" applyProtection="1">
      <alignment horizontal="left" wrapText="1"/>
      <protection locked="0"/>
    </xf>
    <xf numFmtId="0" fontId="0" fillId="0" borderId="45" xfId="0" applyBorder="1" applyAlignment="1" applyProtection="1">
      <alignment horizontal="left" wrapText="1"/>
      <protection locked="0"/>
    </xf>
    <xf numFmtId="0" fontId="118" fillId="0" borderId="152" xfId="0" applyFont="1" applyFill="1" applyBorder="1" applyAlignment="1" applyProtection="1">
      <alignment horizontal="left" wrapText="1"/>
    </xf>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0" fontId="118" fillId="0" borderId="155"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1" borderId="0" xfId="58" applyFont="1" applyFill="1" applyBorder="1" applyAlignment="1" applyProtection="1">
      <alignment horizontal="center"/>
    </xf>
    <xf numFmtId="0" fontId="111" fillId="0" borderId="0" xfId="0" applyFont="1" applyAlignment="1" applyProtection="1">
      <alignment horizontal="center"/>
    </xf>
    <xf numFmtId="43" fontId="110" fillId="0" borderId="122" xfId="0" applyNumberFormat="1" applyFont="1" applyBorder="1" applyAlignment="1" applyProtection="1">
      <alignment horizontal="center" vertical="center" wrapText="1"/>
    </xf>
    <xf numFmtId="43" fontId="110" fillId="0" borderId="123" xfId="0" applyNumberFormat="1" applyFont="1" applyBorder="1" applyAlignment="1" applyProtection="1">
      <alignment horizontal="center" vertical="center" wrapText="1"/>
    </xf>
    <xf numFmtId="43" fontId="110" fillId="0" borderId="124" xfId="0" applyNumberFormat="1" applyFont="1" applyBorder="1" applyAlignment="1" applyProtection="1">
      <alignment horizontal="center" vertical="center" wrapText="1"/>
    </xf>
    <xf numFmtId="0" fontId="0" fillId="0" borderId="156" xfId="0" applyBorder="1" applyAlignment="1" applyProtection="1">
      <alignment horizontal="center"/>
    </xf>
    <xf numFmtId="0" fontId="0" fillId="0" borderId="64" xfId="0" applyBorder="1" applyAlignment="1" applyProtection="1">
      <alignment horizontal="center"/>
    </xf>
    <xf numFmtId="0" fontId="30" fillId="22" borderId="27" xfId="0" applyFont="1" applyFill="1" applyBorder="1" applyAlignment="1" applyProtection="1">
      <alignment horizontal="left" wrapText="1"/>
      <protection locked="0"/>
    </xf>
    <xf numFmtId="0" fontId="34" fillId="22" borderId="44" xfId="0" applyFont="1" applyFill="1" applyBorder="1" applyAlignment="1" applyProtection="1">
      <alignment horizontal="left" wrapText="1"/>
      <protection locked="0"/>
    </xf>
    <xf numFmtId="0" fontId="34" fillId="22" borderId="45" xfId="0" applyFont="1" applyFill="1" applyBorder="1" applyAlignment="1" applyProtection="1">
      <alignment horizontal="left" wrapText="1"/>
      <protection locked="0"/>
    </xf>
    <xf numFmtId="0" fontId="0" fillId="0" borderId="134" xfId="0" applyFill="1" applyBorder="1" applyAlignment="1" applyProtection="1">
      <alignment horizontal="center" vertical="center"/>
    </xf>
    <xf numFmtId="0" fontId="0" fillId="0" borderId="135" xfId="0" applyFill="1" applyBorder="1" applyAlignment="1" applyProtection="1">
      <alignment horizontal="center" vertical="center"/>
    </xf>
    <xf numFmtId="0" fontId="0" fillId="0" borderId="136"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4" xfId="0" applyBorder="1" applyAlignment="1">
      <alignment horizontal="left" wrapText="1"/>
    </xf>
    <xf numFmtId="0" fontId="0" fillId="0" borderId="45" xfId="0" applyBorder="1" applyAlignment="1">
      <alignment horizontal="left" wrapText="1"/>
    </xf>
    <xf numFmtId="43" fontId="14" fillId="0" borderId="0" xfId="0" applyNumberFormat="1" applyFont="1" applyAlignment="1">
      <alignment horizontal="center"/>
    </xf>
    <xf numFmtId="0" fontId="14" fillId="0" borderId="0" xfId="0" applyFont="1" applyBorder="1" applyAlignment="1">
      <alignment horizontal="center"/>
    </xf>
    <xf numFmtId="43" fontId="28" fillId="0" borderId="0" xfId="0" applyNumberFormat="1" applyFont="1" applyAlignment="1">
      <alignment horizontal="left"/>
    </xf>
    <xf numFmtId="43" fontId="61" fillId="32" borderId="0" xfId="48" applyFont="1" applyFill="1" applyAlignment="1">
      <alignment horizontal="center" vertical="center"/>
    </xf>
    <xf numFmtId="0" fontId="111" fillId="0" borderId="0" xfId="0" applyFont="1" applyAlignment="1">
      <alignment horizontal="center"/>
    </xf>
    <xf numFmtId="0" fontId="85" fillId="0" borderId="0" xfId="0" applyFont="1" applyAlignment="1">
      <alignment horizontal="left" wrapText="1"/>
    </xf>
    <xf numFmtId="9" fontId="28" fillId="0" borderId="10" xfId="56" applyNumberFormat="1" applyFont="1" applyBorder="1" applyAlignment="1" applyProtection="1">
      <alignment horizontal="center" vertical="center" wrapText="1"/>
    </xf>
    <xf numFmtId="174" fontId="35" fillId="22" borderId="27" xfId="0" applyNumberFormat="1" applyFont="1" applyFill="1" applyBorder="1" applyAlignment="1" applyProtection="1">
      <alignment horizontal="center" vertical="center" wrapText="1"/>
      <protection locked="0"/>
    </xf>
    <xf numFmtId="0" fontId="35" fillId="22" borderId="44" xfId="0" applyFont="1" applyFill="1" applyBorder="1" applyAlignment="1" applyProtection="1">
      <alignment horizontal="center" vertical="center" wrapText="1"/>
      <protection locked="0"/>
    </xf>
    <xf numFmtId="0" fontId="35" fillId="22" borderId="45" xfId="0" applyFont="1" applyFill="1" applyBorder="1" applyAlignment="1" applyProtection="1">
      <alignment horizontal="center" vertical="center" wrapText="1"/>
      <protection locked="0"/>
    </xf>
    <xf numFmtId="0" fontId="34" fillId="0" borderId="111" xfId="0" applyFont="1" applyBorder="1" applyAlignment="1" applyProtection="1">
      <alignment horizontal="left" vertical="center"/>
    </xf>
    <xf numFmtId="174" fontId="132" fillId="0" borderId="44" xfId="0" applyNumberFormat="1" applyFont="1" applyBorder="1" applyAlignment="1">
      <alignment horizontal="center" vertical="center" wrapText="1"/>
    </xf>
    <xf numFmtId="174" fontId="132" fillId="0" borderId="45" xfId="0" applyNumberFormat="1" applyFont="1" applyBorder="1" applyAlignment="1">
      <alignment horizontal="center" vertical="center" wrapText="1"/>
    </xf>
    <xf numFmtId="0" fontId="132" fillId="0" borderId="44" xfId="0" applyFont="1" applyBorder="1" applyAlignment="1">
      <alignment horizontal="center" vertical="center" wrapText="1"/>
    </xf>
    <xf numFmtId="0" fontId="132" fillId="0" borderId="45" xfId="0" applyFont="1" applyBorder="1" applyAlignment="1">
      <alignment horizontal="center" vertical="center" wrapText="1"/>
    </xf>
    <xf numFmtId="0" fontId="28" fillId="0" borderId="10" xfId="0" applyFont="1" applyBorder="1" applyAlignment="1" applyProtection="1">
      <alignment vertical="center" wrapText="1"/>
    </xf>
    <xf numFmtId="9" fontId="37" fillId="33" borderId="27" xfId="56" applyFont="1" applyFill="1" applyBorder="1" applyAlignment="1" applyProtection="1">
      <alignment horizontal="center" vertical="center" wrapText="1"/>
    </xf>
    <xf numFmtId="9" fontId="37" fillId="33" borderId="45" xfId="56" applyFont="1" applyFill="1" applyBorder="1" applyAlignment="1" applyProtection="1">
      <alignment horizontal="center" vertical="center" wrapText="1"/>
    </xf>
    <xf numFmtId="9" fontId="37" fillId="30" borderId="27" xfId="56" applyFont="1" applyFill="1" applyBorder="1" applyAlignment="1" applyProtection="1">
      <alignment horizontal="center" vertical="center" wrapText="1"/>
    </xf>
    <xf numFmtId="9" fontId="37" fillId="30" borderId="45" xfId="56" applyFont="1" applyFill="1" applyBorder="1" applyAlignment="1" applyProtection="1">
      <alignment horizontal="center" vertical="center" wrapText="1"/>
    </xf>
    <xf numFmtId="0" fontId="33" fillId="0" borderId="106" xfId="0" applyFont="1" applyBorder="1" applyAlignment="1" applyProtection="1">
      <alignment horizontal="center"/>
    </xf>
    <xf numFmtId="0" fontId="34" fillId="0" borderId="10" xfId="0" applyFont="1" applyBorder="1" applyAlignment="1" applyProtection="1">
      <alignment horizontal="center" vertical="center" wrapText="1"/>
    </xf>
    <xf numFmtId="0" fontId="34" fillId="0" borderId="27" xfId="0" applyFont="1" applyBorder="1" applyAlignment="1" applyProtection="1">
      <alignment horizontal="center" vertical="center"/>
    </xf>
    <xf numFmtId="0" fontId="34" fillId="0" borderId="44" xfId="0" applyFont="1" applyBorder="1" applyAlignment="1" applyProtection="1">
      <alignment horizontal="center" vertical="center"/>
    </xf>
    <xf numFmtId="0" fontId="34" fillId="0" borderId="45" xfId="0" applyFont="1" applyBorder="1" applyAlignment="1" applyProtection="1">
      <alignment horizontal="center" vertical="center"/>
    </xf>
    <xf numFmtId="0" fontId="34" fillId="20" borderId="15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28" fillId="22" borderId="27" xfId="56" applyFont="1" applyFill="1" applyBorder="1" applyAlignment="1" applyProtection="1">
      <alignment horizontal="left" vertical="top" wrapText="1"/>
      <protection locked="0"/>
    </xf>
    <xf numFmtId="9" fontId="28" fillId="22" borderId="44" xfId="56" applyFont="1" applyFill="1" applyBorder="1" applyAlignment="1" applyProtection="1">
      <alignment horizontal="left" vertical="top" wrapText="1"/>
      <protection locked="0"/>
    </xf>
    <xf numFmtId="9" fontId="28" fillId="22" borderId="45" xfId="56" applyFont="1" applyFill="1" applyBorder="1" applyAlignment="1" applyProtection="1">
      <alignment horizontal="left" vertical="top" wrapText="1"/>
      <protection locked="0"/>
    </xf>
    <xf numFmtId="9" fontId="28" fillId="22" borderId="10" xfId="56" applyFont="1" applyFill="1" applyBorder="1" applyAlignment="1" applyProtection="1">
      <alignment horizontal="left" vertical="top" wrapText="1"/>
      <protection locked="0"/>
    </xf>
    <xf numFmtId="9" fontId="28" fillId="22" borderId="27" xfId="56" applyFont="1" applyFill="1" applyBorder="1" applyAlignment="1" applyProtection="1">
      <alignment horizontal="left" vertical="top" wrapText="1"/>
    </xf>
    <xf numFmtId="9" fontId="28" fillId="22" borderId="44" xfId="56" applyFont="1" applyFill="1" applyBorder="1" applyAlignment="1" applyProtection="1">
      <alignment horizontal="left" vertical="top" wrapText="1"/>
    </xf>
    <xf numFmtId="9" fontId="28" fillId="22" borderId="45" xfId="56" applyFont="1" applyFill="1" applyBorder="1" applyAlignment="1" applyProtection="1">
      <alignment horizontal="left" vertical="top" wrapText="1"/>
    </xf>
    <xf numFmtId="0" fontId="34" fillId="20" borderId="0" xfId="0" applyFont="1" applyFill="1" applyAlignment="1" applyProtection="1">
      <alignment horizontal="center" vertical="center" wrapText="1"/>
    </xf>
    <xf numFmtId="0" fontId="28" fillId="0" borderId="27" xfId="0" applyFont="1" applyBorder="1" applyAlignment="1" applyProtection="1">
      <alignment vertical="center" wrapText="1"/>
    </xf>
    <xf numFmtId="0" fontId="28" fillId="0" borderId="44" xfId="0" applyFont="1" applyBorder="1" applyAlignment="1" applyProtection="1">
      <alignment vertical="center" wrapText="1"/>
    </xf>
    <xf numFmtId="0" fontId="28" fillId="0" borderId="45" xfId="0" applyFont="1" applyBorder="1" applyAlignment="1" applyProtection="1">
      <alignment vertical="center" wrapText="1"/>
    </xf>
    <xf numFmtId="9" fontId="28" fillId="0" borderId="27" xfId="56" applyNumberFormat="1" applyFont="1" applyBorder="1" applyAlignment="1" applyProtection="1">
      <alignment horizontal="center" vertical="center" wrapText="1"/>
    </xf>
    <xf numFmtId="9" fontId="28" fillId="0" borderId="44" xfId="56" applyNumberFormat="1" applyFont="1" applyBorder="1" applyAlignment="1" applyProtection="1">
      <alignment horizontal="center" vertical="center" wrapText="1"/>
    </xf>
    <xf numFmtId="9" fontId="28" fillId="0" borderId="45" xfId="56" applyNumberFormat="1" applyFont="1" applyBorder="1" applyAlignment="1" applyProtection="1">
      <alignment horizontal="center" vertical="center" wrapText="1"/>
    </xf>
    <xf numFmtId="9" fontId="28" fillId="35" borderId="27" xfId="56" applyNumberFormat="1" applyFont="1" applyFill="1" applyBorder="1" applyAlignment="1" applyProtection="1">
      <alignment horizontal="center" vertical="center" wrapText="1"/>
    </xf>
    <xf numFmtId="9" fontId="28" fillId="35" borderId="44" xfId="56" applyNumberFormat="1" applyFont="1" applyFill="1" applyBorder="1" applyAlignment="1" applyProtection="1">
      <alignment horizontal="center" vertical="center" wrapText="1"/>
    </xf>
    <xf numFmtId="9" fontId="28" fillId="35" borderId="45" xfId="56" applyNumberFormat="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42" xfId="0" applyFont="1" applyFill="1" applyBorder="1" applyAlignment="1" applyProtection="1">
      <alignment horizontal="left"/>
      <protection locked="0"/>
    </xf>
    <xf numFmtId="0" fontId="28" fillId="0" borderId="10" xfId="0" applyFont="1" applyFill="1" applyBorder="1" applyAlignment="1" applyProtection="1">
      <alignment vertical="center" wrapText="1"/>
    </xf>
    <xf numFmtId="43" fontId="61" fillId="32" borderId="0" xfId="48" applyFont="1" applyFill="1" applyAlignment="1" applyProtection="1">
      <alignment horizontal="center" vertical="center"/>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1" borderId="0" xfId="59" applyFont="1" applyFill="1" applyBorder="1" applyAlignment="1" applyProtection="1">
      <alignment horizontal="center"/>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78" fillId="0" borderId="0" xfId="0" applyFont="1" applyFill="1" applyBorder="1" applyAlignment="1" applyProtection="1">
      <alignment horizontal="center"/>
    </xf>
    <xf numFmtId="0" fontId="78" fillId="0" borderId="177" xfId="0" applyFont="1" applyFill="1" applyBorder="1" applyAlignment="1" applyProtection="1">
      <alignment horizontal="center"/>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4" borderId="175" xfId="0" applyFont="1" applyFill="1" applyBorder="1" applyAlignment="1" applyProtection="1">
      <alignment horizontal="center" vertical="top" wrapText="1"/>
      <protection locked="0"/>
    </xf>
    <xf numFmtId="9" fontId="2" fillId="0" borderId="190" xfId="56" applyNumberFormat="1" applyFont="1" applyFill="1" applyBorder="1" applyAlignment="1" applyProtection="1">
      <alignment horizontal="left" vertical="center" wrapText="1"/>
    </xf>
    <xf numFmtId="0" fontId="2" fillId="0" borderId="179" xfId="56" applyNumberFormat="1" applyFont="1" applyFill="1" applyBorder="1" applyAlignment="1" applyProtection="1">
      <alignment horizontal="left" vertical="center" wrapText="1"/>
    </xf>
    <xf numFmtId="0" fontId="2" fillId="0" borderId="191" xfId="56" applyNumberFormat="1" applyFont="1" applyFill="1" applyBorder="1" applyAlignment="1" applyProtection="1">
      <alignment horizontal="left" vertical="center" wrapText="1"/>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60" fillId="22" borderId="207" xfId="0" applyFont="1" applyFill="1" applyBorder="1" applyAlignment="1" applyProtection="1">
      <alignment horizontal="center" vertical="center"/>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80" fillId="0" borderId="210" xfId="0" applyNumberFormat="1" applyFont="1" applyFill="1" applyBorder="1" applyAlignment="1" applyProtection="1">
      <alignment horizontal="left" vertical="center" wrapText="1"/>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2" fillId="22" borderId="163" xfId="0" applyFont="1" applyFill="1" applyBorder="1" applyAlignment="1" applyProtection="1">
      <alignment horizontal="center" vertical="top" wrapText="1"/>
      <protection locked="0"/>
    </xf>
    <xf numFmtId="0" fontId="80" fillId="0" borderId="185" xfId="0" applyNumberFormat="1" applyFont="1" applyFill="1" applyBorder="1" applyAlignment="1" applyProtection="1">
      <alignment horizontal="left" vertical="top" wrapText="1"/>
    </xf>
    <xf numFmtId="0" fontId="80" fillId="0" borderId="186"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80" fillId="0" borderId="202" xfId="0" applyNumberFormat="1" applyFont="1" applyFill="1" applyBorder="1" applyAlignment="1" applyProtection="1">
      <alignment horizontal="left" vertical="top" wrapText="1"/>
    </xf>
    <xf numFmtId="0" fontId="80" fillId="0" borderId="195" xfId="0" applyNumberFormat="1" applyFont="1" applyFill="1" applyBorder="1" applyAlignment="1" applyProtection="1">
      <alignment horizontal="left" vertical="top" wrapText="1"/>
    </xf>
    <xf numFmtId="0" fontId="2" fillId="0" borderId="190" xfId="56" applyNumberFormat="1" applyFont="1" applyFill="1" applyBorder="1" applyAlignment="1" applyProtection="1">
      <alignment horizontal="left" vertical="center" wrapText="1"/>
    </xf>
    <xf numFmtId="0" fontId="80" fillId="0" borderId="203" xfId="0" applyNumberFormat="1" applyFont="1" applyFill="1" applyBorder="1" applyAlignment="1" applyProtection="1">
      <alignment horizontal="left" vertical="top" wrapText="1"/>
    </xf>
    <xf numFmtId="0" fontId="80" fillId="0" borderId="204" xfId="0" applyNumberFormat="1" applyFont="1" applyFill="1" applyBorder="1" applyAlignment="1" applyProtection="1">
      <alignment horizontal="left" vertical="top" wrapText="1"/>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2" fillId="22" borderId="194"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0" fontId="111" fillId="0" borderId="0" xfId="0" applyFont="1" applyBorder="1" applyAlignment="1" applyProtection="1">
      <alignment horizontal="center"/>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49" fontId="2" fillId="25" borderId="189" xfId="0" applyNumberFormat="1" applyFont="1" applyFill="1" applyBorder="1" applyAlignment="1" applyProtection="1">
      <alignment horizontal="center" vertical="center"/>
      <protection locked="0"/>
    </xf>
    <xf numFmtId="0" fontId="125" fillId="24" borderId="196" xfId="0" applyFont="1" applyFill="1" applyBorder="1" applyAlignment="1" applyProtection="1">
      <alignment horizontal="center" vertical="center"/>
    </xf>
    <xf numFmtId="0" fontId="125" fillId="24" borderId="197" xfId="0" applyFont="1" applyFill="1" applyBorder="1" applyAlignment="1" applyProtection="1">
      <alignment horizontal="center" vertical="center"/>
    </xf>
    <xf numFmtId="0" fontId="0" fillId="0" borderId="197" xfId="0" applyBorder="1" applyAlignment="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125" fillId="24" borderId="200"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60" fillId="25" borderId="166" xfId="0" applyFont="1" applyFill="1" applyBorder="1" applyAlignment="1" applyProtection="1">
      <alignment horizontal="center" vertical="center"/>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2" fillId="24" borderId="172" xfId="0" applyFont="1" applyFill="1" applyBorder="1" applyAlignment="1" applyProtection="1">
      <alignment horizontal="center" vertical="top" wrapText="1"/>
      <protection locked="0"/>
    </xf>
    <xf numFmtId="0" fontId="78" fillId="0" borderId="176" xfId="0" applyFont="1" applyFill="1" applyBorder="1" applyAlignment="1" applyProtection="1">
      <alignment horizontal="center"/>
    </xf>
    <xf numFmtId="49" fontId="2" fillId="25" borderId="181"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2" xfId="0" applyNumberFormat="1" applyFont="1" applyFill="1" applyBorder="1" applyAlignment="1" applyProtection="1">
      <alignment horizontal="center" vertical="center"/>
      <protection locked="0"/>
    </xf>
    <xf numFmtId="0" fontId="80" fillId="0" borderId="183" xfId="0" applyNumberFormat="1" applyFont="1" applyFill="1" applyBorder="1" applyAlignment="1" applyProtection="1">
      <alignment horizontal="left" vertical="top" wrapText="1"/>
    </xf>
    <xf numFmtId="0" fontId="80" fillId="0" borderId="184" xfId="0" applyNumberFormat="1" applyFont="1" applyFill="1" applyBorder="1" applyAlignment="1" applyProtection="1">
      <alignment horizontal="left" vertical="top" wrapText="1"/>
    </xf>
    <xf numFmtId="0" fontId="21" fillId="0" borderId="217" xfId="0" applyFont="1" applyBorder="1" applyAlignment="1" applyProtection="1">
      <alignment horizontal="left"/>
      <protection locked="0"/>
    </xf>
    <xf numFmtId="0" fontId="21" fillId="0" borderId="218"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38" xfId="0" applyFont="1" applyBorder="1" applyAlignment="1" applyProtection="1">
      <alignment horizontal="left"/>
      <protection locked="0"/>
    </xf>
    <xf numFmtId="0" fontId="21" fillId="0" borderId="37"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1" xfId="53" applyNumberFormat="1" applyFont="1" applyFill="1" applyBorder="1" applyAlignment="1">
      <alignment horizontal="center" vertical="center" wrapText="1"/>
    </xf>
    <xf numFmtId="0" fontId="21" fillId="0" borderId="217" xfId="0" applyFont="1" applyFill="1" applyBorder="1" applyAlignment="1" applyProtection="1">
      <alignment horizontal="left"/>
      <protection locked="0"/>
    </xf>
    <xf numFmtId="0" fontId="21" fillId="0" borderId="218"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238" xfId="0" applyFont="1" applyFill="1" applyBorder="1" applyAlignment="1" applyProtection="1">
      <alignment horizontal="left"/>
      <protection locked="0"/>
    </xf>
    <xf numFmtId="43" fontId="15" fillId="31" borderId="0" xfId="60" applyFont="1" applyFill="1" applyBorder="1" applyAlignment="1" applyProtection="1">
      <alignment horizontal="center"/>
      <protection locked="0"/>
    </xf>
    <xf numFmtId="0" fontId="21" fillId="0" borderId="37"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0" fontId="21" fillId="0" borderId="216" xfId="0" applyFont="1" applyBorder="1" applyAlignment="1" applyProtection="1">
      <alignment horizontal="left"/>
      <protection locked="0"/>
    </xf>
    <xf numFmtId="0" fontId="21" fillId="0" borderId="235" xfId="0" applyFont="1" applyFill="1" applyBorder="1" applyAlignment="1" applyProtection="1">
      <alignment horizontal="left"/>
      <protection locked="0"/>
    </xf>
    <xf numFmtId="0" fontId="21" fillId="0" borderId="179"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99" fillId="21" borderId="225" xfId="0" applyFont="1" applyFill="1" applyBorder="1" applyAlignment="1">
      <alignment horizontal="center" vertical="center" textRotation="90"/>
    </xf>
    <xf numFmtId="0" fontId="0" fillId="21" borderId="89" xfId="0" applyFill="1" applyBorder="1" applyAlignment="1">
      <alignment horizontal="center" vertical="center" textRotation="90"/>
    </xf>
    <xf numFmtId="0" fontId="0" fillId="21" borderId="109" xfId="0" applyFill="1" applyBorder="1" applyAlignment="1">
      <alignment horizontal="center" vertical="center" textRotation="90"/>
    </xf>
    <xf numFmtId="17" fontId="21" fillId="0" borderId="37" xfId="0" applyNumberFormat="1" applyFont="1" applyFill="1" applyBorder="1" applyAlignment="1" applyProtection="1">
      <alignment horizontal="left"/>
      <protection locked="0"/>
    </xf>
    <xf numFmtId="0" fontId="21" fillId="0" borderId="179" xfId="0" applyFont="1" applyFill="1" applyBorder="1" applyAlignment="1" applyProtection="1">
      <alignment horizontal="left" vertical="center" wrapText="1"/>
      <protection locked="0"/>
    </xf>
    <xf numFmtId="0" fontId="21" fillId="0" borderId="212" xfId="0" applyFont="1" applyFill="1" applyBorder="1" applyAlignment="1" applyProtection="1">
      <alignment horizontal="left" vertical="center" wrapText="1"/>
      <protection locked="0"/>
    </xf>
    <xf numFmtId="0" fontId="21" fillId="0" borderId="215" xfId="0" applyFont="1" applyFill="1" applyBorder="1" applyAlignment="1" applyProtection="1">
      <alignment horizontal="left"/>
      <protection locked="0"/>
    </xf>
    <xf numFmtId="0" fontId="21" fillId="0" borderId="216" xfId="0" applyFont="1" applyFill="1" applyBorder="1" applyAlignment="1" applyProtection="1">
      <alignment horizontal="left"/>
      <protection locked="0"/>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77" fillId="21" borderId="228" xfId="53" applyNumberFormat="1" applyFont="1" applyFill="1" applyBorder="1" applyAlignment="1">
      <alignment horizontal="center" vertical="center" wrapText="1"/>
    </xf>
    <xf numFmtId="0" fontId="21" fillId="0" borderId="216" xfId="0" applyFont="1" applyFill="1" applyBorder="1" applyAlignment="1" applyProtection="1">
      <alignment horizontal="left" wrapText="1"/>
      <protection locked="0"/>
    </xf>
    <xf numFmtId="0" fontId="0" fillId="22" borderId="112" xfId="0" applyFill="1" applyBorder="1" applyAlignment="1" applyProtection="1">
      <alignment horizontal="center"/>
      <protection locked="0"/>
    </xf>
    <xf numFmtId="0" fontId="0" fillId="22" borderId="111" xfId="0" applyFill="1" applyBorder="1" applyAlignment="1" applyProtection="1">
      <alignment horizontal="center"/>
      <protection locked="0"/>
    </xf>
    <xf numFmtId="0" fontId="0" fillId="22" borderId="113" xfId="0" applyFill="1" applyBorder="1" applyAlignment="1" applyProtection="1">
      <alignment horizontal="center"/>
      <protection locked="0"/>
    </xf>
    <xf numFmtId="0" fontId="0" fillId="22" borderId="66" xfId="0" applyFill="1" applyBorder="1" applyAlignment="1" applyProtection="1">
      <alignment horizontal="center"/>
      <protection locked="0"/>
    </xf>
    <xf numFmtId="0" fontId="0" fillId="22" borderId="106" xfId="0" applyFill="1" applyBorder="1" applyAlignment="1" applyProtection="1">
      <alignment horizontal="center"/>
      <protection locked="0"/>
    </xf>
    <xf numFmtId="0" fontId="0" fillId="22" borderId="108" xfId="0" applyFill="1" applyBorder="1" applyAlignment="1" applyProtection="1">
      <alignment horizontal="center"/>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21" fillId="0" borderId="188" xfId="0" applyFont="1" applyFill="1" applyBorder="1" applyAlignment="1" applyProtection="1">
      <alignment horizontal="left" vertical="top" wrapText="1"/>
      <protection locked="0"/>
    </xf>
    <xf numFmtId="0" fontId="21" fillId="0" borderId="223" xfId="0" applyFont="1" applyFill="1" applyBorder="1" applyAlignment="1" applyProtection="1">
      <alignment horizontal="left" vertical="top" wrapText="1"/>
      <protection locked="0"/>
    </xf>
    <xf numFmtId="0" fontId="77" fillId="21" borderId="224" xfId="53" applyNumberFormat="1" applyFont="1" applyFill="1" applyBorder="1" applyAlignment="1">
      <alignment horizontal="center" vertical="center" wrapText="1"/>
    </xf>
    <xf numFmtId="0" fontId="33" fillId="0" borderId="0" xfId="0" applyFont="1" applyAlignment="1">
      <alignment horizontal="center"/>
    </xf>
    <xf numFmtId="0" fontId="21" fillId="0" borderId="229" xfId="0" applyFont="1" applyFill="1" applyBorder="1" applyAlignment="1" applyProtection="1">
      <alignment horizontal="left"/>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4" xfId="0" applyFont="1" applyFill="1" applyBorder="1" applyAlignment="1" applyProtection="1">
      <alignment horizontal="left" vertical="top" wrapText="1"/>
      <protection locked="0"/>
    </xf>
    <xf numFmtId="0" fontId="21" fillId="0" borderId="236"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14" xfId="0" applyFont="1" applyFill="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13"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vertical="center" wrapText="1"/>
      <protection locked="0"/>
    </xf>
    <xf numFmtId="0" fontId="21" fillId="0" borderId="215" xfId="0" applyFont="1" applyBorder="1" applyAlignment="1" applyProtection="1">
      <alignment horizontal="left"/>
      <protection locked="0"/>
    </xf>
    <xf numFmtId="43" fontId="17" fillId="32" borderId="0" xfId="39" applyFont="1" applyFill="1" applyAlignment="1">
      <alignment horizontal="center" vertical="center"/>
    </xf>
  </cellXfs>
  <cellStyles count="64">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Comma 2" xfId="6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39">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9"/>
          <c:y val="5.2401746724890799E-2"/>
          <c:w val="0.80996068152031397"/>
          <c:h val="0.64192139737991305"/>
        </c:manualLayout>
      </c:layout>
      <c:barChart>
        <c:barDir val="col"/>
        <c:grouping val="clustered"/>
        <c:varyColors val="0"/>
        <c:ser>
          <c:idx val="0"/>
          <c:order val="0"/>
          <c:tx>
            <c:strRef>
              <c:f>'Data Entry'!$B$33</c:f>
              <c:strCache>
                <c:ptCount val="1"/>
                <c:pt idx="0">
                  <c:v>Cumulative budget</c:v>
                </c:pt>
              </c:strCache>
            </c:strRef>
          </c:tx>
          <c:spPr>
            <a:solidFill>
              <a:srgbClr val="993366"/>
            </a:solidFill>
            <a:ln w="3175">
              <a:solidFill>
                <a:srgbClr val="000000"/>
              </a:solidFill>
              <a:prstDash val="solid"/>
            </a:ln>
            <a:effectLst>
              <a:outerShdw dist="35921" dir="2700000" algn="br">
                <a:srgbClr val="000000"/>
              </a:outerShdw>
            </a:effectLst>
          </c:spPr>
          <c:invertIfNegative val="0"/>
          <c:val>
            <c:numRef>
              <c:f>'Data Entry'!$C$33:$N$33</c:f>
              <c:numCache>
                <c:formatCode>#,##0</c:formatCode>
                <c:ptCount val="12"/>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pt idx="11">
                  <c:v>18462163.180236608</c:v>
                </c:pt>
              </c:numCache>
            </c:numRef>
          </c:val>
          <c:extLst xmlns:c16r2="http://schemas.microsoft.com/office/drawing/2015/06/chart">
            <c:ext xmlns:c16="http://schemas.microsoft.com/office/drawing/2014/chart" uri="{C3380CC4-5D6E-409C-BE32-E72D297353CC}">
              <c16:uniqueId val="{00000000-0DC2-43CE-95C1-C49145B7D56D}"/>
            </c:ext>
          </c:extLst>
        </c:ser>
        <c:ser>
          <c:idx val="1"/>
          <c:order val="1"/>
          <c:tx>
            <c:strRef>
              <c:f>'Data Entry'!$B$34</c:f>
              <c:strCache>
                <c:ptCount val="1"/>
                <c:pt idx="0">
                  <c:v>Cumulative disbursements</c:v>
                </c:pt>
              </c:strCache>
            </c:strRef>
          </c:tx>
          <c:spPr>
            <a:solidFill>
              <a:srgbClr val="0070C0"/>
            </a:solidFill>
            <a:ln w="3175">
              <a:solidFill>
                <a:srgbClr val="000000"/>
              </a:solidFill>
              <a:prstDash val="solid"/>
            </a:ln>
            <a:effectLst>
              <a:outerShdw dist="35921" dir="2700000" algn="br">
                <a:srgbClr val="000000"/>
              </a:outerShdw>
            </a:effectLst>
          </c:spPr>
          <c:invertIfNegative val="0"/>
          <c:val>
            <c:numRef>
              <c:f>'Data Entry'!$C$34:$N$34</c:f>
              <c:numCache>
                <c:formatCode>#,##0</c:formatCode>
                <c:ptCount val="12"/>
                <c:pt idx="0">
                  <c:v>1912231.72</c:v>
                </c:pt>
                <c:pt idx="1">
                  <c:v>3975781.24</c:v>
                </c:pt>
                <c:pt idx="2">
                  <c:v>5225295.17</c:v>
                </c:pt>
                <c:pt idx="3">
                  <c:v>7544332.8900000006</c:v>
                </c:pt>
                <c:pt idx="4">
                  <c:v>8193411.8400000008</c:v>
                </c:pt>
                <c:pt idx="5">
                  <c:v>9443642.0300000012</c:v>
                </c:pt>
                <c:pt idx="6">
                  <c:v>10252237.880000001</c:v>
                </c:pt>
                <c:pt idx="7">
                  <c:v>10252237.880000001</c:v>
                </c:pt>
                <c:pt idx="8">
                  <c:v>10252237.880000001</c:v>
                </c:pt>
                <c:pt idx="9">
                  <c:v>10252237.880000001</c:v>
                </c:pt>
                <c:pt idx="10">
                  <c:v>10252237.880000001</c:v>
                </c:pt>
                <c:pt idx="11">
                  <c:v>10252237.880000001</c:v>
                </c:pt>
              </c:numCache>
            </c:numRef>
          </c:val>
          <c:extLst xmlns:c16r2="http://schemas.microsoft.com/office/drawing/2015/06/chart">
            <c:ext xmlns:c16="http://schemas.microsoft.com/office/drawing/2014/chart" uri="{C3380CC4-5D6E-409C-BE32-E72D297353CC}">
              <c16:uniqueId val="{00000001-0DC2-43CE-95C1-C49145B7D56D}"/>
            </c:ext>
          </c:extLst>
        </c:ser>
        <c:dLbls>
          <c:showLegendKey val="0"/>
          <c:showVal val="0"/>
          <c:showCatName val="0"/>
          <c:showSerName val="0"/>
          <c:showPercent val="0"/>
          <c:showBubbleSize val="0"/>
        </c:dLbls>
        <c:gapWidth val="70"/>
        <c:axId val="186166784"/>
        <c:axId val="133205952"/>
      </c:barChart>
      <c:catAx>
        <c:axId val="18616678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en-US"/>
                  <a:t>Reporting Period</a:t>
                </a:r>
              </a:p>
            </c:rich>
          </c:tx>
          <c:layout>
            <c:manualLayout>
              <c:xMode val="edge"/>
              <c:yMode val="edge"/>
              <c:x val="0.48066290143051499"/>
              <c:y val="0.786956412107875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33205952"/>
        <c:crosses val="autoZero"/>
        <c:auto val="1"/>
        <c:lblAlgn val="ctr"/>
        <c:lblOffset val="100"/>
        <c:tickLblSkip val="1"/>
        <c:tickMarkSkip val="1"/>
        <c:noMultiLvlLbl val="0"/>
      </c:catAx>
      <c:valAx>
        <c:axId val="13320595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8616678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0" b="0" i="0" u="none" strike="noStrike" baseline="0">
                <a:solidFill>
                  <a:srgbClr val="000000"/>
                </a:solidFill>
                <a:latin typeface="Arial"/>
                <a:ea typeface="Arial"/>
                <a:cs typeface="Arial"/>
              </a:defRPr>
            </a:pPr>
            <a:endParaRPr lang="en-US"/>
          </a:p>
        </c:txPr>
      </c:legendEntry>
      <c:legendEntry>
        <c:idx val="1"/>
        <c:txPr>
          <a:bodyPr/>
          <a:lstStyle/>
          <a:p>
            <a:pPr>
              <a:defRPr sz="570" b="0" i="0" u="none" strike="noStrike" baseline="0">
                <a:solidFill>
                  <a:srgbClr val="000000"/>
                </a:solidFill>
                <a:latin typeface="Arial"/>
                <a:ea typeface="Arial"/>
                <a:cs typeface="Arial"/>
              </a:defRPr>
            </a:pPr>
            <a:endParaRPr lang="en-US"/>
          </a:p>
        </c:txPr>
      </c:legendEntry>
      <c:layout>
        <c:manualLayout>
          <c:xMode val="edge"/>
          <c:yMode val="edge"/>
          <c:x val="0.158059945372654"/>
          <c:y val="0.84798378619363501"/>
          <c:w val="0.73558666884965795"/>
          <c:h val="0.105266952768865"/>
        </c:manualLayout>
      </c:layout>
      <c:overlay val="0"/>
      <c:spPr>
        <a:solidFill>
          <a:srgbClr val="FFFFFF"/>
        </a:solidFill>
        <a:ln w="3175">
          <a:solidFill>
            <a:srgbClr val="000000"/>
          </a:solidFill>
          <a:prstDash val="solid"/>
        </a:ln>
      </c:spPr>
      <c:txPr>
        <a:bodyPr/>
        <a:lstStyle/>
        <a:p>
          <a:pPr>
            <a:defRPr sz="40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Entry'!$G$122</c:f>
              <c:strCache>
                <c:ptCount val="1"/>
                <c:pt idx="0">
                  <c:v>Target</c:v>
                </c:pt>
              </c:strCache>
            </c:strRef>
          </c:tx>
          <c:spPr>
            <a:solidFill>
              <a:srgbClr val="0066CC"/>
            </a:solidFill>
            <a:ln w="25400">
              <a:noFill/>
            </a:ln>
          </c:spPr>
          <c:invertIfNegative val="0"/>
          <c:val>
            <c:numRef>
              <c:f>'Data Entry'!$H$122:$S$122</c:f>
              <c:numCache>
                <c:formatCode>_(* #,##0_);_(* \(#,##0\);_(* "-"??_);_(@_)</c:formatCode>
                <c:ptCount val="12"/>
                <c:pt idx="0">
                  <c:v>4000</c:v>
                </c:pt>
                <c:pt idx="1">
                  <c:v>4000</c:v>
                </c:pt>
                <c:pt idx="2" formatCode="#,##0">
                  <c:v>4550</c:v>
                </c:pt>
                <c:pt idx="3" formatCode="#,##0">
                  <c:v>4550</c:v>
                </c:pt>
                <c:pt idx="4" formatCode="#,##0">
                  <c:v>4550</c:v>
                </c:pt>
                <c:pt idx="5" formatCode="#,##0">
                  <c:v>4550</c:v>
                </c:pt>
                <c:pt idx="6" formatCode="#,##0">
                  <c:v>5100</c:v>
                </c:pt>
              </c:numCache>
            </c:numRef>
          </c:val>
          <c:extLst xmlns:c16r2="http://schemas.microsoft.com/office/drawing/2015/06/chart">
            <c:ext xmlns:c16="http://schemas.microsoft.com/office/drawing/2014/chart" uri="{C3380CC4-5D6E-409C-BE32-E72D297353CC}">
              <c16:uniqueId val="{00000000-9988-4901-B1D9-331495B7A130}"/>
            </c:ext>
          </c:extLst>
        </c:ser>
        <c:ser>
          <c:idx val="1"/>
          <c:order val="1"/>
          <c:tx>
            <c:strRef>
              <c:f>'Data Entry'!$G$123</c:f>
              <c:strCache>
                <c:ptCount val="1"/>
                <c:pt idx="0">
                  <c:v>Achieved </c:v>
                </c:pt>
              </c:strCache>
            </c:strRef>
          </c:tx>
          <c:spPr>
            <a:solidFill>
              <a:srgbClr val="00CCFF"/>
            </a:solidFill>
            <a:ln w="12700">
              <a:solidFill>
                <a:srgbClr val="000000"/>
              </a:solidFill>
              <a:prstDash val="solid"/>
            </a:ln>
          </c:spPr>
          <c:invertIfNegative val="0"/>
          <c:val>
            <c:numRef>
              <c:f>'Data Entry'!$H$123:$S$123</c:f>
              <c:numCache>
                <c:formatCode>_(* #,##0_);_(* \(#,##0\);_(* "-"??_);_(@_)</c:formatCode>
                <c:ptCount val="12"/>
                <c:pt idx="0">
                  <c:v>3518</c:v>
                </c:pt>
                <c:pt idx="1">
                  <c:v>3638</c:v>
                </c:pt>
                <c:pt idx="2" formatCode="#,##0">
                  <c:v>3786</c:v>
                </c:pt>
                <c:pt idx="3" formatCode="#,##0">
                  <c:v>3899</c:v>
                </c:pt>
                <c:pt idx="4" formatCode="#,##0">
                  <c:v>4100</c:v>
                </c:pt>
                <c:pt idx="5" formatCode="#,##0">
                  <c:v>4144</c:v>
                </c:pt>
                <c:pt idx="6" formatCode="#,##0">
                  <c:v>4260</c:v>
                </c:pt>
              </c:numCache>
            </c:numRef>
          </c:val>
          <c:extLst xmlns:c16r2="http://schemas.microsoft.com/office/drawing/2015/06/chart">
            <c:ext xmlns:c16="http://schemas.microsoft.com/office/drawing/2014/chart" uri="{C3380CC4-5D6E-409C-BE32-E72D297353CC}">
              <c16:uniqueId val="{00000001-9988-4901-B1D9-331495B7A130}"/>
            </c:ext>
          </c:extLst>
        </c:ser>
        <c:dLbls>
          <c:showLegendKey val="0"/>
          <c:showVal val="0"/>
          <c:showCatName val="0"/>
          <c:showSerName val="0"/>
          <c:showPercent val="0"/>
          <c:showBubbleSize val="0"/>
        </c:dLbls>
        <c:gapWidth val="150"/>
        <c:axId val="186904576"/>
        <c:axId val="186941440"/>
      </c:barChart>
      <c:catAx>
        <c:axId val="18690457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6941440"/>
        <c:crosses val="autoZero"/>
        <c:auto val="1"/>
        <c:lblAlgn val="ctr"/>
        <c:lblOffset val="100"/>
        <c:tickLblSkip val="1"/>
        <c:tickMarkSkip val="1"/>
        <c:noMultiLvlLbl val="0"/>
      </c:catAx>
      <c:valAx>
        <c:axId val="186941440"/>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6904576"/>
        <c:crosses val="autoZero"/>
        <c:crossBetween val="between"/>
      </c:valAx>
      <c:spPr>
        <a:noFill/>
        <a:ln w="25400">
          <a:noFill/>
        </a:ln>
      </c:spPr>
    </c:plotArea>
    <c:legend>
      <c:legendPos val="r"/>
      <c:layout>
        <c:manualLayout>
          <c:xMode val="edge"/>
          <c:yMode val="edge"/>
          <c:x val="0.20446743835849701"/>
          <c:y val="0.88409189195345494"/>
          <c:w val="0.48700426227205701"/>
          <c:h val="7.971320337285249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Entry'!$G$118</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Entry'!$H$118:$S$118</c:f>
              <c:numCache>
                <c:formatCode>_(* #,##0_);_(* \(#,##0\);_(* "-"??_);_(@_)</c:formatCode>
                <c:ptCount val="12"/>
                <c:pt idx="0">
                  <c:v>25347</c:v>
                </c:pt>
                <c:pt idx="1">
                  <c:v>25347</c:v>
                </c:pt>
                <c:pt idx="2" formatCode="#,##0">
                  <c:v>6958</c:v>
                </c:pt>
                <c:pt idx="3" formatCode="#,##0">
                  <c:v>13916</c:v>
                </c:pt>
                <c:pt idx="4" formatCode="#,##0">
                  <c:v>20874</c:v>
                </c:pt>
                <c:pt idx="5" formatCode="#,##0">
                  <c:v>27832</c:v>
                </c:pt>
                <c:pt idx="6" formatCode="#,##0">
                  <c:v>7875</c:v>
                </c:pt>
              </c:numCache>
            </c:numRef>
          </c:val>
          <c:extLst xmlns:c16r2="http://schemas.microsoft.com/office/drawing/2015/06/chart">
            <c:ext xmlns:c16="http://schemas.microsoft.com/office/drawing/2014/chart" uri="{C3380CC4-5D6E-409C-BE32-E72D297353CC}">
              <c16:uniqueId val="{00000000-3D57-445C-8E51-0A45B747288A}"/>
            </c:ext>
          </c:extLst>
        </c:ser>
        <c:ser>
          <c:idx val="1"/>
          <c:order val="1"/>
          <c:tx>
            <c:strRef>
              <c:f>'Data Entry'!$G$119</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Entry'!$H$119:$S$119</c:f>
              <c:numCache>
                <c:formatCode>_(* #,##0_);_(* \(#,##0\);_(* "-"??_);_(@_)</c:formatCode>
                <c:ptCount val="12"/>
                <c:pt idx="0">
                  <c:v>22099</c:v>
                </c:pt>
                <c:pt idx="1">
                  <c:v>28279</c:v>
                </c:pt>
                <c:pt idx="2" formatCode="#,##0">
                  <c:v>7219</c:v>
                </c:pt>
                <c:pt idx="3" formatCode="#,##0">
                  <c:v>16129</c:v>
                </c:pt>
                <c:pt idx="4" formatCode="#,##0">
                  <c:v>18626</c:v>
                </c:pt>
                <c:pt idx="5" formatCode="#,##0">
                  <c:v>26294</c:v>
                </c:pt>
                <c:pt idx="6" formatCode="#,##0">
                  <c:v>5762</c:v>
                </c:pt>
              </c:numCache>
            </c:numRef>
          </c:val>
          <c:extLst xmlns:c16r2="http://schemas.microsoft.com/office/drawing/2015/06/chart">
            <c:ext xmlns:c16="http://schemas.microsoft.com/office/drawing/2014/chart" uri="{C3380CC4-5D6E-409C-BE32-E72D297353CC}">
              <c16:uniqueId val="{00000001-3D57-445C-8E51-0A45B747288A}"/>
            </c:ext>
          </c:extLst>
        </c:ser>
        <c:dLbls>
          <c:showLegendKey val="0"/>
          <c:showVal val="0"/>
          <c:showCatName val="0"/>
          <c:showSerName val="0"/>
          <c:showPercent val="0"/>
          <c:showBubbleSize val="0"/>
        </c:dLbls>
        <c:gapWidth val="150"/>
        <c:axId val="186905600"/>
        <c:axId val="186943168"/>
      </c:barChart>
      <c:catAx>
        <c:axId val="18690560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6943168"/>
        <c:crosses val="autoZero"/>
        <c:auto val="1"/>
        <c:lblAlgn val="ctr"/>
        <c:lblOffset val="100"/>
        <c:tickLblSkip val="1"/>
        <c:tickMarkSkip val="1"/>
        <c:noMultiLvlLbl val="0"/>
      </c:catAx>
      <c:valAx>
        <c:axId val="186943168"/>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6905600"/>
        <c:crosses val="autoZero"/>
        <c:crossBetween val="between"/>
      </c:valAx>
      <c:spPr>
        <a:noFill/>
        <a:ln w="25400">
          <a:noFill/>
        </a:ln>
      </c:spPr>
    </c:plotArea>
    <c:legend>
      <c:legendPos val="r"/>
      <c:layout>
        <c:manualLayout>
          <c:xMode val="edge"/>
          <c:yMode val="edge"/>
          <c:x val="0.2122516397491"/>
          <c:y val="0.872371202077866"/>
          <c:w val="0.48981147634407701"/>
          <c:h val="7.80169367711913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'Data Entry'!$B$33</c:f>
              <c:strCache>
                <c:ptCount val="1"/>
                <c:pt idx="0">
                  <c:v>Cumulative budget</c:v>
                </c:pt>
              </c:strCache>
            </c:strRef>
          </c:tx>
          <c:spPr>
            <a:solidFill>
              <a:srgbClr val="339966"/>
            </a:solidFill>
            <a:ln w="12700">
              <a:solidFill>
                <a:srgbClr val="0000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Entry'!$C$33:$M$33</c:f>
              <c:numCache>
                <c:formatCode>#,##0</c:formatCode>
                <c:ptCount val="11"/>
                <c:pt idx="0">
                  <c:v>2566060.5206649359</c:v>
                </c:pt>
                <c:pt idx="1">
                  <c:v>4646843.1347466186</c:v>
                </c:pt>
                <c:pt idx="2">
                  <c:v>5841166.7527098218</c:v>
                </c:pt>
                <c:pt idx="3">
                  <c:v>8533857.4914229065</c:v>
                </c:pt>
                <c:pt idx="4">
                  <c:v>10616920.462281961</c:v>
                </c:pt>
                <c:pt idx="5">
                  <c:v>11729306.295075934</c:v>
                </c:pt>
                <c:pt idx="6">
                  <c:v>12586931.141044986</c:v>
                </c:pt>
                <c:pt idx="7">
                  <c:v>14654522.548132703</c:v>
                </c:pt>
                <c:pt idx="8">
                  <c:v>15755950.183497394</c:v>
                </c:pt>
                <c:pt idx="9">
                  <c:v>16616417.075495232</c:v>
                </c:pt>
                <c:pt idx="10">
                  <c:v>17643193.421591055</c:v>
                </c:pt>
              </c:numCache>
            </c:numRef>
          </c:val>
          <c:extLst xmlns:c16r2="http://schemas.microsoft.com/office/drawing/2015/06/chart">
            <c:ext xmlns:c16="http://schemas.microsoft.com/office/drawing/2014/chart" uri="{C3380CC4-5D6E-409C-BE32-E72D297353CC}">
              <c16:uniqueId val="{00000000-0EF8-43C9-A3B4-3B4729C25690}"/>
            </c:ext>
          </c:extLst>
        </c:ser>
        <c:ser>
          <c:idx val="1"/>
          <c:order val="1"/>
          <c:tx>
            <c:strRef>
              <c:f>'Data Entry'!$B$34</c:f>
              <c:strCache>
                <c:ptCount val="1"/>
                <c:pt idx="0">
                  <c:v>Cumulative disbursements</c:v>
                </c:pt>
              </c:strCache>
            </c:strRef>
          </c:tx>
          <c:spPr>
            <a:gradFill rotWithShape="0">
              <a:gsLst>
                <a:gs pos="0">
                  <a:srgbClr val="CCFFCC"/>
                </a:gs>
                <a:gs pos="100000">
                  <a:srgbClr val="E3FFE3"/>
                </a:gs>
              </a:gsLst>
              <a:lin ang="5400000" scaled="1"/>
            </a:gradFill>
            <a:ln w="12700">
              <a:solidFill>
                <a:srgbClr val="FFCC00"/>
              </a:solidFill>
              <a:prstDash val="solid"/>
            </a:ln>
          </c:spPr>
          <c:cat>
            <c:strRef>
              <c:f>'Data Entry'!$C$30:$M$30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'Data Entry'!$C$34:$M$34</c:f>
              <c:numCache>
                <c:formatCode>#,##0</c:formatCode>
                <c:ptCount val="11"/>
                <c:pt idx="0">
                  <c:v>1912231.72</c:v>
                </c:pt>
                <c:pt idx="1">
                  <c:v>3975781.24</c:v>
                </c:pt>
                <c:pt idx="2">
                  <c:v>5225295.17</c:v>
                </c:pt>
                <c:pt idx="3">
                  <c:v>7544332.8900000006</c:v>
                </c:pt>
                <c:pt idx="4">
                  <c:v>8193411.8400000008</c:v>
                </c:pt>
                <c:pt idx="5">
                  <c:v>9443642.0300000012</c:v>
                </c:pt>
                <c:pt idx="6">
                  <c:v>10252237.880000001</c:v>
                </c:pt>
                <c:pt idx="7">
                  <c:v>10252237.880000001</c:v>
                </c:pt>
                <c:pt idx="8">
                  <c:v>10252237.880000001</c:v>
                </c:pt>
                <c:pt idx="9">
                  <c:v>10252237.880000001</c:v>
                </c:pt>
                <c:pt idx="10">
                  <c:v>10252237.880000001</c:v>
                </c:pt>
              </c:numCache>
            </c:numRef>
          </c:val>
          <c:extLst xmlns:c16r2="http://schemas.microsoft.com/office/drawing/2015/06/chart">
            <c:ext xmlns:c16="http://schemas.microsoft.com/office/drawing/2014/chart" uri="{C3380CC4-5D6E-409C-BE32-E72D297353CC}">
              <c16:uniqueId val="{00000001-0EF8-43C9-A3B4-3B4729C25690}"/>
            </c:ext>
          </c:extLst>
        </c:ser>
        <c:dLbls>
          <c:showLegendKey val="0"/>
          <c:showVal val="0"/>
          <c:showCatName val="0"/>
          <c:showSerName val="0"/>
          <c:showPercent val="0"/>
          <c:showBubbleSize val="0"/>
        </c:dLbls>
        <c:dropLines>
          <c:spPr>
            <a:ln w="3175">
              <a:solidFill>
                <a:srgbClr val="000000"/>
              </a:solidFill>
              <a:prstDash val="solid"/>
            </a:ln>
          </c:spPr>
        </c:dropLines>
        <c:axId val="187590144"/>
        <c:axId val="186945472"/>
      </c:areaChart>
      <c:catAx>
        <c:axId val="187590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86945472"/>
        <c:crosses val="autoZero"/>
        <c:auto val="1"/>
        <c:lblAlgn val="ctr"/>
        <c:lblOffset val="100"/>
        <c:tickLblSkip val="8"/>
        <c:tickMarkSkip val="1"/>
        <c:noMultiLvlLbl val="0"/>
      </c:catAx>
      <c:valAx>
        <c:axId val="186945472"/>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8759014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99"/>
          <c:y val="7.5694015811474599E-2"/>
          <c:w val="0.74366824572258605"/>
          <c:h val="0.58032078788797203"/>
        </c:manualLayout>
      </c:layout>
      <c:barChart>
        <c:barDir val="col"/>
        <c:grouping val="stacked"/>
        <c:varyColors val="0"/>
        <c:ser>
          <c:idx val="0"/>
          <c:order val="0"/>
          <c:spPr>
            <a:solidFill>
              <a:srgbClr val="376092"/>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Entry'!$C$52:$C$55</c:f>
              <c:numCache>
                <c:formatCode>#,##0</c:formatCode>
                <c:ptCount val="4"/>
                <c:pt idx="0">
                  <c:v>9443642.0300000012</c:v>
                </c:pt>
                <c:pt idx="1">
                  <c:v>3611180.6231515231</c:v>
                </c:pt>
                <c:pt idx="2">
                  <c:v>4738714.7007294167</c:v>
                </c:pt>
                <c:pt idx="3">
                  <c:v>4933810.419312316</c:v>
                </c:pt>
              </c:numCache>
            </c:numRef>
          </c:val>
          <c:extLst xmlns:c16r2="http://schemas.microsoft.com/office/drawing/2015/06/chart">
            <c:ext xmlns:c16="http://schemas.microsoft.com/office/drawing/2014/chart" uri="{C3380CC4-5D6E-409C-BE32-E72D297353CC}">
              <c16:uniqueId val="{00000000-E95E-4943-B9B3-B8E337961660}"/>
            </c:ext>
          </c:extLst>
        </c:ser>
        <c:ser>
          <c:idx val="1"/>
          <c:order val="1"/>
          <c:spPr>
            <a:solidFill>
              <a:srgbClr val="93CDDD"/>
            </a:solidFill>
            <a:ln w="3175">
              <a:solidFill>
                <a:srgbClr val="000000"/>
              </a:solidFill>
              <a:prstDash val="solid"/>
            </a:ln>
            <a:effectLst>
              <a:outerShdw dist="35921" dir="2700000" algn="br">
                <a:srgbClr val="000000"/>
              </a:outerShdw>
            </a:effectLst>
          </c:spPr>
          <c:invertIfNegative val="0"/>
          <c:cat>
            <c:strRef>
              <c:f>'Data Entry'!$B$52:$B$55</c:f>
              <c:strCache>
                <c:ptCount val="4"/>
                <c:pt idx="0">
                  <c:v>Disbursed by Global Fund</c:v>
                </c:pt>
                <c:pt idx="1">
                  <c:v>PR expenditure and disbursement</c:v>
                </c:pt>
                <c:pt idx="2">
                  <c:v>Disbursed to SRs</c:v>
                </c:pt>
                <c:pt idx="3">
                  <c:v>SR expenditures</c:v>
                </c:pt>
              </c:strCache>
            </c:strRef>
          </c:cat>
          <c:val>
            <c:numRef>
              <c:f>'Data Entry'!$D$52:$D$55</c:f>
              <c:numCache>
                <c:formatCode>#,##0</c:formatCode>
                <c:ptCount val="4"/>
                <c:pt idx="0">
                  <c:v>808595.85</c:v>
                </c:pt>
                <c:pt idx="1">
                  <c:v>266126</c:v>
                </c:pt>
                <c:pt idx="2">
                  <c:v>742036</c:v>
                </c:pt>
                <c:pt idx="3">
                  <c:v>697452.7</c:v>
                </c:pt>
              </c:numCache>
            </c:numRef>
          </c:val>
          <c:extLst xmlns:c16r2="http://schemas.microsoft.com/office/drawing/2015/06/chart">
            <c:ext xmlns:c16="http://schemas.microsoft.com/office/drawing/2014/chart" uri="{C3380CC4-5D6E-409C-BE32-E72D297353CC}">
              <c16:uniqueId val="{00000001-E95E-4943-B9B3-B8E337961660}"/>
            </c:ext>
          </c:extLst>
        </c:ser>
        <c:dLbls>
          <c:showLegendKey val="0"/>
          <c:showVal val="0"/>
          <c:showCatName val="0"/>
          <c:showSerName val="0"/>
          <c:showPercent val="0"/>
          <c:showBubbleSize val="0"/>
        </c:dLbls>
        <c:gapWidth val="150"/>
        <c:overlap val="100"/>
        <c:axId val="186717696"/>
        <c:axId val="133207104"/>
      </c:barChart>
      <c:catAx>
        <c:axId val="186717696"/>
        <c:scaling>
          <c:orientation val="minMax"/>
        </c:scaling>
        <c:delete val="0"/>
        <c:axPos val="b"/>
        <c:numFmt formatCode="General" sourceLinked="1"/>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33207104"/>
        <c:crossesAt val="0"/>
        <c:auto val="1"/>
        <c:lblAlgn val="ctr"/>
        <c:lblOffset val="100"/>
        <c:noMultiLvlLbl val="0"/>
      </c:catAx>
      <c:valAx>
        <c:axId val="133207104"/>
        <c:scaling>
          <c:orientation val="minMax"/>
        </c:scaling>
        <c:delete val="0"/>
        <c:axPos val="l"/>
        <c:majorGridlines>
          <c:spPr>
            <a:ln w="3175">
              <a:solidFill>
                <a:srgbClr val="808080"/>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6717696"/>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en-US"/>
          </a:p>
        </c:txPr>
      </c:dTable>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
          <c:y val="9.3877551020408095E-2"/>
          <c:w val="0.84029484029484003"/>
          <c:h val="0.53469387755102005"/>
        </c:manualLayout>
      </c:layout>
      <c:barChart>
        <c:barDir val="col"/>
        <c:grouping val="clustered"/>
        <c:varyColors val="0"/>
        <c:ser>
          <c:idx val="0"/>
          <c:order val="0"/>
          <c:spPr>
            <a:solidFill>
              <a:srgbClr val="993366"/>
            </a:solidFill>
            <a:ln w="3175">
              <a:solidFill>
                <a:srgbClr val="0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Entry'!$C$39:$C$43</c:f>
              <c:numCache>
                <c:formatCode>#,##0</c:formatCode>
                <c:ptCount val="5"/>
                <c:pt idx="0">
                  <c:v>1205878.5875242837</c:v>
                </c:pt>
                <c:pt idx="1">
                  <c:v>727586.2795508391</c:v>
                </c:pt>
                <c:pt idx="2">
                  <c:v>4081814.8258208768</c:v>
                </c:pt>
                <c:pt idx="3">
                  <c:v>166613.00749550312</c:v>
                </c:pt>
                <c:pt idx="4">
                  <c:v>4826080.179094634</c:v>
                </c:pt>
              </c:numCache>
            </c:numRef>
          </c:val>
          <c:extLst xmlns:c16r2="http://schemas.microsoft.com/office/drawing/2015/06/chart">
            <c:ext xmlns:c16="http://schemas.microsoft.com/office/drawing/2014/chart" uri="{C3380CC4-5D6E-409C-BE32-E72D297353CC}">
              <c16:uniqueId val="{00000000-856F-4883-8E13-9E0950FCE098}"/>
            </c:ext>
          </c:extLst>
        </c:ser>
        <c:ser>
          <c:idx val="1"/>
          <c:order val="1"/>
          <c:spPr>
            <a:solidFill>
              <a:srgbClr val="CCC1DA"/>
            </a:solidFill>
            <a:ln w="3175">
              <a:solidFill>
                <a:srgbClr val="800000"/>
              </a:solidFill>
              <a:prstDash val="solid"/>
            </a:ln>
            <a:effectLst>
              <a:outerShdw dist="35921" dir="2700000" algn="br">
                <a:srgbClr val="000000"/>
              </a:outerShdw>
            </a:effectLst>
          </c:spPr>
          <c:invertIfNegative val="0"/>
          <c:cat>
            <c:strRef>
              <c:f>'Data Entry'!$B$39:$B$43</c:f>
              <c:strCache>
                <c:ptCount val="5"/>
                <c:pt idx="0">
                  <c:v>Prevention programs for MSM and TGs</c:v>
                </c:pt>
                <c:pt idx="1">
                  <c:v>Prevention programs for sex workers and their clients</c:v>
                </c:pt>
                <c:pt idx="2">
                  <c:v>Prevention programs for people who inject drugs (PWID) and their partners</c:v>
                </c:pt>
                <c:pt idx="3">
                  <c:v>Prevention programs for other vulnerable populations (please specify)</c:v>
                </c:pt>
                <c:pt idx="4">
                  <c:v>Treatment, care and support</c:v>
                </c:pt>
              </c:strCache>
            </c:strRef>
          </c:cat>
          <c:val>
            <c:numRef>
              <c:f>'Data Entry'!$D$39:$D$43</c:f>
              <c:numCache>
                <c:formatCode>#,##0</c:formatCode>
                <c:ptCount val="5"/>
                <c:pt idx="0">
                  <c:v>772064.45418238104</c:v>
                </c:pt>
                <c:pt idx="1">
                  <c:v>481661.85302290798</c:v>
                </c:pt>
                <c:pt idx="2">
                  <c:v>3405411.38447162</c:v>
                </c:pt>
                <c:pt idx="3">
                  <c:v>95651.246798623688</c:v>
                </c:pt>
                <c:pt idx="4">
                  <c:v>3416992.3227150906</c:v>
                </c:pt>
              </c:numCache>
            </c:numRef>
          </c:val>
          <c:extLst xmlns:c16r2="http://schemas.microsoft.com/office/drawing/2015/06/chart">
            <c:ext xmlns:c16="http://schemas.microsoft.com/office/drawing/2014/chart" uri="{C3380CC4-5D6E-409C-BE32-E72D297353CC}">
              <c16:uniqueId val="{00000001-856F-4883-8E13-9E0950FCE098}"/>
            </c:ext>
          </c:extLst>
        </c:ser>
        <c:dLbls>
          <c:showLegendKey val="0"/>
          <c:showVal val="0"/>
          <c:showCatName val="0"/>
          <c:showSerName val="0"/>
          <c:showPercent val="0"/>
          <c:showBubbleSize val="0"/>
        </c:dLbls>
        <c:gapWidth val="150"/>
        <c:axId val="186719744"/>
        <c:axId val="133208832"/>
      </c:barChart>
      <c:catAx>
        <c:axId val="18671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33208832"/>
        <c:crosses val="autoZero"/>
        <c:auto val="1"/>
        <c:lblAlgn val="ctr"/>
        <c:lblOffset val="100"/>
        <c:tickMarkSkip val="1"/>
        <c:noMultiLvlLbl val="0"/>
      </c:catAx>
      <c:valAx>
        <c:axId val="1332088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86719744"/>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c:pageMargins b="1" l="0.75" r="0.75"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6.1440741526190799E-2"/>
          <c:y val="0.195653558463248"/>
          <c:w val="0.86864496640476696"/>
          <c:h val="0.42029282929142098"/>
        </c:manualLayout>
      </c:layout>
      <c:barChart>
        <c:barDir val="bar"/>
        <c:grouping val="percentStacked"/>
        <c:varyColors val="0"/>
        <c:ser>
          <c:idx val="0"/>
          <c:order val="0"/>
          <c:tx>
            <c:strRef>
              <c:f>'Data Entry'!$C$78</c:f>
              <c:strCache>
                <c:ptCount val="1"/>
                <c:pt idx="0">
                  <c:v>Planned</c:v>
                </c:pt>
              </c:strCache>
            </c:strRef>
          </c:tx>
          <c:spPr>
            <a:noFill/>
            <a:ln w="25400">
              <a:noFill/>
            </a:ln>
            <a:effectLst>
              <a:outerShdw dist="35921" dir="2700000" algn="br">
                <a:srgbClr val="000000"/>
              </a:outerShdw>
            </a:effectLst>
          </c:spPr>
          <c:invertIfNegative val="0"/>
          <c:dLbls>
            <c:dLbl>
              <c:idx val="0"/>
              <c:layout>
                <c:manualLayout>
                  <c:x val="0.25756013242089298"/>
                  <c:y val="-0.29611370761718198"/>
                </c:manualLayout>
              </c:layout>
              <c:numFmt formatCode="#,##0" sourceLinked="0"/>
              <c:spPr>
                <a:noFill/>
                <a:ln w="25400">
                  <a:noFill/>
                </a:ln>
              </c:spPr>
              <c:txPr>
                <a:bodyPr/>
                <a:lstStyle/>
                <a:p>
                  <a:pPr algn="ctr" rtl="1">
                    <a:defRPr sz="1000" b="1" i="0" u="none" strike="noStrike" baseline="0">
                      <a:solidFill>
                        <a:srgbClr val="000000"/>
                      </a:solidFill>
                      <a:latin typeface="Calibri"/>
                      <a:ea typeface="Calibri"/>
                      <a:cs typeface="Calibri"/>
                    </a:defRPr>
                  </a:pPr>
                  <a:endParaRPr lang="en-US"/>
                </a:p>
              </c:txPr>
              <c:dLblPos val="ctr"/>
              <c:showLegendKey val="0"/>
              <c:showVal val="1"/>
              <c:showCatName val="0"/>
              <c:showSerName val="1"/>
              <c:showPercent val="0"/>
              <c:showBubbleSize val="0"/>
              <c:extLst xmlns:c16r2="http://schemas.microsoft.com/office/drawing/2015/06/chart">
                <c:ext xmlns:c16="http://schemas.microsoft.com/office/drawing/2014/chart" uri="{C3380CC4-5D6E-409C-BE32-E72D297353CC}">
                  <c16:uniqueId val="{00000000-57A2-4CDC-8CE0-0E085F052E53}"/>
                </c:ext>
                <c:ext xmlns:c15="http://schemas.microsoft.com/office/drawing/2012/chart" uri="{CE6537A1-D6FC-4f65-9D91-7224C49458BB}">
                  <c15:layout/>
                </c:ext>
              </c:extLst>
            </c:dLbl>
            <c:numFmt formatCode="#,##0" sourceLinked="0"/>
            <c:spPr>
              <a:noFill/>
              <a:ln w="25400">
                <a:noFill/>
              </a:ln>
            </c:spPr>
            <c:txPr>
              <a:bodyPr wrap="square" lIns="38100" tIns="19050" rIns="38100" bIns="19050" anchor="ctr">
                <a:spAutoFit/>
              </a:bodyPr>
              <a:lstStyle/>
              <a:p>
                <a:pPr algn="ctr" rtl="1">
                  <a:defRPr sz="1000" b="0" i="0" u="none" strike="noStrike" baseline="0">
                    <a:solidFill>
                      <a:srgbClr val="000000"/>
                    </a:solidFill>
                    <a:latin typeface="Calibri"/>
                    <a:ea typeface="Calibri"/>
                    <a:cs typeface="Calibri"/>
                  </a:defRPr>
                </a:pPr>
                <a:endParaRPr lang="en-US"/>
              </a:p>
            </c:txPr>
            <c:showLegendKey val="0"/>
            <c:showVal val="1"/>
            <c:showCatName val="0"/>
            <c:showSerName val="1"/>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'Data Entry'!$C$79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1-57A2-4CDC-8CE0-0E085F052E53}"/>
            </c:ext>
          </c:extLst>
        </c:ser>
        <c:dLbls>
          <c:showLegendKey val="0"/>
          <c:showVal val="0"/>
          <c:showCatName val="0"/>
          <c:showSerName val="0"/>
          <c:showPercent val="0"/>
          <c:showBubbleSize val="0"/>
        </c:dLbls>
        <c:gapWidth val="79"/>
        <c:overlap val="100"/>
        <c:axId val="186834432"/>
        <c:axId val="186484416"/>
      </c:barChart>
      <c:barChart>
        <c:barDir val="bar"/>
        <c:grouping val="percentStacked"/>
        <c:varyColors val="0"/>
        <c:ser>
          <c:idx val="1"/>
          <c:order val="1"/>
          <c:tx>
            <c:strRef>
              <c:f>'Data Entry'!$D$78</c:f>
              <c:strCache>
                <c:ptCount val="1"/>
                <c:pt idx="0">
                  <c:v>Filled</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wrap="square" lIns="38100" tIns="19050" rIns="38100" bIns="19050" anchor="ctr">
                <a:spAutoFit/>
              </a:bodyPr>
              <a:lstStyle/>
              <a:p>
                <a:pPr algn="ctr" rtl="1">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Entry'!$D$79</c:f>
              <c:numCache>
                <c:formatCode>General</c:formatCode>
                <c:ptCount val="1"/>
                <c:pt idx="0">
                  <c:v>16</c:v>
                </c:pt>
              </c:numCache>
            </c:numRef>
          </c:val>
          <c:extLst xmlns:c16r2="http://schemas.microsoft.com/office/drawing/2015/06/chart">
            <c:ext xmlns:c16="http://schemas.microsoft.com/office/drawing/2014/chart" uri="{C3380CC4-5D6E-409C-BE32-E72D297353CC}">
              <c16:uniqueId val="{00000002-57A2-4CDC-8CE0-0E085F052E53}"/>
            </c:ext>
          </c:extLst>
        </c:ser>
        <c:ser>
          <c:idx val="2"/>
          <c:order val="2"/>
          <c:tx>
            <c:strRef>
              <c:f>'Data Entry'!$E$78</c:f>
              <c:strCache>
                <c:ptCount val="1"/>
                <c:pt idx="0">
                  <c:v>Vacant</c:v>
                </c:pt>
              </c:strCache>
            </c:strRef>
          </c:tx>
          <c:spPr>
            <a:solidFill>
              <a:srgbClr val="FF7171"/>
            </a:solidFill>
            <a:ln w="25400">
              <a:noFill/>
            </a:ln>
            <a:effectLst>
              <a:outerShdw dist="35921" dir="2700000" algn="br">
                <a:srgbClr val="000000"/>
              </a:outerShdw>
            </a:effectLst>
          </c:spPr>
          <c:invertIfNegative val="0"/>
          <c:val>
            <c:numRef>
              <c:f>'Data Entry'!$E$79</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3-57A2-4CDC-8CE0-0E085F052E53}"/>
            </c:ext>
          </c:extLst>
        </c:ser>
        <c:dLbls>
          <c:showLegendKey val="0"/>
          <c:showVal val="0"/>
          <c:showCatName val="0"/>
          <c:showSerName val="0"/>
          <c:showPercent val="0"/>
          <c:showBubbleSize val="0"/>
        </c:dLbls>
        <c:gapWidth val="190"/>
        <c:overlap val="100"/>
        <c:serLines>
          <c:spPr>
            <a:ln w="3175">
              <a:solidFill>
                <a:srgbClr val="000000"/>
              </a:solidFill>
              <a:prstDash val="solid"/>
            </a:ln>
          </c:spPr>
        </c:serLines>
        <c:axId val="185943552"/>
        <c:axId val="186484992"/>
      </c:barChart>
      <c:catAx>
        <c:axId val="186834432"/>
        <c:scaling>
          <c:orientation val="minMax"/>
        </c:scaling>
        <c:delete val="1"/>
        <c:axPos val="l"/>
        <c:majorTickMark val="out"/>
        <c:minorTickMark val="none"/>
        <c:tickLblPos val="nextTo"/>
        <c:crossAx val="186484416"/>
        <c:crosses val="autoZero"/>
        <c:auto val="1"/>
        <c:lblAlgn val="ctr"/>
        <c:lblOffset val="100"/>
        <c:noMultiLvlLbl val="0"/>
      </c:catAx>
      <c:valAx>
        <c:axId val="186484416"/>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6834432"/>
        <c:crosses val="max"/>
        <c:crossBetween val="between"/>
      </c:valAx>
      <c:catAx>
        <c:axId val="185943552"/>
        <c:scaling>
          <c:orientation val="minMax"/>
        </c:scaling>
        <c:delete val="1"/>
        <c:axPos val="l"/>
        <c:majorTickMark val="out"/>
        <c:minorTickMark val="none"/>
        <c:tickLblPos val="nextTo"/>
        <c:crossAx val="186484992"/>
        <c:crosses val="autoZero"/>
        <c:auto val="0"/>
        <c:lblAlgn val="ctr"/>
        <c:lblOffset val="100"/>
        <c:noMultiLvlLbl val="0"/>
      </c:catAx>
      <c:valAx>
        <c:axId val="186484992"/>
        <c:scaling>
          <c:orientation val="minMax"/>
        </c:scaling>
        <c:delete val="0"/>
        <c:axPos val="b"/>
        <c:numFmt formatCode="0%" sourceLinked="1"/>
        <c:majorTickMark val="none"/>
        <c:minorTickMark val="none"/>
        <c:tickLblPos val="none"/>
        <c:spPr>
          <a:ln w="3175">
            <a:solidFill>
              <a:srgbClr val="000000"/>
            </a:solidFill>
            <a:prstDash val="solid"/>
          </a:ln>
        </c:spPr>
        <c:crossAx val="185943552"/>
        <c:crosses val="autoZero"/>
        <c:crossBetween val="between"/>
      </c:valAx>
      <c:spPr>
        <a:solidFill>
          <a:srgbClr val="FFFFFF"/>
        </a:solidFill>
        <a:ln w="25400">
          <a:noFill/>
        </a:ln>
      </c:spPr>
    </c:plotArea>
    <c:legend>
      <c:legendPos val="r"/>
      <c:legendEntry>
        <c:idx val="0"/>
        <c:delete val="1"/>
      </c:legendEntry>
      <c:layout>
        <c:manualLayout>
          <c:xMode val="edge"/>
          <c:yMode val="edge"/>
          <c:x val="0.40883930803548402"/>
          <c:y val="0.79490841418378799"/>
          <c:w val="0.16107888420406999"/>
          <c:h val="0.145636591193537"/>
        </c:manualLayout>
      </c:layout>
      <c:overlay val="0"/>
      <c:spPr>
        <a:noFill/>
        <a:ln w="25400">
          <a:noFill/>
        </a:ln>
      </c:spPr>
      <c:txPr>
        <a:bodyPr/>
        <a:lstStyle/>
        <a:p>
          <a:pPr>
            <a:defRPr sz="520"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794E-2"/>
          <c:y val="0.13661275087917801"/>
          <c:w val="0.89702517162471396"/>
          <c:h val="0.60656061390354898"/>
        </c:manualLayout>
      </c:layout>
      <c:barChart>
        <c:barDir val="col"/>
        <c:grouping val="clustered"/>
        <c:varyColors val="0"/>
        <c:ser>
          <c:idx val="0"/>
          <c:order val="0"/>
          <c:tx>
            <c:strRef>
              <c:f>'Data Entry'!$C$83</c:f>
              <c:strCache>
                <c:ptCount val="1"/>
                <c:pt idx="0">
                  <c:v>Identified</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Entry'!$C$84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0-E986-4D8E-B9A2-30C0E039D4A6}"/>
            </c:ext>
          </c:extLst>
        </c:ser>
        <c:ser>
          <c:idx val="1"/>
          <c:order val="1"/>
          <c:tx>
            <c:strRef>
              <c:f>'Data Entry'!$D$83</c:f>
              <c:strCache>
                <c:ptCount val="1"/>
                <c:pt idx="0">
                  <c:v>Assessed</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Entry'!$D$84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1-E986-4D8E-B9A2-30C0E039D4A6}"/>
            </c:ext>
          </c:extLst>
        </c:ser>
        <c:ser>
          <c:idx val="2"/>
          <c:order val="2"/>
          <c:tx>
            <c:strRef>
              <c:f>'Data Entry'!$E$83</c:f>
              <c:strCache>
                <c:ptCount val="1"/>
                <c:pt idx="0">
                  <c:v>Approved</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Entry'!$E$84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2-E986-4D8E-B9A2-30C0E039D4A6}"/>
            </c:ext>
          </c:extLst>
        </c:ser>
        <c:ser>
          <c:idx val="3"/>
          <c:order val="3"/>
          <c:tx>
            <c:strRef>
              <c:f>'Data Entry'!$F$83</c:f>
              <c:strCache>
                <c:ptCount val="1"/>
                <c:pt idx="0">
                  <c:v>Signed</c:v>
                </c:pt>
              </c:strCache>
            </c:strRef>
          </c:tx>
          <c:spPr>
            <a:solidFill>
              <a:srgbClr val="80808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Entry'!$F$84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3-E986-4D8E-B9A2-30C0E039D4A6}"/>
            </c:ext>
          </c:extLst>
        </c:ser>
        <c:ser>
          <c:idx val="4"/>
          <c:order val="4"/>
          <c:tx>
            <c:strRef>
              <c:f>'Data Entry'!$G$83</c:f>
              <c:strCache>
                <c:ptCount val="1"/>
                <c:pt idx="0">
                  <c:v>Receiving Funding</c:v>
                </c:pt>
              </c:strCache>
            </c:strRef>
          </c:tx>
          <c:spPr>
            <a:solidFill>
              <a:srgbClr val="333333"/>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val>
            <c:numRef>
              <c:f>'Data Entry'!$G$84</c:f>
              <c:numCache>
                <c:formatCode>General</c:formatCode>
                <c:ptCount val="1"/>
                <c:pt idx="0">
                  <c:v>7</c:v>
                </c:pt>
              </c:numCache>
            </c:numRef>
          </c:val>
          <c:extLst xmlns:c16r2="http://schemas.microsoft.com/office/drawing/2015/06/chart">
            <c:ext xmlns:c16="http://schemas.microsoft.com/office/drawing/2014/chart" uri="{C3380CC4-5D6E-409C-BE32-E72D297353CC}">
              <c16:uniqueId val="{00000004-E986-4D8E-B9A2-30C0E039D4A6}"/>
            </c:ext>
          </c:extLst>
        </c:ser>
        <c:dLbls>
          <c:showLegendKey val="0"/>
          <c:showVal val="0"/>
          <c:showCatName val="0"/>
          <c:showSerName val="0"/>
          <c:showPercent val="0"/>
          <c:showBubbleSize val="0"/>
        </c:dLbls>
        <c:gapWidth val="150"/>
        <c:overlap val="-20"/>
        <c:axId val="185945088"/>
        <c:axId val="186487296"/>
      </c:barChart>
      <c:catAx>
        <c:axId val="185945088"/>
        <c:scaling>
          <c:orientation val="minMax"/>
        </c:scaling>
        <c:delete val="0"/>
        <c:axPos val="b"/>
        <c:majorTickMark val="none"/>
        <c:minorTickMark val="none"/>
        <c:tickLblPos val="none"/>
        <c:spPr>
          <a:ln w="3175">
            <a:solidFill>
              <a:srgbClr val="000000"/>
            </a:solidFill>
            <a:prstDash val="solid"/>
          </a:ln>
        </c:spPr>
        <c:crossAx val="186487296"/>
        <c:crosses val="autoZero"/>
        <c:auto val="0"/>
        <c:lblAlgn val="ctr"/>
        <c:lblOffset val="100"/>
        <c:tickMarkSkip val="1"/>
        <c:noMultiLvlLbl val="0"/>
      </c:catAx>
      <c:valAx>
        <c:axId val="18648729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5945088"/>
        <c:crosses val="autoZero"/>
        <c:crossBetween val="between"/>
      </c:valAx>
      <c:spPr>
        <a:noFill/>
        <a:ln w="25400">
          <a:noFill/>
        </a:ln>
      </c:spPr>
    </c:plotArea>
    <c:legend>
      <c:legendPos val="r"/>
      <c:layout>
        <c:manualLayout>
          <c:xMode val="edge"/>
          <c:yMode val="edge"/>
          <c:x val="0.13624422309193199"/>
          <c:y val="0.81754829695630504"/>
          <c:w val="0.73299392023459498"/>
          <c:h val="9.4893998753856901E-2"/>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101"/>
          <c:y val="5.6000000000000001E-2"/>
          <c:w val="0.54462242562929097"/>
          <c:h val="0.56000000000000005"/>
        </c:manualLayout>
      </c:layout>
      <c:barChart>
        <c:barDir val="bar"/>
        <c:grouping val="percentStacked"/>
        <c:varyColors val="0"/>
        <c:ser>
          <c:idx val="0"/>
          <c:order val="0"/>
          <c:tx>
            <c:strRef>
              <c:f>'Data Entry'!$D$71</c:f>
              <c:strCache>
                <c:ptCount val="1"/>
                <c:pt idx="0">
                  <c:v>Fulfilled</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1"/>
                <c:pt idx="0">
                  <c:v>NFM Grant Requirements</c:v>
                </c:pt>
              </c:strCache>
            </c:strRef>
          </c:cat>
          <c:val>
            <c:numRef>
              <c:f>'Data Entry'!$D$72:$D$73</c:f>
              <c:numCache>
                <c:formatCode>0</c:formatCode>
                <c:ptCount val="2"/>
                <c:pt idx="0">
                  <c:v>4</c:v>
                </c:pt>
              </c:numCache>
            </c:numRef>
          </c:val>
          <c:extLst xmlns:c16r2="http://schemas.microsoft.com/office/drawing/2015/06/chart">
            <c:ext xmlns:c16="http://schemas.microsoft.com/office/drawing/2014/chart" uri="{C3380CC4-5D6E-409C-BE32-E72D297353CC}">
              <c16:uniqueId val="{00000000-7D77-426D-8180-9FF2722F8EBA}"/>
            </c:ext>
          </c:extLst>
        </c:ser>
        <c:ser>
          <c:idx val="1"/>
          <c:order val="1"/>
          <c:tx>
            <c:strRef>
              <c:f>'Data Entry'!$E$71</c:f>
              <c:strCache>
                <c:ptCount val="1"/>
                <c:pt idx="0">
                  <c:v>Not fulfilled, but within deadline</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Entry'!$B$72:$B$73</c:f>
              <c:strCache>
                <c:ptCount val="1"/>
                <c:pt idx="0">
                  <c:v>NFM Grant Requirements</c:v>
                </c:pt>
              </c:strCache>
            </c:strRef>
          </c:cat>
          <c:val>
            <c:numRef>
              <c:f>'Data Entry'!$E$72:$E$73</c:f>
              <c:numCache>
                <c:formatCode>0</c:formatCode>
                <c:ptCount val="2"/>
                <c:pt idx="0">
                  <c:v>4</c:v>
                </c:pt>
              </c:numCache>
            </c:numRef>
          </c:val>
          <c:extLst xmlns:c16r2="http://schemas.microsoft.com/office/drawing/2015/06/chart">
            <c:ext xmlns:c16="http://schemas.microsoft.com/office/drawing/2014/chart" uri="{C3380CC4-5D6E-409C-BE32-E72D297353CC}">
              <c16:uniqueId val="{00000001-7D77-426D-8180-9FF2722F8EBA}"/>
            </c:ext>
          </c:extLst>
        </c:ser>
        <c:ser>
          <c:idx val="2"/>
          <c:order val="2"/>
          <c:tx>
            <c:strRef>
              <c:f>'Data Entry'!$F$71</c:f>
              <c:strCache>
                <c:ptCount val="1"/>
                <c:pt idx="0">
                  <c:v>Not fulfilled, and past the deadline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dLbl>
              <c:idx val="0"/>
              <c:delete val="1"/>
              <c:extLst xmlns:c16r2="http://schemas.microsoft.com/office/drawing/2015/06/chart">
                <c:ext xmlns:c16="http://schemas.microsoft.com/office/drawing/2014/chart" uri="{C3380CC4-5D6E-409C-BE32-E72D297353CC}">
                  <c16:uniqueId val="{00000002-7D77-426D-8180-9FF2722F8EBA}"/>
                </c:ext>
                <c:ext xmlns:c15="http://schemas.microsoft.com/office/drawing/2012/chart" uri="{CE6537A1-D6FC-4f65-9D91-7224C49458BB}"/>
              </c:extLst>
            </c:dLbl>
            <c:spPr>
              <a:noFill/>
              <a:ln w="25400">
                <a:noFill/>
              </a:ln>
            </c:spPr>
            <c:txPr>
              <a:bodyPr wrap="square" lIns="38100" tIns="19050" rIns="38100" bIns="19050" anchor="ctr">
                <a:spAutoFit/>
              </a:bodyPr>
              <a:lstStyle/>
              <a:p>
                <a:pPr>
                  <a:defRPr sz="10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'Data Entry'!$B$72:$B$73</c:f>
              <c:strCache>
                <c:ptCount val="1"/>
                <c:pt idx="0">
                  <c:v>NFM Grant Requirements</c:v>
                </c:pt>
              </c:strCache>
            </c:strRef>
          </c:cat>
          <c:val>
            <c:numRef>
              <c:f>'Data Entry'!$F$72:$F$73</c:f>
              <c:numCache>
                <c:formatCode>0</c:formatCode>
                <c:ptCount val="2"/>
                <c:pt idx="0">
                  <c:v>0</c:v>
                </c:pt>
              </c:numCache>
            </c:numRef>
          </c:val>
          <c:extLst xmlns:c16r2="http://schemas.microsoft.com/office/drawing/2015/06/chart">
            <c:ext xmlns:c16="http://schemas.microsoft.com/office/drawing/2014/chart" uri="{C3380CC4-5D6E-409C-BE32-E72D297353CC}">
              <c16:uniqueId val="{00000003-7D77-426D-8180-9FF2722F8EBA}"/>
            </c:ext>
          </c:extLst>
        </c:ser>
        <c:dLbls>
          <c:showLegendKey val="0"/>
          <c:showVal val="0"/>
          <c:showCatName val="0"/>
          <c:showSerName val="0"/>
          <c:showPercent val="0"/>
          <c:showBubbleSize val="0"/>
        </c:dLbls>
        <c:gapWidth val="70"/>
        <c:overlap val="100"/>
        <c:axId val="187133952"/>
        <c:axId val="186489600"/>
      </c:barChart>
      <c:catAx>
        <c:axId val="187133952"/>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6489600"/>
        <c:crosses val="autoZero"/>
        <c:auto val="1"/>
        <c:lblAlgn val="ctr"/>
        <c:lblOffset val="100"/>
        <c:tickLblSkip val="1"/>
        <c:tickMarkSkip val="1"/>
        <c:noMultiLvlLbl val="0"/>
      </c:catAx>
      <c:valAx>
        <c:axId val="1864896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87133952"/>
        <c:crosses val="autoZero"/>
        <c:crossBetween val="between"/>
      </c:valAx>
      <c:spPr>
        <a:noFill/>
        <a:ln w="25400">
          <a:noFill/>
        </a:ln>
      </c:spPr>
    </c:plotArea>
    <c:legend>
      <c:legendPos val="r"/>
      <c:layout>
        <c:manualLayout>
          <c:xMode val="edge"/>
          <c:yMode val="edge"/>
          <c:x val="9.5648707948717701E-2"/>
          <c:y val="0.80650032540053695"/>
          <c:w val="0.82183495846695798"/>
          <c:h val="0.14894214203352901"/>
        </c:manualLayout>
      </c:layout>
      <c:overlay val="0"/>
      <c:spPr>
        <a:noFill/>
        <a:ln w="25400">
          <a:noFill/>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01"/>
          <c:y val="0.121547289222444"/>
          <c:w val="0.60327318841303301"/>
          <c:h val="0.55248767828383505"/>
        </c:manualLayout>
      </c:layout>
      <c:barChart>
        <c:barDir val="bar"/>
        <c:grouping val="percentStacked"/>
        <c:varyColors val="0"/>
        <c:ser>
          <c:idx val="1"/>
          <c:order val="0"/>
          <c:tx>
            <c:strRef>
              <c:f>'Data Entry'!$D$88</c:f>
              <c:strCache>
                <c:ptCount val="1"/>
                <c:pt idx="0">
                  <c:v># Received</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'Data Entry'!$B$89:$B$90</c:f>
              <c:strCache>
                <c:ptCount val="2"/>
                <c:pt idx="0">
                  <c:v>SSR to SR</c:v>
                </c:pt>
                <c:pt idx="1">
                  <c:v>SRs to PR</c:v>
                </c:pt>
              </c:strCache>
            </c:strRef>
          </c:cat>
          <c:val>
            <c:numRef>
              <c:f>'Data Entry'!$D$89:$D$90</c:f>
              <c:numCache>
                <c:formatCode>0</c:formatCode>
                <c:ptCount val="2"/>
                <c:pt idx="0">
                  <c:v>165</c:v>
                </c:pt>
                <c:pt idx="1">
                  <c:v>21</c:v>
                </c:pt>
              </c:numCache>
            </c:numRef>
          </c:val>
          <c:extLst xmlns:c16r2="http://schemas.microsoft.com/office/drawing/2015/06/chart">
            <c:ext xmlns:c16="http://schemas.microsoft.com/office/drawing/2014/chart" uri="{C3380CC4-5D6E-409C-BE32-E72D297353CC}">
              <c16:uniqueId val="{00000000-8659-4553-BB7E-880CD8E77304}"/>
            </c:ext>
          </c:extLst>
        </c:ser>
        <c:ser>
          <c:idx val="2"/>
          <c:order val="1"/>
          <c:tx>
            <c:strRef>
              <c:f>'Data Entry'!$E$88</c:f>
              <c:strCache>
                <c:ptCount val="1"/>
                <c:pt idx="0">
                  <c:v>Pending</c:v>
                </c:pt>
              </c:strCache>
            </c:strRef>
          </c:tx>
          <c:spPr>
            <a:solidFill>
              <a:srgbClr val="FF5050"/>
            </a:solidFill>
            <a:ln w="25400">
              <a:noFill/>
            </a:ln>
            <a:effectLst>
              <a:outerShdw dist="35921" dir="2700000" algn="br">
                <a:srgbClr val="000000"/>
              </a:outerShdw>
            </a:effectLst>
          </c:spPr>
          <c:invertIfNegative val="0"/>
          <c:cat>
            <c:strRef>
              <c:f>'Data Entry'!$B$89:$B$90</c:f>
              <c:strCache>
                <c:ptCount val="2"/>
                <c:pt idx="0">
                  <c:v>SSR to SR</c:v>
                </c:pt>
                <c:pt idx="1">
                  <c:v>SRs to PR</c:v>
                </c:pt>
              </c:strCache>
            </c:strRef>
          </c:cat>
          <c:val>
            <c:numRef>
              <c:f>'Data Entry'!$E$89:$E$90</c:f>
              <c:numCache>
                <c:formatCode>General</c:formatCode>
                <c:ptCount val="2"/>
                <c:pt idx="0" formatCode="0">
                  <c:v>0</c:v>
                </c:pt>
                <c:pt idx="1">
                  <c:v>0</c:v>
                </c:pt>
              </c:numCache>
            </c:numRef>
          </c:val>
          <c:extLst xmlns:c16r2="http://schemas.microsoft.com/office/drawing/2015/06/chart">
            <c:ext xmlns:c16="http://schemas.microsoft.com/office/drawing/2014/chart" uri="{C3380CC4-5D6E-409C-BE32-E72D297353CC}">
              <c16:uniqueId val="{00000001-8659-4553-BB7E-880CD8E77304}"/>
            </c:ext>
          </c:extLst>
        </c:ser>
        <c:dLbls>
          <c:showLegendKey val="0"/>
          <c:showVal val="0"/>
          <c:showCatName val="0"/>
          <c:showSerName val="0"/>
          <c:showPercent val="0"/>
          <c:showBubbleSize val="0"/>
        </c:dLbls>
        <c:gapWidth val="101"/>
        <c:overlap val="100"/>
        <c:axId val="187135488"/>
        <c:axId val="186049664"/>
      </c:barChart>
      <c:catAx>
        <c:axId val="18713548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6049664"/>
        <c:crosses val="autoZero"/>
        <c:auto val="1"/>
        <c:lblAlgn val="ctr"/>
        <c:lblOffset val="100"/>
        <c:noMultiLvlLbl val="0"/>
      </c:catAx>
      <c:valAx>
        <c:axId val="186049664"/>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87135488"/>
        <c:crosses val="max"/>
        <c:crossBetween val="between"/>
      </c:valAx>
      <c:spPr>
        <a:solidFill>
          <a:srgbClr val="FFFFFF"/>
        </a:solidFill>
        <a:ln w="25400">
          <a:noFill/>
        </a:ln>
      </c:spPr>
    </c:plotArea>
    <c:legend>
      <c:legendPos val="r"/>
      <c:legendEntry>
        <c:idx val="0"/>
        <c:txPr>
          <a:bodyPr/>
          <a:lstStyle/>
          <a:p>
            <a:pPr>
              <a:defRPr sz="475" b="0" i="0" u="none" strike="noStrike" baseline="0">
                <a:solidFill>
                  <a:srgbClr val="000000"/>
                </a:solidFill>
                <a:latin typeface="Calibri"/>
                <a:ea typeface="Calibri"/>
                <a:cs typeface="Calibri"/>
              </a:defRPr>
            </a:pPr>
            <a:endParaRPr lang="en-US"/>
          </a:p>
        </c:txPr>
      </c:legendEntry>
      <c:legendEntry>
        <c:idx val="1"/>
        <c:txPr>
          <a:bodyPr/>
          <a:lstStyle/>
          <a:p>
            <a:pPr>
              <a:defRPr sz="475" b="0" i="0" u="none" strike="noStrike" baseline="0">
                <a:solidFill>
                  <a:srgbClr val="000000"/>
                </a:solidFill>
                <a:latin typeface="Calibri"/>
                <a:ea typeface="Calibri"/>
                <a:cs typeface="Calibri"/>
              </a:defRPr>
            </a:pPr>
            <a:endParaRPr lang="en-US"/>
          </a:p>
        </c:txPr>
      </c:legendEntry>
      <c:layout>
        <c:manualLayout>
          <c:xMode val="edge"/>
          <c:yMode val="edge"/>
          <c:x val="0.35521474224698901"/>
          <c:y val="0.78679233618357303"/>
          <c:w val="0.30091439948311799"/>
          <c:h val="0.13235758926452601"/>
        </c:manualLayout>
      </c:layout>
      <c:overlay val="0"/>
      <c:spPr>
        <a:noFill/>
        <a:ln w="25400">
          <a:noFill/>
        </a:ln>
      </c:spPr>
      <c:txPr>
        <a:bodyPr/>
        <a:lstStyle/>
        <a:p>
          <a:pPr>
            <a:defRPr sz="475" b="0" i="0" u="none" strike="noStrike" baseline="0">
              <a:solidFill>
                <a:srgbClr val="000000"/>
              </a:solidFill>
              <a:latin typeface="Calibri"/>
              <a:ea typeface="Calibri"/>
              <a:cs typeface="Calibri"/>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01"/>
          <c:y val="0.10989010989011"/>
          <c:w val="0.81094724363350201"/>
          <c:h val="0.54395604395604402"/>
        </c:manualLayout>
      </c:layout>
      <c:lineChart>
        <c:grouping val="standard"/>
        <c:varyColors val="0"/>
        <c:ser>
          <c:idx val="0"/>
          <c:order val="0"/>
          <c:tx>
            <c:strRef>
              <c:f>'Data Entry'!$B$98</c:f>
              <c:strCache>
                <c:ptCount val="1"/>
                <c:pt idx="0">
                  <c:v>Budget Approved cumulative*</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'Data Entry'!$C$98:$N$98</c:f>
              <c:numCache>
                <c:formatCode>#,##0</c:formatCode>
                <c:ptCount val="12"/>
                <c:pt idx="0">
                  <c:v>1281508.9595083122</c:v>
                </c:pt>
                <c:pt idx="1">
                  <c:v>2090423.7558721437</c:v>
                </c:pt>
                <c:pt idx="2">
                  <c:v>2099737.8964309921</c:v>
                </c:pt>
                <c:pt idx="3">
                  <c:v>3578441.4351359769</c:v>
                </c:pt>
                <c:pt idx="4">
                  <c:v>4665603.9440860189</c:v>
                </c:pt>
                <c:pt idx="5">
                  <c:v>4665603.9440860189</c:v>
                </c:pt>
                <c:pt idx="6">
                  <c:v>4674918.0846448671</c:v>
                </c:pt>
                <c:pt idx="7">
                  <c:v>5817641.5459887581</c:v>
                </c:pt>
                <c:pt idx="8">
                  <c:v>6019677.4084388008</c:v>
                </c:pt>
                <c:pt idx="9">
                  <c:v>6019677.4084388008</c:v>
                </c:pt>
                <c:pt idx="10">
                  <c:v>6203269.3509150771</c:v>
                </c:pt>
                <c:pt idx="11">
                  <c:v>6203269.3509150771</c:v>
                </c:pt>
              </c:numCache>
            </c:numRef>
          </c:val>
          <c:smooth val="0"/>
          <c:extLst xmlns:c16r2="http://schemas.microsoft.com/office/drawing/2015/06/chart">
            <c:ext xmlns:c16="http://schemas.microsoft.com/office/drawing/2014/chart" uri="{C3380CC4-5D6E-409C-BE32-E72D297353CC}">
              <c16:uniqueId val="{00000000-842A-4717-9F14-C1424E821776}"/>
            </c:ext>
          </c:extLst>
        </c:ser>
        <c:ser>
          <c:idx val="1"/>
          <c:order val="1"/>
          <c:tx>
            <c:strRef>
              <c:f>'Data Entry'!$B$99</c:f>
              <c:strCache>
                <c:ptCount val="1"/>
                <c:pt idx="0">
                  <c:v>Obligations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'Data Entry'!$C$99:$N$99</c:f>
              <c:numCache>
                <c:formatCode>#,##0</c:formatCode>
                <c:ptCount val="12"/>
                <c:pt idx="0">
                  <c:v>19935.614027557196</c:v>
                </c:pt>
                <c:pt idx="1">
                  <c:v>1245108.6140275572</c:v>
                </c:pt>
                <c:pt idx="2">
                  <c:v>1470070.521603412</c:v>
                </c:pt>
                <c:pt idx="3">
                  <c:v>2069658.8399816109</c:v>
                </c:pt>
                <c:pt idx="4">
                  <c:v>2649687.9109227825</c:v>
                </c:pt>
                <c:pt idx="5">
                  <c:v>2781587.6509227827</c:v>
                </c:pt>
                <c:pt idx="6">
                  <c:v>2812179.3109227829</c:v>
                </c:pt>
                <c:pt idx="7">
                  <c:v>2812179.3109227829</c:v>
                </c:pt>
                <c:pt idx="8">
                  <c:v>2812179.3109227829</c:v>
                </c:pt>
                <c:pt idx="9">
                  <c:v>2812179.3109227829</c:v>
                </c:pt>
                <c:pt idx="10">
                  <c:v>2812179.3109227829</c:v>
                </c:pt>
                <c:pt idx="11">
                  <c:v>2812179.3109227829</c:v>
                </c:pt>
              </c:numCache>
            </c:numRef>
          </c:val>
          <c:smooth val="0"/>
          <c:extLst xmlns:c16r2="http://schemas.microsoft.com/office/drawing/2015/06/chart">
            <c:ext xmlns:c16="http://schemas.microsoft.com/office/drawing/2014/chart" uri="{C3380CC4-5D6E-409C-BE32-E72D297353CC}">
              <c16:uniqueId val="{00000001-842A-4717-9F14-C1424E821776}"/>
            </c:ext>
          </c:extLst>
        </c:ser>
        <c:ser>
          <c:idx val="2"/>
          <c:order val="2"/>
          <c:tx>
            <c:strRef>
              <c:f>'Data Entry'!$B$100</c:f>
              <c:strCache>
                <c:ptCount val="1"/>
                <c:pt idx="0">
                  <c:v>Expenditures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'Data Entry'!$C$100:$N$100</c:f>
              <c:numCache>
                <c:formatCode>#,##0</c:formatCode>
                <c:ptCount val="12"/>
                <c:pt idx="0">
                  <c:v>579569.05894063821</c:v>
                </c:pt>
                <c:pt idx="1">
                  <c:v>790694.85894063814</c:v>
                </c:pt>
                <c:pt idx="2">
                  <c:v>1208639.8589406381</c:v>
                </c:pt>
                <c:pt idx="3">
                  <c:v>1573477.8589406381</c:v>
                </c:pt>
                <c:pt idx="4">
                  <c:v>2155606.8589406381</c:v>
                </c:pt>
                <c:pt idx="5">
                  <c:v>2798110.8589406381</c:v>
                </c:pt>
                <c:pt idx="6">
                  <c:v>2951520.8589406381</c:v>
                </c:pt>
                <c:pt idx="7">
                  <c:v>2951520.8589406381</c:v>
                </c:pt>
                <c:pt idx="8">
                  <c:v>2951520.8589406381</c:v>
                </c:pt>
                <c:pt idx="9">
                  <c:v>2951520.8589406381</c:v>
                </c:pt>
                <c:pt idx="10">
                  <c:v>2951520.8589406381</c:v>
                </c:pt>
                <c:pt idx="11">
                  <c:v>2951520.8589406381</c:v>
                </c:pt>
              </c:numCache>
            </c:numRef>
          </c:val>
          <c:smooth val="0"/>
          <c:extLst xmlns:c16r2="http://schemas.microsoft.com/office/drawing/2015/06/chart">
            <c:ext xmlns:c16="http://schemas.microsoft.com/office/drawing/2014/chart" uri="{C3380CC4-5D6E-409C-BE32-E72D297353CC}">
              <c16:uniqueId val="{00000002-842A-4717-9F14-C1424E821776}"/>
            </c:ext>
          </c:extLst>
        </c:ser>
        <c:dLbls>
          <c:showLegendKey val="0"/>
          <c:showVal val="0"/>
          <c:showCatName val="0"/>
          <c:showSerName val="0"/>
          <c:showPercent val="0"/>
          <c:showBubbleSize val="0"/>
        </c:dLbls>
        <c:marker val="1"/>
        <c:smooth val="0"/>
        <c:axId val="187136512"/>
        <c:axId val="186051968"/>
      </c:lineChart>
      <c:catAx>
        <c:axId val="187136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86051968"/>
        <c:crosses val="autoZero"/>
        <c:auto val="1"/>
        <c:lblAlgn val="ctr"/>
        <c:lblOffset val="100"/>
        <c:tickLblSkip val="1"/>
        <c:tickMarkSkip val="1"/>
        <c:noMultiLvlLbl val="0"/>
      </c:catAx>
      <c:valAx>
        <c:axId val="18605196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87136512"/>
        <c:crosses val="autoZero"/>
        <c:crossBetween val="between"/>
      </c:valAx>
      <c:spPr>
        <a:solidFill>
          <a:srgbClr val="FFFFFF"/>
        </a:solidFill>
        <a:ln w="12700">
          <a:solidFill>
            <a:srgbClr val="808080"/>
          </a:solidFill>
          <a:prstDash val="solid"/>
        </a:ln>
      </c:spPr>
    </c:plotArea>
    <c:legend>
      <c:legendPos val="r"/>
      <c:layout>
        <c:manualLayout>
          <c:xMode val="edge"/>
          <c:yMode val="edge"/>
          <c:x val="0.118500846382325"/>
          <c:y val="0.64628238564101104"/>
          <c:w val="0.80349354376308002"/>
          <c:h val="0.156468367049929"/>
        </c:manualLayout>
      </c:layout>
      <c:overlay val="0"/>
      <c:spPr>
        <a:noFill/>
        <a:ln w="25400">
          <a:noFill/>
        </a:ln>
      </c:spPr>
      <c:txPr>
        <a:bodyPr/>
        <a:lstStyle/>
        <a:p>
          <a:pPr>
            <a:defRPr sz="42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
          <c:y val="8.9552622711734503E-2"/>
          <c:w val="0.83314004319329604"/>
          <c:h val="0.65320736566206306"/>
        </c:manualLayout>
      </c:layout>
      <c:barChart>
        <c:barDir val="col"/>
        <c:grouping val="clustered"/>
        <c:varyColors val="0"/>
        <c:ser>
          <c:idx val="0"/>
          <c:order val="0"/>
          <c:tx>
            <c:strRef>
              <c:f>'Data Entry'!$G$120</c:f>
              <c:strCache>
                <c:ptCount val="1"/>
                <c:pt idx="0">
                  <c:v>Target</c:v>
                </c:pt>
              </c:strCache>
            </c:strRef>
          </c:tx>
          <c:spPr>
            <a:solidFill>
              <a:srgbClr val="0066CC"/>
            </a:solidFill>
            <a:ln w="25400">
              <a:noFill/>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Entry'!$H$120:$S$120</c:f>
              <c:numCache>
                <c:formatCode>_(* #,##0_);_(* \(#,##0\);_(* "-"??_);_(@_)</c:formatCode>
                <c:ptCount val="12"/>
                <c:pt idx="0">
                  <c:v>4250</c:v>
                </c:pt>
                <c:pt idx="1">
                  <c:v>4250</c:v>
                </c:pt>
                <c:pt idx="2" formatCode="#,##0">
                  <c:v>1487.5</c:v>
                </c:pt>
                <c:pt idx="3" formatCode="#,##0">
                  <c:v>2975</c:v>
                </c:pt>
                <c:pt idx="4" formatCode="#,##0">
                  <c:v>4462.5</c:v>
                </c:pt>
                <c:pt idx="5" formatCode="#,##0">
                  <c:v>5950</c:v>
                </c:pt>
                <c:pt idx="6" formatCode="#,##0">
                  <c:v>2125</c:v>
                </c:pt>
              </c:numCache>
            </c:numRef>
          </c:val>
          <c:extLst xmlns:c16r2="http://schemas.microsoft.com/office/drawing/2015/06/chart">
            <c:ext xmlns:c16="http://schemas.microsoft.com/office/drawing/2014/chart" uri="{C3380CC4-5D6E-409C-BE32-E72D297353CC}">
              <c16:uniqueId val="{00000000-28ED-4437-92EF-FD6AED73C63F}"/>
            </c:ext>
          </c:extLst>
        </c:ser>
        <c:ser>
          <c:idx val="1"/>
          <c:order val="1"/>
          <c:tx>
            <c:strRef>
              <c:f>'Data Entry'!$G$121</c:f>
              <c:strCache>
                <c:ptCount val="1"/>
                <c:pt idx="0">
                  <c:v>Achieved </c:v>
                </c:pt>
              </c:strCache>
            </c:strRef>
          </c:tx>
          <c:spPr>
            <a:solidFill>
              <a:srgbClr val="00CCFF"/>
            </a:solidFill>
            <a:ln w="12700">
              <a:solidFill>
                <a:srgbClr val="000000"/>
              </a:solidFill>
              <a:prstDash val="solid"/>
            </a:ln>
          </c:spPr>
          <c:invertIfNegative val="0"/>
          <c:cat>
            <c:strRef>
              <c:f>'Data Entry'!$H$116:$S$116</c:f>
              <c:strCache>
                <c:ptCount val="12"/>
                <c:pt idx="0">
                  <c:v>P1</c:v>
                </c:pt>
                <c:pt idx="1">
                  <c:v>P2</c:v>
                </c:pt>
                <c:pt idx="2">
                  <c:v>P3</c:v>
                </c:pt>
                <c:pt idx="3">
                  <c:v>P4</c:v>
                </c:pt>
                <c:pt idx="4">
                  <c:v>P5</c:v>
                </c:pt>
                <c:pt idx="5">
                  <c:v>P6</c:v>
                </c:pt>
                <c:pt idx="6">
                  <c:v>P7</c:v>
                </c:pt>
                <c:pt idx="7">
                  <c:v>P8</c:v>
                </c:pt>
                <c:pt idx="8">
                  <c:v>P9</c:v>
                </c:pt>
                <c:pt idx="9">
                  <c:v>P10</c:v>
                </c:pt>
                <c:pt idx="10">
                  <c:v>P11</c:v>
                </c:pt>
                <c:pt idx="11">
                  <c:v>P12</c:v>
                </c:pt>
              </c:strCache>
            </c:strRef>
          </c:cat>
          <c:val>
            <c:numRef>
              <c:f>'Data Entry'!$H$121:$S$121</c:f>
              <c:numCache>
                <c:formatCode>_(* #,##0_);_(* \(#,##0\);_(* "-"??_);_(@_)</c:formatCode>
                <c:ptCount val="12"/>
                <c:pt idx="0">
                  <c:v>3167</c:v>
                </c:pt>
                <c:pt idx="1">
                  <c:v>3826</c:v>
                </c:pt>
                <c:pt idx="2" formatCode="#,##0">
                  <c:v>1383</c:v>
                </c:pt>
                <c:pt idx="3" formatCode="#,##0">
                  <c:v>2314</c:v>
                </c:pt>
                <c:pt idx="4" formatCode="#,##0">
                  <c:v>3126</c:v>
                </c:pt>
                <c:pt idx="5" formatCode="#,##0">
                  <c:v>3846</c:v>
                </c:pt>
                <c:pt idx="6" formatCode="#,##0">
                  <c:v>1857</c:v>
                </c:pt>
              </c:numCache>
            </c:numRef>
          </c:val>
          <c:extLst xmlns:c16r2="http://schemas.microsoft.com/office/drawing/2015/06/chart">
            <c:ext xmlns:c16="http://schemas.microsoft.com/office/drawing/2014/chart" uri="{C3380CC4-5D6E-409C-BE32-E72D297353CC}">
              <c16:uniqueId val="{00000001-28ED-4437-92EF-FD6AED73C63F}"/>
            </c:ext>
          </c:extLst>
        </c:ser>
        <c:dLbls>
          <c:showLegendKey val="0"/>
          <c:showVal val="0"/>
          <c:showCatName val="0"/>
          <c:showSerName val="0"/>
          <c:showPercent val="0"/>
          <c:showBubbleSize val="0"/>
        </c:dLbls>
        <c:gapWidth val="150"/>
        <c:axId val="187409920"/>
        <c:axId val="186054272"/>
      </c:barChart>
      <c:catAx>
        <c:axId val="187409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186054272"/>
        <c:crosses val="autoZero"/>
        <c:auto val="1"/>
        <c:lblAlgn val="ctr"/>
        <c:lblOffset val="100"/>
        <c:tickLblSkip val="1"/>
        <c:tickMarkSkip val="1"/>
        <c:noMultiLvlLbl val="0"/>
      </c:catAx>
      <c:valAx>
        <c:axId val="18605427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187409920"/>
        <c:crosses val="autoZero"/>
        <c:crossBetween val="between"/>
      </c:valAx>
      <c:spPr>
        <a:noFill/>
        <a:ln w="25400">
          <a:noFill/>
        </a:ln>
      </c:spPr>
    </c:plotArea>
    <c:legend>
      <c:legendPos val="r"/>
      <c:layout>
        <c:manualLayout>
          <c:xMode val="edge"/>
          <c:yMode val="edge"/>
          <c:x val="0.22541678572328699"/>
          <c:y val="0.90650387761312401"/>
          <c:w val="0.50821238963068305"/>
          <c:h val="7.9139227410669505E-2"/>
        </c:manualLayout>
      </c:layout>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4</xdr:row>
      <xdr:rowOff>152400</xdr:rowOff>
    </xdr:from>
    <xdr:to>
      <xdr:col>11</xdr:col>
      <xdr:colOff>723900</xdr:colOff>
      <xdr:row>19</xdr:row>
      <xdr:rowOff>101600</xdr:rowOff>
    </xdr:to>
    <xdr:pic>
      <xdr:nvPicPr>
        <xdr:cNvPr id="5402930" name="Picture 2">
          <a:extLst>
            <a:ext uri="{FF2B5EF4-FFF2-40B4-BE49-F238E27FC236}">
              <a16:creationId xmlns:a16="http://schemas.microsoft.com/office/drawing/2014/main" xmlns="" id="{00000000-0008-0000-0000-0000327152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50800" y="1397000"/>
          <a:ext cx="8775700" cy="280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787400</xdr:colOff>
      <xdr:row>7</xdr:row>
      <xdr:rowOff>63500</xdr:rowOff>
    </xdr:from>
    <xdr:to>
      <xdr:col>11</xdr:col>
      <xdr:colOff>622300</xdr:colOff>
      <xdr:row>18</xdr:row>
      <xdr:rowOff>152400</xdr:rowOff>
    </xdr:to>
    <xdr:pic>
      <xdr:nvPicPr>
        <xdr:cNvPr id="5402931" name="Picture 824">
          <a:extLst>
            <a:ext uri="{FF2B5EF4-FFF2-40B4-BE49-F238E27FC236}">
              <a16:creationId xmlns:a16="http://schemas.microsoft.com/office/drawing/2014/main" xmlns="" id="{00000000-0008-0000-0000-000033715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34100" y="1879600"/>
          <a:ext cx="2590800" cy="218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292100</xdr:colOff>
      <xdr:row>7</xdr:row>
      <xdr:rowOff>101600</xdr:rowOff>
    </xdr:from>
    <xdr:to>
      <xdr:col>7</xdr:col>
      <xdr:colOff>635000</xdr:colOff>
      <xdr:row>18</xdr:row>
      <xdr:rowOff>88900</xdr:rowOff>
    </xdr:to>
    <xdr:sp macro="" textlink="">
      <xdr:nvSpPr>
        <xdr:cNvPr id="5402932" name="AutoShape 27">
          <a:extLst>
            <a:ext uri="{FF2B5EF4-FFF2-40B4-BE49-F238E27FC236}">
              <a16:creationId xmlns:a16="http://schemas.microsoft.com/office/drawing/2014/main" xmlns="" id="{00000000-0008-0000-0000-000034715200}"/>
            </a:ext>
          </a:extLst>
        </xdr:cNvPr>
        <xdr:cNvSpPr>
          <a:spLocks noChangeArrowheads="1"/>
        </xdr:cNvSpPr>
      </xdr:nvSpPr>
      <xdr:spPr bwMode="gray">
        <a:xfrm>
          <a:off x="3009900" y="1917700"/>
          <a:ext cx="2971800" cy="2082800"/>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txBody>
        <a:bodyPr rtlCol="0"/>
        <a:lstStyle/>
        <a:p>
          <a:pPr algn="ctr"/>
          <a:endParaRPr lang="en-US"/>
        </a:p>
      </xdr:txBody>
    </xdr:sp>
    <xdr:clientData/>
  </xdr:twoCellAnchor>
  <xdr:twoCellAnchor>
    <xdr:from>
      <xdr:col>5</xdr:col>
      <xdr:colOff>330200</xdr:colOff>
      <xdr:row>10</xdr:row>
      <xdr:rowOff>63500</xdr:rowOff>
    </xdr:from>
    <xdr:to>
      <xdr:col>6</xdr:col>
      <xdr:colOff>609600</xdr:colOff>
      <xdr:row>12</xdr:row>
      <xdr:rowOff>38100</xdr:rowOff>
    </xdr:to>
    <xdr:grpSp>
      <xdr:nvGrpSpPr>
        <xdr:cNvPr id="5402933" name="Group 25">
          <a:hlinkClick xmlns:r="http://schemas.openxmlformats.org/officeDocument/2006/relationships" r:id="rId3"/>
          <a:extLst>
            <a:ext uri="{FF2B5EF4-FFF2-40B4-BE49-F238E27FC236}">
              <a16:creationId xmlns:a16="http://schemas.microsoft.com/office/drawing/2014/main" xmlns="" id="{00000000-0008-0000-0000-000035715200}"/>
            </a:ext>
          </a:extLst>
        </xdr:cNvPr>
        <xdr:cNvGrpSpPr>
          <a:grpSpLocks/>
        </xdr:cNvGrpSpPr>
      </xdr:nvGrpSpPr>
      <xdr:grpSpPr bwMode="auto">
        <a:xfrm>
          <a:off x="3457575" y="2452688"/>
          <a:ext cx="1041400" cy="355600"/>
          <a:chOff x="1200" y="1912"/>
          <a:chExt cx="3456" cy="774"/>
        </a:xfrm>
      </xdr:grpSpPr>
      <xdr:sp macro="" textlink="">
        <xdr:nvSpPr>
          <xdr:cNvPr id="5402977" name="AutoShape 26">
            <a:extLst>
              <a:ext uri="{FF2B5EF4-FFF2-40B4-BE49-F238E27FC236}">
                <a16:creationId xmlns:a16="http://schemas.microsoft.com/office/drawing/2014/main" xmlns="" id="{00000000-0008-0000-0000-000061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2" name="AutoShape 27">
            <a:extLst>
              <a:ext uri="{FF2B5EF4-FFF2-40B4-BE49-F238E27FC236}">
                <a16:creationId xmlns:a16="http://schemas.microsoft.com/office/drawing/2014/main" xmlns="" id="{00000000-0008-0000-0000-000016000000}"/>
              </a:ext>
            </a:extLst>
          </xdr:cNvPr>
          <xdr:cNvSpPr>
            <a:spLocks noChangeArrowheads="1"/>
          </xdr:cNvSpPr>
        </xdr:nvSpPr>
        <xdr:spPr bwMode="gray">
          <a:xfrm>
            <a:off x="1276" y="1995"/>
            <a:ext cx="3266" cy="608"/>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a:extLst>
              <a:ext uri="{FF2B5EF4-FFF2-40B4-BE49-F238E27FC236}">
                <a16:creationId xmlns:a16="http://schemas.microsoft.com/office/drawing/2014/main" xmlns="" id="{00000000-0008-0000-0000-000017000000}"/>
              </a:ext>
            </a:extLst>
          </xdr:cNvPr>
          <xdr:cNvSpPr>
            <a:spLocks/>
          </xdr:cNvSpPr>
        </xdr:nvSpPr>
        <xdr:spPr bwMode="gray">
          <a:xfrm>
            <a:off x="1314" y="1995"/>
            <a:ext cx="342" cy="33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368300</xdr:colOff>
      <xdr:row>15</xdr:row>
      <xdr:rowOff>177800</xdr:rowOff>
    </xdr:from>
    <xdr:to>
      <xdr:col>6</xdr:col>
      <xdr:colOff>723900</xdr:colOff>
      <xdr:row>17</xdr:row>
      <xdr:rowOff>165100</xdr:rowOff>
    </xdr:to>
    <xdr:grpSp>
      <xdr:nvGrpSpPr>
        <xdr:cNvPr id="5402934" name="Group 25">
          <a:hlinkClick xmlns:r="http://schemas.openxmlformats.org/officeDocument/2006/relationships" r:id="rId4"/>
          <a:extLst>
            <a:ext uri="{FF2B5EF4-FFF2-40B4-BE49-F238E27FC236}">
              <a16:creationId xmlns:a16="http://schemas.microsoft.com/office/drawing/2014/main" xmlns="" id="{00000000-0008-0000-0000-000036715200}"/>
            </a:ext>
          </a:extLst>
        </xdr:cNvPr>
        <xdr:cNvGrpSpPr>
          <a:grpSpLocks/>
        </xdr:cNvGrpSpPr>
      </xdr:nvGrpSpPr>
      <xdr:grpSpPr bwMode="auto">
        <a:xfrm>
          <a:off x="3495675" y="3519488"/>
          <a:ext cx="1117600" cy="368300"/>
          <a:chOff x="1200" y="1912"/>
          <a:chExt cx="3456" cy="774"/>
        </a:xfrm>
      </xdr:grpSpPr>
      <xdr:sp macro="" textlink="">
        <xdr:nvSpPr>
          <xdr:cNvPr id="5402974" name="AutoShape 26">
            <a:extLst>
              <a:ext uri="{FF2B5EF4-FFF2-40B4-BE49-F238E27FC236}">
                <a16:creationId xmlns:a16="http://schemas.microsoft.com/office/drawing/2014/main" xmlns="" id="{00000000-0008-0000-0000-00005E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6" name="AutoShape 27">
            <a:extLst>
              <a:ext uri="{FF2B5EF4-FFF2-40B4-BE49-F238E27FC236}">
                <a16:creationId xmlns:a16="http://schemas.microsoft.com/office/drawing/2014/main" xmlns="" id="{00000000-0008-0000-0000-00001A000000}"/>
              </a:ext>
            </a:extLst>
          </xdr:cNvPr>
          <xdr:cNvSpPr>
            <a:spLocks noChangeArrowheads="1"/>
          </xdr:cNvSpPr>
        </xdr:nvSpPr>
        <xdr:spPr bwMode="gray">
          <a:xfrm>
            <a:off x="1307" y="1992"/>
            <a:ext cx="3278" cy="614"/>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a:extLst>
              <a:ext uri="{FF2B5EF4-FFF2-40B4-BE49-F238E27FC236}">
                <a16:creationId xmlns:a16="http://schemas.microsoft.com/office/drawing/2014/main" xmlns="" id="{00000000-0008-0000-0000-00001B000000}"/>
              </a:ext>
            </a:extLst>
          </xdr:cNvPr>
          <xdr:cNvSpPr>
            <a:spLocks/>
          </xdr:cNvSpPr>
        </xdr:nvSpPr>
        <xdr:spPr bwMode="gray">
          <a:xfrm>
            <a:off x="1307" y="1992"/>
            <a:ext cx="356" cy="34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330200</xdr:colOff>
      <xdr:row>13</xdr:row>
      <xdr:rowOff>12700</xdr:rowOff>
    </xdr:from>
    <xdr:to>
      <xdr:col>6</xdr:col>
      <xdr:colOff>685800</xdr:colOff>
      <xdr:row>15</xdr:row>
      <xdr:rowOff>0</xdr:rowOff>
    </xdr:to>
    <xdr:grpSp>
      <xdr:nvGrpSpPr>
        <xdr:cNvPr id="5402935" name="Group 25">
          <a:hlinkClick xmlns:r="http://schemas.openxmlformats.org/officeDocument/2006/relationships" r:id="rId5"/>
          <a:extLst>
            <a:ext uri="{FF2B5EF4-FFF2-40B4-BE49-F238E27FC236}">
              <a16:creationId xmlns:a16="http://schemas.microsoft.com/office/drawing/2014/main" xmlns="" id="{00000000-0008-0000-0000-000037715200}"/>
            </a:ext>
          </a:extLst>
        </xdr:cNvPr>
        <xdr:cNvGrpSpPr>
          <a:grpSpLocks/>
        </xdr:cNvGrpSpPr>
      </xdr:nvGrpSpPr>
      <xdr:grpSpPr bwMode="auto">
        <a:xfrm>
          <a:off x="3457575" y="2973388"/>
          <a:ext cx="1117600" cy="368300"/>
          <a:chOff x="1200" y="1912"/>
          <a:chExt cx="3456" cy="774"/>
        </a:xfrm>
      </xdr:grpSpPr>
      <xdr:sp macro="" textlink="">
        <xdr:nvSpPr>
          <xdr:cNvPr id="5402971" name="AutoShape 26">
            <a:extLst>
              <a:ext uri="{FF2B5EF4-FFF2-40B4-BE49-F238E27FC236}">
                <a16:creationId xmlns:a16="http://schemas.microsoft.com/office/drawing/2014/main" xmlns="" id="{00000000-0008-0000-0000-00005B715200}"/>
              </a:ext>
            </a:extLst>
          </xdr:cNvPr>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sp macro="" textlink="">
        <xdr:nvSpPr>
          <xdr:cNvPr id="207941" name="AutoShape 27">
            <a:extLst>
              <a:ext uri="{FF2B5EF4-FFF2-40B4-BE49-F238E27FC236}">
                <a16:creationId xmlns:a16="http://schemas.microsoft.com/office/drawing/2014/main" xmlns="" id="{00000000-0008-0000-0000-0000452C0300}"/>
              </a:ext>
            </a:extLst>
          </xdr:cNvPr>
          <xdr:cNvSpPr>
            <a:spLocks noChangeArrowheads="1"/>
          </xdr:cNvSpPr>
        </xdr:nvSpPr>
        <xdr:spPr bwMode="gray">
          <a:xfrm>
            <a:off x="1307" y="1992"/>
            <a:ext cx="3278" cy="614"/>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a:extLst>
              <a:ext uri="{FF2B5EF4-FFF2-40B4-BE49-F238E27FC236}">
                <a16:creationId xmlns:a16="http://schemas.microsoft.com/office/drawing/2014/main" xmlns="" id="{00000000-0008-0000-0000-0000462C0300}"/>
              </a:ext>
            </a:extLst>
          </xdr:cNvPr>
          <xdr:cNvSpPr>
            <a:spLocks/>
          </xdr:cNvSpPr>
        </xdr:nvSpPr>
        <xdr:spPr bwMode="gray">
          <a:xfrm>
            <a:off x="1307" y="1992"/>
            <a:ext cx="356" cy="34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349250</xdr:colOff>
      <xdr:row>5</xdr:row>
      <xdr:rowOff>0</xdr:rowOff>
    </xdr:from>
    <xdr:to>
      <xdr:col>7</xdr:col>
      <xdr:colOff>460542</xdr:colOff>
      <xdr:row>6</xdr:row>
      <xdr:rowOff>41764</xdr:rowOff>
    </xdr:to>
    <xdr:sp macro="" textlink="">
      <xdr:nvSpPr>
        <xdr:cNvPr id="4899" name="Rectangle 803">
          <a:extLst>
            <a:ext uri="{FF2B5EF4-FFF2-40B4-BE49-F238E27FC236}">
              <a16:creationId xmlns:a16="http://schemas.microsoft.com/office/drawing/2014/main" xmlns="" id="{00000000-0008-0000-0000-000023130000}"/>
            </a:ext>
          </a:extLst>
        </xdr:cNvPr>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342900</xdr:colOff>
      <xdr:row>11</xdr:row>
      <xdr:rowOff>0</xdr:rowOff>
    </xdr:from>
    <xdr:to>
      <xdr:col>11</xdr:col>
      <xdr:colOff>190500</xdr:colOff>
      <xdr:row>13</xdr:row>
      <xdr:rowOff>25400</xdr:rowOff>
    </xdr:to>
    <xdr:grpSp>
      <xdr:nvGrpSpPr>
        <xdr:cNvPr id="5402937" name="Group 832">
          <a:hlinkClick xmlns:r="http://schemas.openxmlformats.org/officeDocument/2006/relationships" r:id="rId6"/>
          <a:extLst>
            <a:ext uri="{FF2B5EF4-FFF2-40B4-BE49-F238E27FC236}">
              <a16:creationId xmlns:a16="http://schemas.microsoft.com/office/drawing/2014/main" xmlns="" id="{00000000-0008-0000-0000-000039715200}"/>
            </a:ext>
          </a:extLst>
        </xdr:cNvPr>
        <xdr:cNvGrpSpPr>
          <a:grpSpLocks/>
        </xdr:cNvGrpSpPr>
      </xdr:nvGrpSpPr>
      <xdr:grpSpPr bwMode="auto">
        <a:xfrm>
          <a:off x="5756275" y="2579688"/>
          <a:ext cx="1482725" cy="406400"/>
          <a:chOff x="599" y="262"/>
          <a:chExt cx="158" cy="43"/>
        </a:xfrm>
      </xdr:grpSpPr>
      <xdr:sp macro="" textlink="">
        <xdr:nvSpPr>
          <xdr:cNvPr id="5402967" name="AutoShape 30">
            <a:extLst>
              <a:ext uri="{FF2B5EF4-FFF2-40B4-BE49-F238E27FC236}">
                <a16:creationId xmlns:a16="http://schemas.microsoft.com/office/drawing/2014/main" xmlns="" id="{00000000-0008-0000-0000-000057715200}"/>
              </a:ext>
            </a:extLst>
          </xdr:cNvPr>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8" name="13 Grupo">
            <a:extLst>
              <a:ext uri="{FF2B5EF4-FFF2-40B4-BE49-F238E27FC236}">
                <a16:creationId xmlns:a16="http://schemas.microsoft.com/office/drawing/2014/main" xmlns="" id="{00000000-0008-0000-0000-000058715200}"/>
              </a:ext>
            </a:extLst>
          </xdr:cNvPr>
          <xdr:cNvGrpSpPr>
            <a:grpSpLocks/>
          </xdr:cNvGrpSpPr>
        </xdr:nvGrpSpPr>
        <xdr:grpSpPr bwMode="auto">
          <a:xfrm>
            <a:off x="603" y="267"/>
            <a:ext cx="151" cy="35"/>
            <a:chOff x="1104968" y="2771552"/>
            <a:chExt cx="3605494" cy="566957"/>
          </a:xfrm>
        </xdr:grpSpPr>
        <xdr:sp macro="" textlink="">
          <xdr:nvSpPr>
            <xdr:cNvPr id="4903" name="AutoShape 31">
              <a:extLst>
                <a:ext uri="{FF2B5EF4-FFF2-40B4-BE49-F238E27FC236}">
                  <a16:creationId xmlns:a16="http://schemas.microsoft.com/office/drawing/2014/main" xmlns="" id="{00000000-0008-0000-0000-000027130000}"/>
                </a:ext>
              </a:extLst>
            </xdr:cNvPr>
            <xdr:cNvSpPr>
              <a:spLocks noChangeArrowheads="1"/>
            </xdr:cNvSpPr>
          </xdr:nvSpPr>
          <xdr:spPr bwMode="gray">
            <a:xfrm>
              <a:off x="1009457" y="2690558"/>
              <a:ext cx="3689417" cy="653012"/>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5402970" name="Freeform 32">
              <a:extLst>
                <a:ext uri="{FF2B5EF4-FFF2-40B4-BE49-F238E27FC236}">
                  <a16:creationId xmlns:a16="http://schemas.microsoft.com/office/drawing/2014/main" xmlns="" id="{00000000-0008-0000-0000-00005A715200}"/>
                </a:ext>
              </a:extLst>
            </xdr:cNvPr>
            <xdr:cNvSpPr>
              <a:spLocks/>
            </xdr:cNvSpPr>
          </xdr:nvSpPr>
          <xdr:spPr bwMode="gray">
            <a:xfrm>
              <a:off x="1159456" y="2809862"/>
              <a:ext cx="358092" cy="291066"/>
            </a:xfrm>
            <a:custGeom>
              <a:avLst/>
              <a:gdLst>
                <a:gd name="T0" fmla="*/ 2147483646 w 596"/>
                <a:gd name="T1" fmla="*/ 0 h 598"/>
                <a:gd name="T2" fmla="*/ 0 w 596"/>
                <a:gd name="T3" fmla="*/ 2147483646 h 598"/>
                <a:gd name="T4" fmla="*/ 0 w 596"/>
                <a:gd name="T5" fmla="*/ 2147483646 h 598"/>
                <a:gd name="T6" fmla="*/ 2147483646 w 596"/>
                <a:gd name="T7" fmla="*/ 2147483646 h 598"/>
                <a:gd name="T8" fmla="*/ 2147483646 w 596"/>
                <a:gd name="T9" fmla="*/ 0 h 598"/>
                <a:gd name="T10" fmla="*/ 2147483646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279400</xdr:colOff>
      <xdr:row>7</xdr:row>
      <xdr:rowOff>88900</xdr:rowOff>
    </xdr:from>
    <xdr:to>
      <xdr:col>4</xdr:col>
      <xdr:colOff>127000</xdr:colOff>
      <xdr:row>18</xdr:row>
      <xdr:rowOff>101600</xdr:rowOff>
    </xdr:to>
    <xdr:grpSp>
      <xdr:nvGrpSpPr>
        <xdr:cNvPr id="5402938" name="Group 830">
          <a:extLst>
            <a:ext uri="{FF2B5EF4-FFF2-40B4-BE49-F238E27FC236}">
              <a16:creationId xmlns:a16="http://schemas.microsoft.com/office/drawing/2014/main" xmlns="" id="{00000000-0008-0000-0000-00003A715200}"/>
            </a:ext>
          </a:extLst>
        </xdr:cNvPr>
        <xdr:cNvGrpSpPr>
          <a:grpSpLocks/>
        </xdr:cNvGrpSpPr>
      </xdr:nvGrpSpPr>
      <xdr:grpSpPr bwMode="auto">
        <a:xfrm>
          <a:off x="358775" y="1906588"/>
          <a:ext cx="2133600" cy="2108200"/>
          <a:chOff x="32" y="188"/>
          <a:chExt cx="225" cy="225"/>
        </a:xfrm>
      </xdr:grpSpPr>
      <xdr:sp macro="" textlink="">
        <xdr:nvSpPr>
          <xdr:cNvPr id="5402965" name="AutoShape 31">
            <a:extLst>
              <a:ext uri="{FF2B5EF4-FFF2-40B4-BE49-F238E27FC236}">
                <a16:creationId xmlns:a16="http://schemas.microsoft.com/office/drawing/2014/main" xmlns="" id="{00000000-0008-0000-0000-000055715200}"/>
              </a:ext>
            </a:extLst>
          </xdr:cNvPr>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txBody>
          <a:bodyPr rtlCol="0"/>
          <a:lstStyle/>
          <a:p>
            <a:pPr algn="ctr"/>
            <a:endParaRPr lang="en-US"/>
          </a:p>
        </xdr:txBody>
      </xdr:sp>
      <xdr:sp macro="" textlink="">
        <xdr:nvSpPr>
          <xdr:cNvPr id="4913" name="Freeform 32">
            <a:extLst>
              <a:ext uri="{FF2B5EF4-FFF2-40B4-BE49-F238E27FC236}">
                <a16:creationId xmlns:a16="http://schemas.microsoft.com/office/drawing/2014/main" xmlns="" id="{00000000-0008-0000-0000-000031130000}"/>
              </a:ext>
            </a:extLst>
          </xdr:cNvPr>
          <xdr:cNvSpPr>
            <a:spLocks/>
          </xdr:cNvSpPr>
        </xdr:nvSpPr>
        <xdr:spPr bwMode="gray">
          <a:xfrm>
            <a:off x="42" y="197"/>
            <a:ext cx="55" cy="2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330200</xdr:colOff>
      <xdr:row>14</xdr:row>
      <xdr:rowOff>63500</xdr:rowOff>
    </xdr:from>
    <xdr:to>
      <xdr:col>11</xdr:col>
      <xdr:colOff>177800</xdr:colOff>
      <xdr:row>16</xdr:row>
      <xdr:rowOff>88900</xdr:rowOff>
    </xdr:to>
    <xdr:grpSp>
      <xdr:nvGrpSpPr>
        <xdr:cNvPr id="5402939" name="Group 826">
          <a:extLst>
            <a:ext uri="{FF2B5EF4-FFF2-40B4-BE49-F238E27FC236}">
              <a16:creationId xmlns:a16="http://schemas.microsoft.com/office/drawing/2014/main" xmlns="" id="{00000000-0008-0000-0000-00003B715200}"/>
            </a:ext>
          </a:extLst>
        </xdr:cNvPr>
        <xdr:cNvGrpSpPr>
          <a:grpSpLocks/>
        </xdr:cNvGrpSpPr>
      </xdr:nvGrpSpPr>
      <xdr:grpSpPr bwMode="auto">
        <a:xfrm>
          <a:off x="5743575" y="3214688"/>
          <a:ext cx="1482725" cy="406400"/>
          <a:chOff x="578" y="328"/>
          <a:chExt cx="158" cy="43"/>
        </a:xfrm>
      </xdr:grpSpPr>
      <xdr:sp macro="" textlink="">
        <xdr:nvSpPr>
          <xdr:cNvPr id="5402961" name="AutoShape 30">
            <a:extLst>
              <a:ext uri="{FF2B5EF4-FFF2-40B4-BE49-F238E27FC236}">
                <a16:creationId xmlns:a16="http://schemas.microsoft.com/office/drawing/2014/main" xmlns="" id="{00000000-0008-0000-0000-000051715200}"/>
              </a:ext>
            </a:extLst>
          </xdr:cNvPr>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62" name="Group 823">
            <a:extLst>
              <a:ext uri="{FF2B5EF4-FFF2-40B4-BE49-F238E27FC236}">
                <a16:creationId xmlns:a16="http://schemas.microsoft.com/office/drawing/2014/main" xmlns="" id="{00000000-0008-0000-0000-000052715200}"/>
              </a:ext>
            </a:extLst>
          </xdr:cNvPr>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a:extLst>
                <a:ext uri="{FF2B5EF4-FFF2-40B4-BE49-F238E27FC236}">
                  <a16:creationId xmlns:a16="http://schemas.microsoft.com/office/drawing/2014/main" xmlns="" id="{00000000-0008-0000-0000-00002C130000}"/>
                </a:ext>
              </a:extLst>
            </xdr:cNvPr>
            <xdr:cNvSpPr>
              <a:spLocks noChangeArrowheads="1"/>
            </xdr:cNvSpPr>
          </xdr:nvSpPr>
          <xdr:spPr bwMode="gray">
            <a:xfrm>
              <a:off x="582" y="332"/>
              <a:ext cx="151" cy="36"/>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5402964" name="Freeform 32">
              <a:extLst>
                <a:ext uri="{FF2B5EF4-FFF2-40B4-BE49-F238E27FC236}">
                  <a16:creationId xmlns:a16="http://schemas.microsoft.com/office/drawing/2014/main" xmlns="" id="{00000000-0008-0000-0000-000054715200}"/>
                </a:ext>
              </a:extLst>
            </xdr:cNvPr>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grpSp>
    <xdr:clientData/>
  </xdr:twoCellAnchor>
  <xdr:twoCellAnchor>
    <xdr:from>
      <xdr:col>1</xdr:col>
      <xdr:colOff>596900</xdr:colOff>
      <xdr:row>15</xdr:row>
      <xdr:rowOff>127000</xdr:rowOff>
    </xdr:from>
    <xdr:to>
      <xdr:col>3</xdr:col>
      <xdr:colOff>571500</xdr:colOff>
      <xdr:row>17</xdr:row>
      <xdr:rowOff>101600</xdr:rowOff>
    </xdr:to>
    <xdr:grpSp>
      <xdr:nvGrpSpPr>
        <xdr:cNvPr id="5402940" name="Group 831">
          <a:hlinkClick xmlns:r="http://schemas.openxmlformats.org/officeDocument/2006/relationships" r:id="rId8"/>
          <a:extLst>
            <a:ext uri="{FF2B5EF4-FFF2-40B4-BE49-F238E27FC236}">
              <a16:creationId xmlns:a16="http://schemas.microsoft.com/office/drawing/2014/main" xmlns="" id="{00000000-0008-0000-0000-00003C715200}"/>
            </a:ext>
          </a:extLst>
        </xdr:cNvPr>
        <xdr:cNvGrpSpPr>
          <a:grpSpLocks/>
        </xdr:cNvGrpSpPr>
      </xdr:nvGrpSpPr>
      <xdr:grpSpPr bwMode="auto">
        <a:xfrm>
          <a:off x="676275" y="3468688"/>
          <a:ext cx="1498600" cy="355600"/>
          <a:chOff x="56" y="259"/>
          <a:chExt cx="158" cy="40"/>
        </a:xfrm>
      </xdr:grpSpPr>
      <xdr:sp macro="" textlink="">
        <xdr:nvSpPr>
          <xdr:cNvPr id="5402957" name="AutoShape 30">
            <a:extLst>
              <a:ext uri="{FF2B5EF4-FFF2-40B4-BE49-F238E27FC236}">
                <a16:creationId xmlns:a16="http://schemas.microsoft.com/office/drawing/2014/main" xmlns="" id="{00000000-0008-0000-0000-00004D715200}"/>
              </a:ext>
            </a:extLst>
          </xdr:cNvPr>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8" name="11 Grupo">
            <a:extLst>
              <a:ext uri="{FF2B5EF4-FFF2-40B4-BE49-F238E27FC236}">
                <a16:creationId xmlns:a16="http://schemas.microsoft.com/office/drawing/2014/main" xmlns="" id="{00000000-0008-0000-0000-00004E715200}"/>
              </a:ext>
            </a:extLst>
          </xdr:cNvPr>
          <xdr:cNvGrpSpPr>
            <a:grpSpLocks/>
          </xdr:cNvGrpSpPr>
        </xdr:nvGrpSpPr>
        <xdr:grpSpPr bwMode="auto">
          <a:xfrm>
            <a:off x="60" y="263"/>
            <a:ext cx="151" cy="32"/>
            <a:chOff x="1104968" y="2771584"/>
            <a:chExt cx="3605494" cy="566957"/>
          </a:xfrm>
        </xdr:grpSpPr>
        <xdr:sp macro="" textlink="">
          <xdr:nvSpPr>
            <xdr:cNvPr id="9" name="AutoShape 31">
              <a:extLst>
                <a:ext uri="{FF2B5EF4-FFF2-40B4-BE49-F238E27FC236}">
                  <a16:creationId xmlns:a16="http://schemas.microsoft.com/office/drawing/2014/main" xmlns="" id="{00000000-0008-0000-0000-000009000000}"/>
                </a:ext>
              </a:extLst>
            </xdr:cNvPr>
            <xdr:cNvSpPr>
              <a:spLocks noChangeArrowheads="1"/>
            </xdr:cNvSpPr>
          </xdr:nvSpPr>
          <xdr:spPr bwMode="gray">
            <a:xfrm>
              <a:off x="1009457" y="2903199"/>
              <a:ext cx="3689417" cy="455590"/>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a:extLst>
                <a:ext uri="{FF2B5EF4-FFF2-40B4-BE49-F238E27FC236}">
                  <a16:creationId xmlns:a16="http://schemas.microsoft.com/office/drawing/2014/main" xmlns="" id="{00000000-0008-0000-0000-00000A000000}"/>
                </a:ext>
              </a:extLst>
            </xdr:cNvPr>
            <xdr:cNvSpPr>
              <a:spLocks/>
            </xdr:cNvSpPr>
          </xdr:nvSpPr>
          <xdr:spPr bwMode="gray">
            <a:xfrm>
              <a:off x="1148157" y="2903199"/>
              <a:ext cx="360620" cy="202485"/>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10</xdr:row>
      <xdr:rowOff>25400</xdr:rowOff>
    </xdr:from>
    <xdr:to>
      <xdr:col>3</xdr:col>
      <xdr:colOff>571500</xdr:colOff>
      <xdr:row>12</xdr:row>
      <xdr:rowOff>12700</xdr:rowOff>
    </xdr:to>
    <xdr:grpSp>
      <xdr:nvGrpSpPr>
        <xdr:cNvPr id="5402941" name="37 Grupo">
          <a:hlinkClick xmlns:r="http://schemas.openxmlformats.org/officeDocument/2006/relationships" r:id="rId9"/>
          <a:extLst>
            <a:ext uri="{FF2B5EF4-FFF2-40B4-BE49-F238E27FC236}">
              <a16:creationId xmlns:a16="http://schemas.microsoft.com/office/drawing/2014/main" xmlns="" id="{00000000-0008-0000-0000-00003D715200}"/>
            </a:ext>
          </a:extLst>
        </xdr:cNvPr>
        <xdr:cNvGrpSpPr>
          <a:grpSpLocks/>
        </xdr:cNvGrpSpPr>
      </xdr:nvGrpSpPr>
      <xdr:grpSpPr bwMode="auto">
        <a:xfrm>
          <a:off x="676275" y="2414588"/>
          <a:ext cx="1498600" cy="368300"/>
          <a:chOff x="1343025" y="2428876"/>
          <a:chExt cx="3240982" cy="617274"/>
        </a:xfrm>
      </xdr:grpSpPr>
      <xdr:sp macro="" textlink="">
        <xdr:nvSpPr>
          <xdr:cNvPr id="5402953" name="AutoShape 30">
            <a:extLst>
              <a:ext uri="{FF2B5EF4-FFF2-40B4-BE49-F238E27FC236}">
                <a16:creationId xmlns:a16="http://schemas.microsoft.com/office/drawing/2014/main" xmlns="" id="{00000000-0008-0000-0000-000049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4" name="13 Grupo">
            <a:extLst>
              <a:ext uri="{FF2B5EF4-FFF2-40B4-BE49-F238E27FC236}">
                <a16:creationId xmlns:a16="http://schemas.microsoft.com/office/drawing/2014/main" xmlns="" id="{00000000-0008-0000-0000-00004A715200}"/>
              </a:ext>
            </a:extLst>
          </xdr:cNvPr>
          <xdr:cNvGrpSpPr>
            <a:grpSpLocks/>
          </xdr:cNvGrpSpPr>
        </xdr:nvGrpSpPr>
        <xdr:grpSpPr bwMode="auto">
          <a:xfrm>
            <a:off x="1419283" y="2495353"/>
            <a:ext cx="3097998" cy="503316"/>
            <a:chOff x="1104968" y="2771552"/>
            <a:chExt cx="3605494" cy="566957"/>
          </a:xfrm>
        </xdr:grpSpPr>
        <xdr:sp macro="" textlink="">
          <xdr:nvSpPr>
            <xdr:cNvPr id="3" name="AutoShape 31">
              <a:extLst>
                <a:ext uri="{FF2B5EF4-FFF2-40B4-BE49-F238E27FC236}">
                  <a16:creationId xmlns:a16="http://schemas.microsoft.com/office/drawing/2014/main" xmlns="" id="{00000000-0008-0000-0000-000003000000}"/>
                </a:ext>
              </a:extLst>
            </xdr:cNvPr>
            <xdr:cNvSpPr>
              <a:spLocks noChangeArrowheads="1"/>
            </xdr:cNvSpPr>
          </xdr:nvSpPr>
          <xdr:spPr bwMode="gray">
            <a:xfrm>
              <a:off x="1099421" y="2768599"/>
              <a:ext cx="3605494" cy="575441"/>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a:extLst>
                <a:ext uri="{FF2B5EF4-FFF2-40B4-BE49-F238E27FC236}">
                  <a16:creationId xmlns:a16="http://schemas.microsoft.com/office/drawing/2014/main" xmlns="" id="{00000000-0008-0000-0000-000004000000}"/>
                </a:ext>
              </a:extLst>
            </xdr:cNvPr>
            <xdr:cNvSpPr>
              <a:spLocks/>
            </xdr:cNvSpPr>
          </xdr:nvSpPr>
          <xdr:spPr bwMode="gray">
            <a:xfrm>
              <a:off x="1154890" y="2792576"/>
              <a:ext cx="360549" cy="31169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596900</xdr:colOff>
      <xdr:row>12</xdr:row>
      <xdr:rowOff>177800</xdr:rowOff>
    </xdr:from>
    <xdr:to>
      <xdr:col>3</xdr:col>
      <xdr:colOff>571500</xdr:colOff>
      <xdr:row>14</xdr:row>
      <xdr:rowOff>177800</xdr:rowOff>
    </xdr:to>
    <xdr:grpSp>
      <xdr:nvGrpSpPr>
        <xdr:cNvPr id="5402942" name="37 Grupo">
          <a:hlinkClick xmlns:r="http://schemas.openxmlformats.org/officeDocument/2006/relationships" r:id="rId10"/>
          <a:extLst>
            <a:ext uri="{FF2B5EF4-FFF2-40B4-BE49-F238E27FC236}">
              <a16:creationId xmlns:a16="http://schemas.microsoft.com/office/drawing/2014/main" xmlns="" id="{00000000-0008-0000-0000-00003E715200}"/>
            </a:ext>
          </a:extLst>
        </xdr:cNvPr>
        <xdr:cNvGrpSpPr>
          <a:grpSpLocks/>
        </xdr:cNvGrpSpPr>
      </xdr:nvGrpSpPr>
      <xdr:grpSpPr bwMode="auto">
        <a:xfrm>
          <a:off x="676275" y="2947988"/>
          <a:ext cx="1498600" cy="381000"/>
          <a:chOff x="1343025" y="2428876"/>
          <a:chExt cx="3240982" cy="617274"/>
        </a:xfrm>
      </xdr:grpSpPr>
      <xdr:sp macro="" textlink="">
        <xdr:nvSpPr>
          <xdr:cNvPr id="5402949" name="AutoShape 30">
            <a:extLst>
              <a:ext uri="{FF2B5EF4-FFF2-40B4-BE49-F238E27FC236}">
                <a16:creationId xmlns:a16="http://schemas.microsoft.com/office/drawing/2014/main" xmlns="" id="{00000000-0008-0000-0000-000045715200}"/>
              </a:ext>
            </a:extLst>
          </xdr:cNvPr>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blurRad="63500" dist="135003" dir="2928844" algn="ctr" rotWithShape="0">
              <a:srgbClr val="000000">
                <a:alpha val="50000"/>
              </a:srgbClr>
            </a:outerShdw>
          </a:effectLst>
        </xdr:spPr>
        <xdr:txBody>
          <a:bodyPr rtlCol="0"/>
          <a:lstStyle/>
          <a:p>
            <a:pPr algn="ctr"/>
            <a:endParaRPr lang="en-US"/>
          </a:p>
        </xdr:txBody>
      </xdr:sp>
      <xdr:grpSp>
        <xdr:nvGrpSpPr>
          <xdr:cNvPr id="5402950" name="13 Grupo">
            <a:extLst>
              <a:ext uri="{FF2B5EF4-FFF2-40B4-BE49-F238E27FC236}">
                <a16:creationId xmlns:a16="http://schemas.microsoft.com/office/drawing/2014/main" xmlns="" id="{00000000-0008-0000-0000-000046715200}"/>
              </a:ext>
            </a:extLst>
          </xdr:cNvPr>
          <xdr:cNvGrpSpPr>
            <a:grpSpLocks/>
          </xdr:cNvGrpSpPr>
        </xdr:nvGrpSpPr>
        <xdr:grpSpPr bwMode="auto">
          <a:xfrm>
            <a:off x="1419283" y="2495353"/>
            <a:ext cx="3097998" cy="503316"/>
            <a:chOff x="1104968" y="2771552"/>
            <a:chExt cx="3605494" cy="566957"/>
          </a:xfrm>
        </xdr:grpSpPr>
        <xdr:sp macro="" textlink="">
          <xdr:nvSpPr>
            <xdr:cNvPr id="14" name="AutoShape 31">
              <a:extLst>
                <a:ext uri="{FF2B5EF4-FFF2-40B4-BE49-F238E27FC236}">
                  <a16:creationId xmlns:a16="http://schemas.microsoft.com/office/drawing/2014/main" xmlns="" id="{00000000-0008-0000-0000-00000E000000}"/>
                </a:ext>
              </a:extLst>
            </xdr:cNvPr>
            <xdr:cNvSpPr>
              <a:spLocks noChangeArrowheads="1"/>
            </xdr:cNvSpPr>
          </xdr:nvSpPr>
          <xdr:spPr bwMode="gray">
            <a:xfrm>
              <a:off x="1099421" y="2766201"/>
              <a:ext cx="3605494" cy="579436"/>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a:extLst>
                <a:ext uri="{FF2B5EF4-FFF2-40B4-BE49-F238E27FC236}">
                  <a16:creationId xmlns:a16="http://schemas.microsoft.com/office/drawing/2014/main" xmlns="" id="{00000000-0008-0000-0000-00000F000000}"/>
                </a:ext>
              </a:extLst>
            </xdr:cNvPr>
            <xdr:cNvSpPr>
              <a:spLocks/>
            </xdr:cNvSpPr>
          </xdr:nvSpPr>
          <xdr:spPr bwMode="gray">
            <a:xfrm>
              <a:off x="1154890" y="2766201"/>
              <a:ext cx="360549" cy="347662"/>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292100</xdr:colOff>
      <xdr:row>7</xdr:row>
      <xdr:rowOff>63500</xdr:rowOff>
    </xdr:from>
    <xdr:to>
      <xdr:col>4</xdr:col>
      <xdr:colOff>127000</xdr:colOff>
      <xdr:row>9</xdr:row>
      <xdr:rowOff>127000</xdr:rowOff>
    </xdr:to>
    <xdr:pic>
      <xdr:nvPicPr>
        <xdr:cNvPr id="5402943" name="Picture 2012">
          <a:extLst>
            <a:ext uri="{FF2B5EF4-FFF2-40B4-BE49-F238E27FC236}">
              <a16:creationId xmlns:a16="http://schemas.microsoft.com/office/drawing/2014/main" xmlns="" id="{00000000-0008-0000-0000-00003F7152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81000" y="1879600"/>
          <a:ext cx="24638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422275</xdr:colOff>
      <xdr:row>7</xdr:row>
      <xdr:rowOff>107950</xdr:rowOff>
    </xdr:from>
    <xdr:to>
      <xdr:col>4</xdr:col>
      <xdr:colOff>38662</xdr:colOff>
      <xdr:row>9</xdr:row>
      <xdr:rowOff>108177</xdr:rowOff>
    </xdr:to>
    <xdr:sp macro="" textlink="">
      <xdr:nvSpPr>
        <xdr:cNvPr id="955357" name="Text Box 2013">
          <a:extLst>
            <a:ext uri="{FF2B5EF4-FFF2-40B4-BE49-F238E27FC236}">
              <a16:creationId xmlns:a16="http://schemas.microsoft.com/office/drawing/2014/main" xmlns="" id="{00000000-0008-0000-0000-0000DD930E00}"/>
            </a:ext>
          </a:extLst>
        </xdr:cNvPr>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700"/>
            </a:lnSpc>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lnSpc>
              <a:spcPts val="1700"/>
            </a:lnSpc>
            <a:defRPr sz="1000"/>
          </a:pPr>
          <a:endParaRPr lang="en-US" sz="1800" b="0" i="0" strike="noStrike">
            <a:solidFill>
              <a:srgbClr val="000000"/>
            </a:solidFill>
            <a:latin typeface="Arial"/>
            <a:cs typeface="Arial"/>
          </a:endParaRPr>
        </a:p>
      </xdr:txBody>
    </xdr:sp>
    <xdr:clientData/>
  </xdr:twoCellAnchor>
  <xdr:twoCellAnchor editAs="oneCell">
    <xdr:from>
      <xdr:col>4</xdr:col>
      <xdr:colOff>279400</xdr:colOff>
      <xdr:row>7</xdr:row>
      <xdr:rowOff>63500</xdr:rowOff>
    </xdr:from>
    <xdr:to>
      <xdr:col>7</xdr:col>
      <xdr:colOff>647700</xdr:colOff>
      <xdr:row>9</xdr:row>
      <xdr:rowOff>127000</xdr:rowOff>
    </xdr:to>
    <xdr:pic>
      <xdr:nvPicPr>
        <xdr:cNvPr id="5402945" name="Picture 2016">
          <a:extLst>
            <a:ext uri="{FF2B5EF4-FFF2-40B4-BE49-F238E27FC236}">
              <a16:creationId xmlns:a16="http://schemas.microsoft.com/office/drawing/2014/main" xmlns="" id="{00000000-0008-0000-0000-0000417152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997200" y="1879600"/>
          <a:ext cx="29972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692150</xdr:colOff>
      <xdr:row>7</xdr:row>
      <xdr:rowOff>107950</xdr:rowOff>
    </xdr:from>
    <xdr:to>
      <xdr:col>7</xdr:col>
      <xdr:colOff>358774</xdr:colOff>
      <xdr:row>9</xdr:row>
      <xdr:rowOff>104877</xdr:rowOff>
    </xdr:to>
    <xdr:sp macro="" textlink="">
      <xdr:nvSpPr>
        <xdr:cNvPr id="955361" name="Text Box 2017">
          <a:extLst>
            <a:ext uri="{FF2B5EF4-FFF2-40B4-BE49-F238E27FC236}">
              <a16:creationId xmlns:a16="http://schemas.microsoft.com/office/drawing/2014/main" xmlns="" id="{00000000-0008-0000-0000-0000E1930E00}"/>
            </a:ext>
          </a:extLst>
        </xdr:cNvPr>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twoCellAnchor editAs="oneCell">
    <xdr:from>
      <xdr:col>7</xdr:col>
      <xdr:colOff>838200</xdr:colOff>
      <xdr:row>7</xdr:row>
      <xdr:rowOff>88900</xdr:rowOff>
    </xdr:from>
    <xdr:to>
      <xdr:col>11</xdr:col>
      <xdr:colOff>571500</xdr:colOff>
      <xdr:row>9</xdr:row>
      <xdr:rowOff>127000</xdr:rowOff>
    </xdr:to>
    <xdr:pic>
      <xdr:nvPicPr>
        <xdr:cNvPr id="5402947" name="Picture 2018">
          <a:extLst>
            <a:ext uri="{FF2B5EF4-FFF2-40B4-BE49-F238E27FC236}">
              <a16:creationId xmlns:a16="http://schemas.microsoft.com/office/drawing/2014/main" xmlns="" id="{00000000-0008-0000-0000-0000437152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184900" y="1905000"/>
          <a:ext cx="248920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82550</xdr:colOff>
      <xdr:row>7</xdr:row>
      <xdr:rowOff>107950</xdr:rowOff>
    </xdr:from>
    <xdr:to>
      <xdr:col>11</xdr:col>
      <xdr:colOff>479794</xdr:colOff>
      <xdr:row>9</xdr:row>
      <xdr:rowOff>104877</xdr:rowOff>
    </xdr:to>
    <xdr:sp macro="" textlink="">
      <xdr:nvSpPr>
        <xdr:cNvPr id="955363" name="Text Box 2019">
          <a:extLst>
            <a:ext uri="{FF2B5EF4-FFF2-40B4-BE49-F238E27FC236}">
              <a16:creationId xmlns:a16="http://schemas.microsoft.com/office/drawing/2014/main" xmlns="" id="{00000000-0008-0000-0000-0000E3930E00}"/>
            </a:ext>
          </a:extLst>
        </xdr:cNvPr>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lnSpc>
              <a:spcPts val="1500"/>
            </a:lnSpc>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lnSpc>
              <a:spcPts val="1800"/>
            </a:lnSpc>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165100</xdr:colOff>
      <xdr:row>1</xdr:row>
      <xdr:rowOff>63500</xdr:rowOff>
    </xdr:from>
    <xdr:to>
      <xdr:col>1</xdr:col>
      <xdr:colOff>139700</xdr:colOff>
      <xdr:row>4</xdr:row>
      <xdr:rowOff>88900</xdr:rowOff>
    </xdr:to>
    <xdr:pic>
      <xdr:nvPicPr>
        <xdr:cNvPr id="9888" name="Picture 2" descr="C:\Documents and Settings\Administrator\My Documents\My Pictures\Prueba.jpg">
          <a:extLst>
            <a:ext uri="{FF2B5EF4-FFF2-40B4-BE49-F238E27FC236}">
              <a16:creationId xmlns:a16="http://schemas.microsoft.com/office/drawing/2014/main" xmlns="" id="{00000000-0008-0000-0900-0000A026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65100" y="254000"/>
          <a:ext cx="85090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41275</xdr:colOff>
      <xdr:row>0</xdr:row>
      <xdr:rowOff>28575</xdr:rowOff>
    </xdr:from>
    <xdr:to>
      <xdr:col>1</xdr:col>
      <xdr:colOff>1326006</xdr:colOff>
      <xdr:row>1</xdr:row>
      <xdr:rowOff>0</xdr:rowOff>
    </xdr:to>
    <xdr:sp macro="" textlink="">
      <xdr:nvSpPr>
        <xdr:cNvPr id="54346" name="AutoShape 50">
          <a:hlinkClick xmlns:r="http://schemas.openxmlformats.org/officeDocument/2006/relationships" r:id="rId1"/>
          <a:extLst>
            <a:ext uri="{FF2B5EF4-FFF2-40B4-BE49-F238E27FC236}">
              <a16:creationId xmlns:a16="http://schemas.microsoft.com/office/drawing/2014/main" xmlns="" id="{00000000-0008-0000-0100-00004AD40000}"/>
            </a:ext>
          </a:extLst>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1078426</xdr:colOff>
      <xdr:row>1</xdr:row>
      <xdr:rowOff>9525</xdr:rowOff>
    </xdr:to>
    <xdr:sp macro="" textlink="">
      <xdr:nvSpPr>
        <xdr:cNvPr id="6445" name="AutoShape 50">
          <a:hlinkClick xmlns:r="http://schemas.openxmlformats.org/officeDocument/2006/relationships" r:id="rId1"/>
          <a:extLst>
            <a:ext uri="{FF2B5EF4-FFF2-40B4-BE49-F238E27FC236}">
              <a16:creationId xmlns:a16="http://schemas.microsoft.com/office/drawing/2014/main" xmlns="" id="{00000000-0008-0000-0200-00002D190000}"/>
            </a:ext>
          </a:extLst>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1143000</xdr:colOff>
      <xdr:row>34</xdr:row>
      <xdr:rowOff>127000</xdr:rowOff>
    </xdr:from>
    <xdr:to>
      <xdr:col>6</xdr:col>
      <xdr:colOff>1143000</xdr:colOff>
      <xdr:row>45</xdr:row>
      <xdr:rowOff>165100</xdr:rowOff>
    </xdr:to>
    <xdr:cxnSp macro="">
      <xdr:nvCxnSpPr>
        <xdr:cNvPr id="4254007" name="AutoShape 100">
          <a:extLst>
            <a:ext uri="{FF2B5EF4-FFF2-40B4-BE49-F238E27FC236}">
              <a16:creationId xmlns:a16="http://schemas.microsoft.com/office/drawing/2014/main" xmlns="" id="{00000000-0008-0000-0200-000037E94000}"/>
            </a:ext>
          </a:extLst>
        </xdr:cNvPr>
        <xdr:cNvCxnSpPr>
          <a:cxnSpLocks noChangeShapeType="1"/>
        </xdr:cNvCxnSpPr>
      </xdr:nvCxnSpPr>
      <xdr:spPr bwMode="auto">
        <a:xfrm rot="5400000">
          <a:off x="9118600" y="6908800"/>
          <a:ext cx="30988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46</xdr:row>
      <xdr:rowOff>101600</xdr:rowOff>
    </xdr:from>
    <xdr:to>
      <xdr:col>4</xdr:col>
      <xdr:colOff>1219200</xdr:colOff>
      <xdr:row>46</xdr:row>
      <xdr:rowOff>101600</xdr:rowOff>
    </xdr:to>
    <xdr:cxnSp macro="">
      <xdr:nvCxnSpPr>
        <xdr:cNvPr id="4254008" name="AutoShape 101">
          <a:extLst>
            <a:ext uri="{FF2B5EF4-FFF2-40B4-BE49-F238E27FC236}">
              <a16:creationId xmlns:a16="http://schemas.microsoft.com/office/drawing/2014/main" xmlns="" id="{00000000-0008-0000-0200-000038E94000}"/>
            </a:ext>
          </a:extLst>
        </xdr:cNvPr>
        <xdr:cNvCxnSpPr>
          <a:cxnSpLocks noChangeShapeType="1"/>
        </xdr:cNvCxnSpPr>
      </xdr:nvCxnSpPr>
      <xdr:spPr bwMode="auto">
        <a:xfrm rot="10800000">
          <a:off x="6934200" y="8597900"/>
          <a:ext cx="121920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212725</xdr:colOff>
      <xdr:row>2</xdr:row>
      <xdr:rowOff>0</xdr:rowOff>
    </xdr:from>
    <xdr:to>
      <xdr:col>0</xdr:col>
      <xdr:colOff>1353337</xdr:colOff>
      <xdr:row>2</xdr:row>
      <xdr:rowOff>435617</xdr:rowOff>
    </xdr:to>
    <xdr:sp macro="" textlink="">
      <xdr:nvSpPr>
        <xdr:cNvPr id="3189" name="Rectangle 117">
          <a:hlinkClick xmlns:r="http://schemas.openxmlformats.org/officeDocument/2006/relationships" r:id="rId1"/>
          <a:extLst>
            <a:ext uri="{FF2B5EF4-FFF2-40B4-BE49-F238E27FC236}">
              <a16:creationId xmlns:a16="http://schemas.microsoft.com/office/drawing/2014/main" xmlns="" id="{00000000-0008-0000-0300-0000750C0000}"/>
            </a:ext>
          </a:extLst>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lnSpc>
              <a:spcPts val="900"/>
            </a:lnSpc>
            <a:defRPr sz="1000"/>
          </a:pPr>
          <a:r>
            <a:rPr lang="en-ZA" sz="900" b="0" i="0" strike="noStrike">
              <a:solidFill>
                <a:srgbClr val="000000"/>
              </a:solidFill>
              <a:latin typeface="Calibri"/>
            </a:rPr>
            <a:t>http://www.crwflags.com/fotw/flags/country.html</a:t>
          </a:r>
        </a:p>
      </xdr:txBody>
    </xdr:sp>
    <xdr:clientData/>
  </xdr:twoCellAnchor>
  <xdr:twoCellAnchor>
    <xdr:from>
      <xdr:col>0</xdr:col>
      <xdr:colOff>44450</xdr:colOff>
      <xdr:row>0</xdr:row>
      <xdr:rowOff>6350</xdr:rowOff>
    </xdr:from>
    <xdr:to>
      <xdr:col>0</xdr:col>
      <xdr:colOff>1264536</xdr:colOff>
      <xdr:row>1</xdr:row>
      <xdr:rowOff>76401</xdr:rowOff>
    </xdr:to>
    <xdr:sp macro="" textlink="">
      <xdr:nvSpPr>
        <xdr:cNvPr id="3455" name="AutoShape 50">
          <a:hlinkClick xmlns:r="http://schemas.openxmlformats.org/officeDocument/2006/relationships" r:id="rId2"/>
          <a:extLst>
            <a:ext uri="{FF2B5EF4-FFF2-40B4-BE49-F238E27FC236}">
              <a16:creationId xmlns:a16="http://schemas.microsoft.com/office/drawing/2014/main" xmlns="" id="{00000000-0008-0000-0300-00007F0D0000}"/>
            </a:ext>
          </a:extLst>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25400</xdr:colOff>
      <xdr:row>9</xdr:row>
      <xdr:rowOff>101600</xdr:rowOff>
    </xdr:from>
    <xdr:to>
      <xdr:col>6</xdr:col>
      <xdr:colOff>25400</xdr:colOff>
      <xdr:row>20</xdr:row>
      <xdr:rowOff>177800</xdr:rowOff>
    </xdr:to>
    <xdr:graphicFrame macro="">
      <xdr:nvGraphicFramePr>
        <xdr:cNvPr id="5477384" name="Chart 32">
          <a:extLst>
            <a:ext uri="{FF2B5EF4-FFF2-40B4-BE49-F238E27FC236}">
              <a16:creationId xmlns:a16="http://schemas.microsoft.com/office/drawing/2014/main" xmlns="" id="{00000000-0008-0000-0400-000008945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0</xdr:row>
      <xdr:rowOff>28575</xdr:rowOff>
    </xdr:from>
    <xdr:to>
      <xdr:col>2</xdr:col>
      <xdr:colOff>77</xdr:colOff>
      <xdr:row>0</xdr:row>
      <xdr:rowOff>349603</xdr:rowOff>
    </xdr:to>
    <xdr:sp macro="" textlink="">
      <xdr:nvSpPr>
        <xdr:cNvPr id="7519" name="AutoShape 50">
          <a:hlinkClick xmlns:r="http://schemas.openxmlformats.org/officeDocument/2006/relationships" r:id="rId2"/>
          <a:extLst>
            <a:ext uri="{FF2B5EF4-FFF2-40B4-BE49-F238E27FC236}">
              <a16:creationId xmlns:a16="http://schemas.microsoft.com/office/drawing/2014/main" xmlns="" id="{00000000-0008-0000-0400-00005F1D0000}"/>
            </a:ext>
          </a:extLst>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38100</xdr:colOff>
      <xdr:row>9</xdr:row>
      <xdr:rowOff>63500</xdr:rowOff>
    </xdr:from>
    <xdr:to>
      <xdr:col>11</xdr:col>
      <xdr:colOff>0</xdr:colOff>
      <xdr:row>20</xdr:row>
      <xdr:rowOff>174544</xdr:rowOff>
    </xdr:to>
    <xdr:grpSp>
      <xdr:nvGrpSpPr>
        <xdr:cNvPr id="5477386" name="Group 489">
          <a:extLst>
            <a:ext uri="{FF2B5EF4-FFF2-40B4-BE49-F238E27FC236}">
              <a16:creationId xmlns:a16="http://schemas.microsoft.com/office/drawing/2014/main" xmlns="" id="{00000000-0008-0000-0400-00000A945300}"/>
            </a:ext>
          </a:extLst>
        </xdr:cNvPr>
        <xdr:cNvGrpSpPr>
          <a:grpSpLocks/>
        </xdr:cNvGrpSpPr>
      </xdr:nvGrpSpPr>
      <xdr:grpSpPr bwMode="auto">
        <a:xfrm>
          <a:off x="3908714" y="2184977"/>
          <a:ext cx="3468831" cy="2206544"/>
          <a:chOff x="410" y="229"/>
          <a:chExt cx="366" cy="231"/>
        </a:xfrm>
      </xdr:grpSpPr>
      <xdr:graphicFrame macro="">
        <xdr:nvGraphicFramePr>
          <xdr:cNvPr id="5477390" name="Chart 31">
            <a:extLst>
              <a:ext uri="{FF2B5EF4-FFF2-40B4-BE49-F238E27FC236}">
                <a16:creationId xmlns:a16="http://schemas.microsoft.com/office/drawing/2014/main" xmlns="" id="{00000000-0008-0000-0400-00000E945300}"/>
              </a:ext>
            </a:extLst>
          </xdr:cNvPr>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5477391" name="Picture 477" descr="one">
            <a:extLst>
              <a:ext uri="{FF2B5EF4-FFF2-40B4-BE49-F238E27FC236}">
                <a16:creationId xmlns:a16="http://schemas.microsoft.com/office/drawing/2014/main" xmlns="" id="{00000000-0008-0000-0400-00000F9453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79" y="436"/>
            <a:ext cx="239"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23</xdr:row>
      <xdr:rowOff>0</xdr:rowOff>
    </xdr:from>
    <xdr:to>
      <xdr:col>6</xdr:col>
      <xdr:colOff>0</xdr:colOff>
      <xdr:row>32</xdr:row>
      <xdr:rowOff>53949</xdr:rowOff>
    </xdr:to>
    <xdr:grpSp>
      <xdr:nvGrpSpPr>
        <xdr:cNvPr id="5477387" name="Group 490">
          <a:extLst>
            <a:ext uri="{FF2B5EF4-FFF2-40B4-BE49-F238E27FC236}">
              <a16:creationId xmlns:a16="http://schemas.microsoft.com/office/drawing/2014/main" xmlns="" id="{00000000-0008-0000-0400-00000B945300}"/>
            </a:ext>
          </a:extLst>
        </xdr:cNvPr>
        <xdr:cNvGrpSpPr>
          <a:grpSpLocks/>
        </xdr:cNvGrpSpPr>
      </xdr:nvGrpSpPr>
      <xdr:grpSpPr bwMode="auto">
        <a:xfrm>
          <a:off x="0" y="4814455"/>
          <a:ext cx="3870614" cy="2339949"/>
          <a:chOff x="0" y="505"/>
          <a:chExt cx="407" cy="245"/>
        </a:xfrm>
      </xdr:grpSpPr>
      <xdr:graphicFrame macro="">
        <xdr:nvGraphicFramePr>
          <xdr:cNvPr id="5477388" name="Chart 34">
            <a:extLst>
              <a:ext uri="{FF2B5EF4-FFF2-40B4-BE49-F238E27FC236}">
                <a16:creationId xmlns:a16="http://schemas.microsoft.com/office/drawing/2014/main" xmlns="" id="{00000000-0008-0000-0400-00000C945300}"/>
              </a:ext>
            </a:extLst>
          </xdr:cNvPr>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5477389" name="Picture 487" descr="ok">
            <a:extLst>
              <a:ext uri="{FF2B5EF4-FFF2-40B4-BE49-F238E27FC236}">
                <a16:creationId xmlns:a16="http://schemas.microsoft.com/office/drawing/2014/main" xmlns="" id="{00000000-0008-0000-0400-00000D9453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10" y="723"/>
            <a:ext cx="198" cy="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38100</xdr:colOff>
      <xdr:row>7</xdr:row>
      <xdr:rowOff>177800</xdr:rowOff>
    </xdr:from>
    <xdr:to>
      <xdr:col>12</xdr:col>
      <xdr:colOff>266700</xdr:colOff>
      <xdr:row>14</xdr:row>
      <xdr:rowOff>152400</xdr:rowOff>
    </xdr:to>
    <xdr:graphicFrame macro="">
      <xdr:nvGraphicFramePr>
        <xdr:cNvPr id="3897094" name="Chart 1034">
          <a:extLst>
            <a:ext uri="{FF2B5EF4-FFF2-40B4-BE49-F238E27FC236}">
              <a16:creationId xmlns:a16="http://schemas.microsoft.com/office/drawing/2014/main" xmlns="" id="{00000000-0008-0000-0500-000006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76200</xdr:colOff>
      <xdr:row>16</xdr:row>
      <xdr:rowOff>0</xdr:rowOff>
    </xdr:from>
    <xdr:to>
      <xdr:col>5</xdr:col>
      <xdr:colOff>1104900</xdr:colOff>
      <xdr:row>25</xdr:row>
      <xdr:rowOff>25400</xdr:rowOff>
    </xdr:to>
    <xdr:graphicFrame macro="">
      <xdr:nvGraphicFramePr>
        <xdr:cNvPr id="3897095" name="Chart 1039">
          <a:extLst>
            <a:ext uri="{FF2B5EF4-FFF2-40B4-BE49-F238E27FC236}">
              <a16:creationId xmlns:a16="http://schemas.microsoft.com/office/drawing/2014/main" xmlns="" id="{00000000-0008-0000-0500-000007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114300</xdr:colOff>
      <xdr:row>8</xdr:row>
      <xdr:rowOff>12700</xdr:rowOff>
    </xdr:from>
    <xdr:to>
      <xdr:col>5</xdr:col>
      <xdr:colOff>1257300</xdr:colOff>
      <xdr:row>14</xdr:row>
      <xdr:rowOff>63500</xdr:rowOff>
    </xdr:to>
    <xdr:graphicFrame macro="">
      <xdr:nvGraphicFramePr>
        <xdr:cNvPr id="3897096" name="Chart 1046">
          <a:extLst>
            <a:ext uri="{FF2B5EF4-FFF2-40B4-BE49-F238E27FC236}">
              <a16:creationId xmlns:a16="http://schemas.microsoft.com/office/drawing/2014/main" xmlns="" id="{00000000-0008-0000-0500-000008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12700</xdr:rowOff>
    </xdr:from>
    <xdr:to>
      <xdr:col>12</xdr:col>
      <xdr:colOff>203200</xdr:colOff>
      <xdr:row>25</xdr:row>
      <xdr:rowOff>25400</xdr:rowOff>
    </xdr:to>
    <xdr:graphicFrame macro="">
      <xdr:nvGraphicFramePr>
        <xdr:cNvPr id="3897097" name="Chart 1054">
          <a:extLst>
            <a:ext uri="{FF2B5EF4-FFF2-40B4-BE49-F238E27FC236}">
              <a16:creationId xmlns:a16="http://schemas.microsoft.com/office/drawing/2014/main" xmlns="" id="{00000000-0008-0000-0500-000009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241300</xdr:colOff>
      <xdr:row>27</xdr:row>
      <xdr:rowOff>63500</xdr:rowOff>
    </xdr:from>
    <xdr:to>
      <xdr:col>5</xdr:col>
      <xdr:colOff>749300</xdr:colOff>
      <xdr:row>33</xdr:row>
      <xdr:rowOff>254000</xdr:rowOff>
    </xdr:to>
    <xdr:graphicFrame macro="">
      <xdr:nvGraphicFramePr>
        <xdr:cNvPr id="3897098" name="Chart 1091">
          <a:extLst>
            <a:ext uri="{FF2B5EF4-FFF2-40B4-BE49-F238E27FC236}">
              <a16:creationId xmlns:a16="http://schemas.microsoft.com/office/drawing/2014/main" xmlns="" id="{00000000-0008-0000-0500-00000A77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6350</xdr:rowOff>
    </xdr:from>
    <xdr:to>
      <xdr:col>2</xdr:col>
      <xdr:colOff>3175</xdr:colOff>
      <xdr:row>0</xdr:row>
      <xdr:rowOff>352547</xdr:rowOff>
    </xdr:to>
    <xdr:sp macro="" textlink="">
      <xdr:nvSpPr>
        <xdr:cNvPr id="14769" name="AutoShape 50">
          <a:hlinkClick xmlns:r="http://schemas.openxmlformats.org/officeDocument/2006/relationships" r:id="rId6"/>
          <a:extLst>
            <a:ext uri="{FF2B5EF4-FFF2-40B4-BE49-F238E27FC236}">
              <a16:creationId xmlns:a16="http://schemas.microsoft.com/office/drawing/2014/main" xmlns="" id="{00000000-0008-0000-0500-0000B1390000}"/>
            </a:ext>
          </a:extLst>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177800</xdr:colOff>
      <xdr:row>9</xdr:row>
      <xdr:rowOff>50800</xdr:rowOff>
    </xdr:from>
    <xdr:to>
      <xdr:col>11</xdr:col>
      <xdr:colOff>50800</xdr:colOff>
      <xdr:row>17</xdr:row>
      <xdr:rowOff>0</xdr:rowOff>
    </xdr:to>
    <xdr:graphicFrame macro="">
      <xdr:nvGraphicFramePr>
        <xdr:cNvPr id="3902980" name="Chart 33">
          <a:extLst>
            <a:ext uri="{FF2B5EF4-FFF2-40B4-BE49-F238E27FC236}">
              <a16:creationId xmlns:a16="http://schemas.microsoft.com/office/drawing/2014/main" xmlns="" id="{00000000-0008-0000-0600-000004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2</xdr:col>
      <xdr:colOff>8746</xdr:colOff>
      <xdr:row>1</xdr:row>
      <xdr:rowOff>0</xdr:rowOff>
    </xdr:to>
    <xdr:sp macro="" textlink="">
      <xdr:nvSpPr>
        <xdr:cNvPr id="21885" name="AutoShape 50">
          <a:hlinkClick xmlns:r="http://schemas.openxmlformats.org/officeDocument/2006/relationships" r:id="rId2"/>
          <a:extLst>
            <a:ext uri="{FF2B5EF4-FFF2-40B4-BE49-F238E27FC236}">
              <a16:creationId xmlns:a16="http://schemas.microsoft.com/office/drawing/2014/main" xmlns="" id="{00000000-0008-0000-0600-00007D550000}"/>
            </a:ext>
          </a:extLst>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406400</xdr:colOff>
      <xdr:row>9</xdr:row>
      <xdr:rowOff>76200</xdr:rowOff>
    </xdr:from>
    <xdr:to>
      <xdr:col>16</xdr:col>
      <xdr:colOff>863600</xdr:colOff>
      <xdr:row>17</xdr:row>
      <xdr:rowOff>12700</xdr:rowOff>
    </xdr:to>
    <xdr:graphicFrame macro="">
      <xdr:nvGraphicFramePr>
        <xdr:cNvPr id="3902982" name="Chart 488">
          <a:extLst>
            <a:ext uri="{FF2B5EF4-FFF2-40B4-BE49-F238E27FC236}">
              <a16:creationId xmlns:a16="http://schemas.microsoft.com/office/drawing/2014/main" xmlns="" id="{00000000-0008-0000-0600-000006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762000</xdr:colOff>
      <xdr:row>9</xdr:row>
      <xdr:rowOff>88900</xdr:rowOff>
    </xdr:from>
    <xdr:to>
      <xdr:col>4</xdr:col>
      <xdr:colOff>457200</xdr:colOff>
      <xdr:row>17</xdr:row>
      <xdr:rowOff>63500</xdr:rowOff>
    </xdr:to>
    <xdr:graphicFrame macro="">
      <xdr:nvGraphicFramePr>
        <xdr:cNvPr id="3902983" name="Chart 553">
          <a:extLst>
            <a:ext uri="{FF2B5EF4-FFF2-40B4-BE49-F238E27FC236}">
              <a16:creationId xmlns:a16="http://schemas.microsoft.com/office/drawing/2014/main" xmlns="" id="{00000000-0008-0000-0600-0000078E3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101600</xdr:colOff>
      <xdr:row>20</xdr:row>
      <xdr:rowOff>0</xdr:rowOff>
    </xdr:to>
    <xdr:grpSp>
      <xdr:nvGrpSpPr>
        <xdr:cNvPr id="4870797" name="Group 41">
          <a:extLst>
            <a:ext uri="{FF2B5EF4-FFF2-40B4-BE49-F238E27FC236}">
              <a16:creationId xmlns:a16="http://schemas.microsoft.com/office/drawing/2014/main" xmlns="" id="{00000000-0008-0000-0700-00008D524A00}"/>
            </a:ext>
          </a:extLst>
        </xdr:cNvPr>
        <xdr:cNvGrpSpPr>
          <a:grpSpLocks/>
        </xdr:cNvGrpSpPr>
      </xdr:nvGrpSpPr>
      <xdr:grpSpPr bwMode="auto">
        <a:xfrm>
          <a:off x="5539154" y="5150827"/>
          <a:ext cx="101600" cy="0"/>
          <a:chOff x="595" y="540"/>
          <a:chExt cx="9" cy="9"/>
        </a:xfrm>
      </xdr:grpSpPr>
      <xdr:sp macro="" textlink="">
        <xdr:nvSpPr>
          <xdr:cNvPr id="4870808" name="Rectangle 11">
            <a:extLst>
              <a:ext uri="{FF2B5EF4-FFF2-40B4-BE49-F238E27FC236}">
                <a16:creationId xmlns:a16="http://schemas.microsoft.com/office/drawing/2014/main" xmlns="" id="{00000000-0008-0000-0700-000098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9" name="Arc 12">
            <a:extLst>
              <a:ext uri="{FF2B5EF4-FFF2-40B4-BE49-F238E27FC236}">
                <a16:creationId xmlns:a16="http://schemas.microsoft.com/office/drawing/2014/main" xmlns="" id="{00000000-0008-0000-0700-000099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8</xdr:col>
      <xdr:colOff>1117600</xdr:colOff>
      <xdr:row>20</xdr:row>
      <xdr:rowOff>0</xdr:rowOff>
    </xdr:from>
    <xdr:to>
      <xdr:col>9</xdr:col>
      <xdr:colOff>12700</xdr:colOff>
      <xdr:row>20</xdr:row>
      <xdr:rowOff>0</xdr:rowOff>
    </xdr:to>
    <xdr:grpSp>
      <xdr:nvGrpSpPr>
        <xdr:cNvPr id="4870798" name="Group 44">
          <a:extLst>
            <a:ext uri="{FF2B5EF4-FFF2-40B4-BE49-F238E27FC236}">
              <a16:creationId xmlns:a16="http://schemas.microsoft.com/office/drawing/2014/main" xmlns="" id="{00000000-0008-0000-0700-00008E524A00}"/>
            </a:ext>
          </a:extLst>
        </xdr:cNvPr>
        <xdr:cNvGrpSpPr>
          <a:grpSpLocks/>
        </xdr:cNvGrpSpPr>
      </xdr:nvGrpSpPr>
      <xdr:grpSpPr bwMode="auto">
        <a:xfrm>
          <a:off x="6599604" y="5150827"/>
          <a:ext cx="7327" cy="0"/>
          <a:chOff x="698" y="540"/>
          <a:chExt cx="9" cy="9"/>
        </a:xfrm>
      </xdr:grpSpPr>
      <xdr:sp macro="" textlink="">
        <xdr:nvSpPr>
          <xdr:cNvPr id="4870806" name="Rectangle 47">
            <a:extLst>
              <a:ext uri="{FF2B5EF4-FFF2-40B4-BE49-F238E27FC236}">
                <a16:creationId xmlns:a16="http://schemas.microsoft.com/office/drawing/2014/main" xmlns="" id="{00000000-0008-0000-0700-000096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7" name="Arc 48">
            <a:extLst>
              <a:ext uri="{FF2B5EF4-FFF2-40B4-BE49-F238E27FC236}">
                <a16:creationId xmlns:a16="http://schemas.microsoft.com/office/drawing/2014/main" xmlns="" id="{00000000-0008-0000-0700-000097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6</xdr:col>
      <xdr:colOff>889000</xdr:colOff>
      <xdr:row>20</xdr:row>
      <xdr:rowOff>0</xdr:rowOff>
    </xdr:from>
    <xdr:to>
      <xdr:col>7</xdr:col>
      <xdr:colOff>0</xdr:colOff>
      <xdr:row>20</xdr:row>
      <xdr:rowOff>0</xdr:rowOff>
    </xdr:to>
    <xdr:grpSp>
      <xdr:nvGrpSpPr>
        <xdr:cNvPr id="4870799" name="Group 47">
          <a:extLst>
            <a:ext uri="{FF2B5EF4-FFF2-40B4-BE49-F238E27FC236}">
              <a16:creationId xmlns:a16="http://schemas.microsoft.com/office/drawing/2014/main" xmlns="" id="{00000000-0008-0000-0700-00008F524A00}"/>
            </a:ext>
          </a:extLst>
        </xdr:cNvPr>
        <xdr:cNvGrpSpPr>
          <a:grpSpLocks/>
        </xdr:cNvGrpSpPr>
      </xdr:nvGrpSpPr>
      <xdr:grpSpPr bwMode="auto">
        <a:xfrm>
          <a:off x="5258777" y="5150827"/>
          <a:ext cx="0" cy="0"/>
          <a:chOff x="698" y="540"/>
          <a:chExt cx="9" cy="9"/>
        </a:xfrm>
      </xdr:grpSpPr>
      <xdr:sp macro="" textlink="">
        <xdr:nvSpPr>
          <xdr:cNvPr id="4870804" name="Rectangle 47">
            <a:extLst>
              <a:ext uri="{FF2B5EF4-FFF2-40B4-BE49-F238E27FC236}">
                <a16:creationId xmlns:a16="http://schemas.microsoft.com/office/drawing/2014/main" xmlns="" id="{00000000-0008-0000-0700-000094524A00}"/>
              </a:ext>
            </a:extLst>
          </xdr:cNvPr>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5" name="Arc 48">
            <a:extLst>
              <a:ext uri="{FF2B5EF4-FFF2-40B4-BE49-F238E27FC236}">
                <a16:creationId xmlns:a16="http://schemas.microsoft.com/office/drawing/2014/main" xmlns="" id="{00000000-0008-0000-0700-000095524A00}"/>
              </a:ext>
            </a:extLst>
          </xdr:cNvPr>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3</xdr:col>
      <xdr:colOff>0</xdr:colOff>
      <xdr:row>20</xdr:row>
      <xdr:rowOff>0</xdr:rowOff>
    </xdr:from>
    <xdr:to>
      <xdr:col>3</xdr:col>
      <xdr:colOff>101600</xdr:colOff>
      <xdr:row>20</xdr:row>
      <xdr:rowOff>0</xdr:rowOff>
    </xdr:to>
    <xdr:grpSp>
      <xdr:nvGrpSpPr>
        <xdr:cNvPr id="4870800" name="Group 50">
          <a:extLst>
            <a:ext uri="{FF2B5EF4-FFF2-40B4-BE49-F238E27FC236}">
              <a16:creationId xmlns:a16="http://schemas.microsoft.com/office/drawing/2014/main" xmlns="" id="{00000000-0008-0000-0700-000090524A00}"/>
            </a:ext>
          </a:extLst>
        </xdr:cNvPr>
        <xdr:cNvGrpSpPr>
          <a:grpSpLocks/>
        </xdr:cNvGrpSpPr>
      </xdr:nvGrpSpPr>
      <xdr:grpSpPr bwMode="auto">
        <a:xfrm>
          <a:off x="1436077" y="5150827"/>
          <a:ext cx="101600" cy="0"/>
          <a:chOff x="595" y="540"/>
          <a:chExt cx="9" cy="9"/>
        </a:xfrm>
      </xdr:grpSpPr>
      <xdr:sp macro="" textlink="">
        <xdr:nvSpPr>
          <xdr:cNvPr id="4870802" name="Rectangle 11">
            <a:extLst>
              <a:ext uri="{FF2B5EF4-FFF2-40B4-BE49-F238E27FC236}">
                <a16:creationId xmlns:a16="http://schemas.microsoft.com/office/drawing/2014/main" xmlns="" id="{00000000-0008-0000-0700-000092524A00}"/>
              </a:ext>
            </a:extLst>
          </xdr:cNvPr>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tlCol="0"/>
          <a:lstStyle/>
          <a:p>
            <a:pPr algn="ctr"/>
            <a:endParaRPr lang="en-US"/>
          </a:p>
        </xdr:txBody>
      </xdr:sp>
      <xdr:sp macro="" textlink="">
        <xdr:nvSpPr>
          <xdr:cNvPr id="4870803" name="Arc 12">
            <a:extLst>
              <a:ext uri="{FF2B5EF4-FFF2-40B4-BE49-F238E27FC236}">
                <a16:creationId xmlns:a16="http://schemas.microsoft.com/office/drawing/2014/main" xmlns="" id="{00000000-0008-0000-0700-000093524A00}"/>
              </a:ext>
            </a:extLst>
          </xdr:cNvPr>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txBody>
          <a:bodyPr rtlCol="0"/>
          <a:lstStyle/>
          <a:p>
            <a:pPr algn="ctr"/>
            <a:endParaRPr lang="en-US"/>
          </a:p>
        </xdr:txBody>
      </xdr:sp>
    </xdr:grpSp>
    <xdr:clientData/>
  </xdr:twoCellAnchor>
  <xdr:twoCellAnchor>
    <xdr:from>
      <xdr:col>0</xdr:col>
      <xdr:colOff>9525</xdr:colOff>
      <xdr:row>0</xdr:row>
      <xdr:rowOff>76200</xdr:rowOff>
    </xdr:from>
    <xdr:to>
      <xdr:col>1</xdr:col>
      <xdr:colOff>1387168</xdr:colOff>
      <xdr:row>0</xdr:row>
      <xdr:rowOff>419100</xdr:rowOff>
    </xdr:to>
    <xdr:sp macro="" textlink="">
      <xdr:nvSpPr>
        <xdr:cNvPr id="1150121" name="AutoShape 50">
          <a:hlinkClick xmlns:r="http://schemas.openxmlformats.org/officeDocument/2006/relationships" r:id="rId1"/>
          <a:extLst>
            <a:ext uri="{FF2B5EF4-FFF2-40B4-BE49-F238E27FC236}">
              <a16:creationId xmlns:a16="http://schemas.microsoft.com/office/drawing/2014/main" xmlns="" id="{00000000-0008-0000-0700-0000A98C1100}"/>
            </a:ext>
          </a:extLst>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752" name="Chart 1">
          <a:extLst>
            <a:ext uri="{FF2B5EF4-FFF2-40B4-BE49-F238E27FC236}">
              <a16:creationId xmlns:a16="http://schemas.microsoft.com/office/drawing/2014/main" xmlns="" id="{00000000-0008-0000-0800-0000D8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38100</xdr:rowOff>
    </xdr:from>
    <xdr:to>
      <xdr:col>1</xdr:col>
      <xdr:colOff>922208</xdr:colOff>
      <xdr:row>0</xdr:row>
      <xdr:rowOff>371475</xdr:rowOff>
    </xdr:to>
    <xdr:sp macro="" textlink="">
      <xdr:nvSpPr>
        <xdr:cNvPr id="33131" name="AutoShape 50">
          <a:hlinkClick xmlns:r="http://schemas.openxmlformats.org/officeDocument/2006/relationships" r:id="rId2"/>
          <a:extLst>
            <a:ext uri="{FF2B5EF4-FFF2-40B4-BE49-F238E27FC236}">
              <a16:creationId xmlns:a16="http://schemas.microsoft.com/office/drawing/2014/main" xmlns="" id="{00000000-0008-0000-0800-00006B810000}"/>
            </a:ext>
          </a:extLst>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530" t="str">
        <f>+'Grant Detail'!B3:J3</f>
        <v>Dashboard:  Georgia - HIV / AIDS</v>
      </c>
      <c r="C2" s="530"/>
      <c r="D2" s="530"/>
      <c r="E2" s="530"/>
      <c r="F2" s="530"/>
      <c r="G2" s="530"/>
      <c r="H2" s="530"/>
      <c r="I2" s="530"/>
      <c r="J2" s="530"/>
      <c r="K2" s="530"/>
      <c r="L2" s="530"/>
      <c r="M2" s="1"/>
      <c r="N2" s="1"/>
      <c r="O2" s="1"/>
    </row>
    <row r="4" spans="2:15" ht="21">
      <c r="B4" s="531" t="str">
        <f>+IF('Data Entry'!G6="Please Select", "",'Data Entry'!G6) &amp;"  "&amp;+IF('Data Entry'!G8="Please Select", "", 'Data Entry'!G8&amp;",  ")&amp;+IF('Data Entry'!I8="Please Select","",'Data Entry'!I8)</f>
        <v>HIV / AIDS  NFM,  N/A</v>
      </c>
      <c r="C4" s="531"/>
      <c r="D4" s="531"/>
      <c r="E4" s="532"/>
      <c r="F4" s="229"/>
      <c r="G4" s="229"/>
      <c r="H4" s="350" t="str">
        <f>+'Data Entry'!B6&amp;" "&amp;+'Data Entry'!C6</f>
        <v>Grant No.: GEO-H-NCDC</v>
      </c>
      <c r="I4" s="350"/>
      <c r="J4" s="228"/>
      <c r="K4" s="229"/>
      <c r="L4" s="229"/>
    </row>
    <row r="22" spans="2:12" ht="26.25">
      <c r="B22" s="533" t="s">
        <v>405</v>
      </c>
      <c r="C22" s="534"/>
      <c r="D22" s="534"/>
      <c r="E22" s="534"/>
      <c r="F22" s="534"/>
      <c r="G22" s="534"/>
      <c r="H22" s="534"/>
      <c r="I22" s="534"/>
      <c r="J22" s="534"/>
      <c r="K22" s="534"/>
      <c r="L22" s="534"/>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&amp;L&amp;F&amp;C&amp;A&amp;R&amp;D</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zoomScalePageLayoutView="80" workbookViewId="0">
      <selection activeCell="G24" sqref="G24"/>
    </sheetView>
  </sheetViews>
  <sheetFormatPr defaultColWidth="11" defaultRowHeight="15"/>
  <cols>
    <col min="1" max="1" width="11.42578125" customWidth="1"/>
    <col min="2" max="2" width="16.140625" customWidth="1"/>
    <col min="3" max="3" width="14.7109375" customWidth="1"/>
    <col min="4" max="4" width="15.42578125" customWidth="1"/>
    <col min="5" max="6" width="11.42578125" customWidth="1"/>
    <col min="7" max="7" width="14.42578125" customWidth="1"/>
    <col min="8" max="8" width="35.42578125" customWidth="1"/>
    <col min="9" max="9" width="45.7109375" customWidth="1"/>
    <col min="10" max="10" width="33.42578125" customWidth="1"/>
    <col min="11" max="12" width="11.42578125" customWidth="1"/>
    <col min="13" max="13" width="28.42578125" customWidth="1"/>
    <col min="14" max="14" width="46.42578125" customWidth="1"/>
  </cols>
  <sheetData>
    <row r="2" spans="2:15" ht="25.5" customHeight="1"/>
    <row r="3" spans="2:15" ht="36">
      <c r="B3" s="966" t="str">
        <f>'Grant Detail'!B3:J3</f>
        <v>Dashboard:  Georgia - HIV / AIDS</v>
      </c>
      <c r="C3" s="966"/>
      <c r="D3" s="966"/>
      <c r="E3" s="966"/>
      <c r="F3" s="966"/>
      <c r="G3" s="966"/>
      <c r="H3" s="966"/>
      <c r="I3" s="1"/>
    </row>
    <row r="6" spans="2:15" ht="18.75">
      <c r="B6" s="953" t="s">
        <v>319</v>
      </c>
      <c r="C6" s="953"/>
      <c r="D6" s="953"/>
      <c r="E6" s="953"/>
      <c r="F6" s="953"/>
      <c r="G6" s="953"/>
      <c r="H6" s="953"/>
    </row>
    <row r="8" spans="2:15" ht="18.75">
      <c r="B8" s="62" t="s">
        <v>32</v>
      </c>
      <c r="C8" s="62" t="s">
        <v>35</v>
      </c>
      <c r="D8" s="62" t="s">
        <v>36</v>
      </c>
      <c r="E8" s="62" t="s">
        <v>41</v>
      </c>
      <c r="F8" s="62" t="s">
        <v>286</v>
      </c>
      <c r="G8" s="62" t="s">
        <v>265</v>
      </c>
      <c r="H8" s="62" t="s">
        <v>293</v>
      </c>
      <c r="I8" s="63" t="s">
        <v>87</v>
      </c>
      <c r="J8" s="63" t="s">
        <v>129</v>
      </c>
      <c r="M8" s="19"/>
      <c r="N8" s="19"/>
      <c r="O8" s="19"/>
    </row>
    <row r="9" spans="2:15">
      <c r="B9" s="86" t="s">
        <v>372</v>
      </c>
      <c r="C9" s="86" t="s">
        <v>372</v>
      </c>
      <c r="D9" s="86" t="s">
        <v>372</v>
      </c>
      <c r="E9" s="86" t="s">
        <v>372</v>
      </c>
      <c r="F9" s="86" t="s">
        <v>372</v>
      </c>
      <c r="G9" s="86" t="s">
        <v>372</v>
      </c>
      <c r="H9" s="86" t="s">
        <v>372</v>
      </c>
      <c r="I9" s="406" t="s">
        <v>372</v>
      </c>
      <c r="J9" s="86" t="s">
        <v>372</v>
      </c>
      <c r="M9" s="19"/>
      <c r="N9" s="19"/>
      <c r="O9" s="19"/>
    </row>
    <row r="10" spans="2:15">
      <c r="B10" s="57" t="s">
        <v>27</v>
      </c>
      <c r="C10" s="57" t="s">
        <v>18</v>
      </c>
      <c r="D10" s="57" t="s">
        <v>16</v>
      </c>
      <c r="E10" s="57" t="s">
        <v>17</v>
      </c>
      <c r="F10" s="57" t="s">
        <v>105</v>
      </c>
      <c r="G10" s="411" t="s">
        <v>43</v>
      </c>
      <c r="H10" s="60" t="s">
        <v>48</v>
      </c>
      <c r="I10" s="27" t="s">
        <v>299</v>
      </c>
      <c r="J10" s="86" t="s">
        <v>130</v>
      </c>
      <c r="M10" s="19"/>
      <c r="N10" s="19"/>
      <c r="O10" s="19"/>
    </row>
    <row r="11" spans="2:15">
      <c r="B11" s="57" t="s">
        <v>33</v>
      </c>
      <c r="C11" s="57" t="s">
        <v>13</v>
      </c>
      <c r="D11" s="57" t="s">
        <v>19</v>
      </c>
      <c r="E11" s="57" t="s">
        <v>15</v>
      </c>
      <c r="F11" s="57" t="s">
        <v>106</v>
      </c>
      <c r="G11" s="411" t="s">
        <v>44</v>
      </c>
      <c r="H11" s="60" t="s">
        <v>49</v>
      </c>
      <c r="I11" s="27" t="s">
        <v>300</v>
      </c>
      <c r="J11" s="86" t="s">
        <v>131</v>
      </c>
      <c r="M11" s="19"/>
      <c r="N11" s="19"/>
      <c r="O11" s="19"/>
    </row>
    <row r="12" spans="2:15">
      <c r="B12" s="57" t="s">
        <v>34</v>
      </c>
      <c r="D12" s="57" t="s">
        <v>22</v>
      </c>
      <c r="E12" s="57" t="s">
        <v>23</v>
      </c>
      <c r="F12" s="57" t="s">
        <v>107</v>
      </c>
      <c r="G12" s="411" t="s">
        <v>45</v>
      </c>
      <c r="H12" s="60" t="s">
        <v>50</v>
      </c>
      <c r="I12" s="27" t="s">
        <v>301</v>
      </c>
      <c r="J12" s="86" t="s">
        <v>132</v>
      </c>
      <c r="M12" s="195"/>
      <c r="N12" s="19"/>
      <c r="O12" s="19"/>
    </row>
    <row r="13" spans="2:15">
      <c r="B13" s="57" t="s">
        <v>83</v>
      </c>
      <c r="D13" s="57" t="s">
        <v>24</v>
      </c>
      <c r="E13" s="58"/>
      <c r="F13" s="57" t="s">
        <v>108</v>
      </c>
      <c r="G13" s="411" t="s">
        <v>46</v>
      </c>
      <c r="H13" s="60" t="s">
        <v>51</v>
      </c>
      <c r="I13" s="27" t="s">
        <v>302</v>
      </c>
      <c r="J13" s="86" t="s">
        <v>133</v>
      </c>
      <c r="M13" s="195"/>
      <c r="N13" s="19"/>
      <c r="O13" s="19"/>
    </row>
    <row r="14" spans="2:15">
      <c r="B14" s="57" t="s">
        <v>84</v>
      </c>
      <c r="D14" s="57" t="s">
        <v>37</v>
      </c>
      <c r="F14" s="57" t="s">
        <v>120</v>
      </c>
      <c r="G14" s="411" t="s">
        <v>47</v>
      </c>
      <c r="H14" s="60" t="s">
        <v>52</v>
      </c>
      <c r="I14" s="27" t="s">
        <v>271</v>
      </c>
      <c r="J14" s="86" t="s">
        <v>134</v>
      </c>
      <c r="M14" s="195"/>
      <c r="N14" s="19"/>
      <c r="O14" s="19"/>
    </row>
    <row r="15" spans="2:15">
      <c r="D15" s="57" t="s">
        <v>38</v>
      </c>
      <c r="F15" s="57" t="s">
        <v>121</v>
      </c>
      <c r="H15" s="60" t="s">
        <v>53</v>
      </c>
      <c r="I15" s="27" t="s">
        <v>70</v>
      </c>
      <c r="J15" s="86" t="s">
        <v>135</v>
      </c>
      <c r="M15" s="195"/>
      <c r="N15" s="19"/>
      <c r="O15" s="19"/>
    </row>
    <row r="16" spans="2:15">
      <c r="D16" s="57" t="s">
        <v>39</v>
      </c>
      <c r="F16" s="57" t="s">
        <v>122</v>
      </c>
      <c r="H16" s="60" t="s">
        <v>54</v>
      </c>
      <c r="I16" s="27" t="s">
        <v>71</v>
      </c>
      <c r="J16" s="86" t="s">
        <v>136</v>
      </c>
      <c r="M16" s="195"/>
      <c r="N16" s="19"/>
      <c r="O16" s="19"/>
    </row>
    <row r="17" spans="4:15">
      <c r="D17" s="57" t="s">
        <v>40</v>
      </c>
      <c r="F17" s="57" t="s">
        <v>123</v>
      </c>
      <c r="H17" s="60" t="s">
        <v>55</v>
      </c>
      <c r="I17" s="27" t="s">
        <v>72</v>
      </c>
      <c r="J17" s="86" t="s">
        <v>137</v>
      </c>
      <c r="M17" s="195"/>
      <c r="N17" s="19"/>
      <c r="O17" s="19"/>
    </row>
    <row r="18" spans="4:15">
      <c r="D18" s="57" t="s">
        <v>14</v>
      </c>
      <c r="F18" s="57" t="s">
        <v>124</v>
      </c>
      <c r="H18" s="60" t="s">
        <v>56</v>
      </c>
      <c r="I18" s="27" t="s">
        <v>73</v>
      </c>
      <c r="J18" s="86" t="s">
        <v>138</v>
      </c>
      <c r="M18" s="195"/>
      <c r="N18" s="19"/>
      <c r="O18" s="19"/>
    </row>
    <row r="19" spans="4:15">
      <c r="D19" s="410" t="s">
        <v>368</v>
      </c>
      <c r="F19" s="57" t="s">
        <v>125</v>
      </c>
      <c r="H19" s="60" t="s">
        <v>57</v>
      </c>
      <c r="I19" s="27" t="s">
        <v>74</v>
      </c>
      <c r="J19" s="86" t="s">
        <v>139</v>
      </c>
      <c r="M19" s="195"/>
      <c r="N19" s="19"/>
      <c r="O19" s="19"/>
    </row>
    <row r="20" spans="4:15">
      <c r="D20" s="59"/>
      <c r="F20" s="57" t="s">
        <v>126</v>
      </c>
      <c r="H20" s="60" t="s">
        <v>262</v>
      </c>
      <c r="I20" s="27" t="s">
        <v>75</v>
      </c>
      <c r="J20" s="86" t="s">
        <v>140</v>
      </c>
      <c r="M20" s="19"/>
      <c r="N20" s="19"/>
      <c r="O20" s="19"/>
    </row>
    <row r="21" spans="4:15">
      <c r="D21" s="61"/>
      <c r="F21" s="57" t="s">
        <v>287</v>
      </c>
      <c r="H21" s="61"/>
      <c r="I21" s="27" t="s">
        <v>77</v>
      </c>
      <c r="J21" s="86" t="s">
        <v>141</v>
      </c>
      <c r="M21" s="19"/>
      <c r="N21" s="19"/>
      <c r="O21" s="19"/>
    </row>
    <row r="22" spans="4:15">
      <c r="H22" s="61"/>
      <c r="I22" s="27" t="s">
        <v>78</v>
      </c>
      <c r="J22" s="86" t="s">
        <v>142</v>
      </c>
      <c r="M22" s="19"/>
      <c r="N22" s="19"/>
      <c r="O22" s="19"/>
    </row>
    <row r="23" spans="4:15">
      <c r="I23" s="27" t="s">
        <v>76</v>
      </c>
      <c r="J23" s="86" t="s">
        <v>143</v>
      </c>
      <c r="M23" s="19"/>
      <c r="N23" s="19"/>
      <c r="O23" s="19"/>
    </row>
    <row r="24" spans="4:15">
      <c r="I24" s="27" t="s">
        <v>310</v>
      </c>
      <c r="J24" s="86" t="s">
        <v>144</v>
      </c>
      <c r="M24" s="19"/>
      <c r="N24" s="19"/>
      <c r="O24" s="19"/>
    </row>
    <row r="25" spans="4:15">
      <c r="I25" s="45"/>
      <c r="J25" s="86" t="s">
        <v>145</v>
      </c>
    </row>
    <row r="26" spans="4:15">
      <c r="I26" s="27" t="s">
        <v>314</v>
      </c>
      <c r="J26" s="86" t="s">
        <v>146</v>
      </c>
    </row>
    <row r="27" spans="4:15">
      <c r="I27" s="27" t="s">
        <v>309</v>
      </c>
      <c r="J27" s="86" t="s">
        <v>147</v>
      </c>
    </row>
    <row r="28" spans="4:15">
      <c r="I28" s="45"/>
      <c r="J28" s="86" t="s">
        <v>148</v>
      </c>
    </row>
    <row r="29" spans="4:15">
      <c r="I29" s="45"/>
      <c r="J29" s="86" t="s">
        <v>149</v>
      </c>
    </row>
    <row r="30" spans="4:15">
      <c r="I30" s="45"/>
      <c r="J30" s="86" t="s">
        <v>150</v>
      </c>
    </row>
    <row r="31" spans="4:15">
      <c r="J31" s="86" t="s">
        <v>151</v>
      </c>
    </row>
    <row r="32" spans="4:15">
      <c r="J32" s="86" t="s">
        <v>152</v>
      </c>
    </row>
    <row r="33" spans="10:10">
      <c r="J33" s="86" t="s">
        <v>153</v>
      </c>
    </row>
    <row r="34" spans="10:10">
      <c r="J34" s="86" t="s">
        <v>154</v>
      </c>
    </row>
    <row r="35" spans="10:10">
      <c r="J35" s="86" t="s">
        <v>155</v>
      </c>
    </row>
    <row r="36" spans="10:10">
      <c r="J36" s="86" t="s">
        <v>155</v>
      </c>
    </row>
    <row r="37" spans="10:10">
      <c r="J37" s="86" t="s">
        <v>156</v>
      </c>
    </row>
    <row r="38" spans="10:10">
      <c r="J38" s="86" t="s">
        <v>157</v>
      </c>
    </row>
    <row r="39" spans="10:10">
      <c r="J39" s="86" t="s">
        <v>158</v>
      </c>
    </row>
    <row r="40" spans="10:10">
      <c r="J40" s="86" t="s">
        <v>159</v>
      </c>
    </row>
    <row r="41" spans="10:10">
      <c r="J41" s="86" t="s">
        <v>160</v>
      </c>
    </row>
    <row r="42" spans="10:10">
      <c r="J42" s="86" t="s">
        <v>161</v>
      </c>
    </row>
    <row r="43" spans="10:10">
      <c r="J43" s="86" t="s">
        <v>162</v>
      </c>
    </row>
    <row r="44" spans="10:10">
      <c r="J44" s="86" t="s">
        <v>163</v>
      </c>
    </row>
    <row r="45" spans="10:10">
      <c r="J45" s="86" t="s">
        <v>164</v>
      </c>
    </row>
    <row r="46" spans="10:10">
      <c r="J46" s="86" t="s">
        <v>165</v>
      </c>
    </row>
    <row r="47" spans="10:10">
      <c r="J47" s="86" t="s">
        <v>166</v>
      </c>
    </row>
    <row r="48" spans="10:10">
      <c r="J48" s="86" t="s">
        <v>167</v>
      </c>
    </row>
    <row r="49" spans="10:10">
      <c r="J49" s="86" t="s">
        <v>168</v>
      </c>
    </row>
    <row r="50" spans="10:10">
      <c r="J50" s="86" t="s">
        <v>169</v>
      </c>
    </row>
    <row r="51" spans="10:10">
      <c r="J51" s="86" t="s">
        <v>170</v>
      </c>
    </row>
    <row r="52" spans="10:10">
      <c r="J52" s="86" t="s">
        <v>171</v>
      </c>
    </row>
    <row r="53" spans="10:10">
      <c r="J53" s="86" t="s">
        <v>172</v>
      </c>
    </row>
    <row r="54" spans="10:10">
      <c r="J54" s="86" t="s">
        <v>173</v>
      </c>
    </row>
    <row r="55" spans="10:10">
      <c r="J55" s="86" t="s">
        <v>174</v>
      </c>
    </row>
    <row r="56" spans="10:10">
      <c r="J56" s="86" t="s">
        <v>175</v>
      </c>
    </row>
    <row r="57" spans="10:10">
      <c r="J57" s="86" t="s">
        <v>176</v>
      </c>
    </row>
    <row r="58" spans="10:10">
      <c r="J58" s="86" t="s">
        <v>177</v>
      </c>
    </row>
    <row r="59" spans="10:10">
      <c r="J59" s="86" t="s">
        <v>178</v>
      </c>
    </row>
    <row r="60" spans="10:10">
      <c r="J60" s="86" t="s">
        <v>179</v>
      </c>
    </row>
    <row r="61" spans="10:10">
      <c r="J61" s="86" t="s">
        <v>180</v>
      </c>
    </row>
    <row r="62" spans="10:10">
      <c r="J62" s="86" t="s">
        <v>181</v>
      </c>
    </row>
    <row r="63" spans="10:10">
      <c r="J63" s="86" t="s">
        <v>182</v>
      </c>
    </row>
    <row r="64" spans="10:10">
      <c r="J64" s="86" t="s">
        <v>183</v>
      </c>
    </row>
    <row r="65" spans="10:10">
      <c r="J65" s="86" t="s">
        <v>184</v>
      </c>
    </row>
    <row r="66" spans="10:10">
      <c r="J66" s="86" t="s">
        <v>185</v>
      </c>
    </row>
    <row r="67" spans="10:10">
      <c r="J67" s="86" t="s">
        <v>186</v>
      </c>
    </row>
    <row r="68" spans="10:10">
      <c r="J68" s="86" t="s">
        <v>187</v>
      </c>
    </row>
    <row r="69" spans="10:10">
      <c r="J69" s="86" t="s">
        <v>188</v>
      </c>
    </row>
    <row r="70" spans="10:10">
      <c r="J70" s="86" t="s">
        <v>189</v>
      </c>
    </row>
    <row r="71" spans="10:10">
      <c r="J71" s="86" t="s">
        <v>190</v>
      </c>
    </row>
    <row r="72" spans="10:10">
      <c r="J72" s="86" t="s">
        <v>191</v>
      </c>
    </row>
    <row r="73" spans="10:10">
      <c r="J73" s="86" t="s">
        <v>192</v>
      </c>
    </row>
    <row r="74" spans="10:10">
      <c r="J74" s="86" t="s">
        <v>193</v>
      </c>
    </row>
    <row r="75" spans="10:10">
      <c r="J75" s="86" t="s">
        <v>194</v>
      </c>
    </row>
    <row r="76" spans="10:10">
      <c r="J76" s="86" t="s">
        <v>195</v>
      </c>
    </row>
    <row r="77" spans="10:10">
      <c r="J77" s="86" t="s">
        <v>196</v>
      </c>
    </row>
    <row r="78" spans="10:10">
      <c r="J78" s="86" t="s">
        <v>197</v>
      </c>
    </row>
    <row r="79" spans="10:10">
      <c r="J79" s="86" t="s">
        <v>198</v>
      </c>
    </row>
    <row r="80" spans="10:10">
      <c r="J80" s="86" t="s">
        <v>199</v>
      </c>
    </row>
    <row r="81" spans="10:10">
      <c r="J81" s="86" t="s">
        <v>200</v>
      </c>
    </row>
    <row r="82" spans="10:10">
      <c r="J82" s="86" t="s">
        <v>201</v>
      </c>
    </row>
    <row r="83" spans="10:10">
      <c r="J83" s="86" t="s">
        <v>202</v>
      </c>
    </row>
    <row r="84" spans="10:10">
      <c r="J84" s="86" t="s">
        <v>203</v>
      </c>
    </row>
    <row r="85" spans="10:10">
      <c r="J85" s="86" t="s">
        <v>204</v>
      </c>
    </row>
    <row r="86" spans="10:10">
      <c r="J86" s="86" t="s">
        <v>205</v>
      </c>
    </row>
    <row r="87" spans="10:10">
      <c r="J87" s="86" t="s">
        <v>206</v>
      </c>
    </row>
    <row r="88" spans="10:10">
      <c r="J88" s="86" t="s">
        <v>207</v>
      </c>
    </row>
    <row r="89" spans="10:10">
      <c r="J89" s="86" t="s">
        <v>208</v>
      </c>
    </row>
    <row r="90" spans="10:10">
      <c r="J90" s="86" t="s">
        <v>209</v>
      </c>
    </row>
    <row r="91" spans="10:10">
      <c r="J91" s="86" t="s">
        <v>210</v>
      </c>
    </row>
    <row r="92" spans="10:10">
      <c r="J92" s="86" t="s">
        <v>211</v>
      </c>
    </row>
    <row r="93" spans="10:10">
      <c r="J93" s="86" t="s">
        <v>212</v>
      </c>
    </row>
    <row r="94" spans="10:10">
      <c r="J94" s="86" t="s">
        <v>213</v>
      </c>
    </row>
    <row r="95" spans="10:10">
      <c r="J95" s="86" t="s">
        <v>214</v>
      </c>
    </row>
    <row r="96" spans="10:10">
      <c r="J96" s="86" t="s">
        <v>215</v>
      </c>
    </row>
    <row r="97" spans="10:10">
      <c r="J97" s="86" t="s">
        <v>216</v>
      </c>
    </row>
    <row r="98" spans="10:10">
      <c r="J98" s="86" t="s">
        <v>217</v>
      </c>
    </row>
    <row r="99" spans="10:10">
      <c r="J99" s="86" t="s">
        <v>218</v>
      </c>
    </row>
    <row r="100" spans="10:10">
      <c r="J100" s="86" t="s">
        <v>219</v>
      </c>
    </row>
    <row r="101" spans="10:10">
      <c r="J101" s="86" t="s">
        <v>220</v>
      </c>
    </row>
    <row r="102" spans="10:10">
      <c r="J102" s="86" t="s">
        <v>221</v>
      </c>
    </row>
    <row r="103" spans="10:10">
      <c r="J103" s="86" t="s">
        <v>222</v>
      </c>
    </row>
    <row r="104" spans="10:10">
      <c r="J104" s="86" t="s">
        <v>223</v>
      </c>
    </row>
    <row r="105" spans="10:10">
      <c r="J105" s="86" t="s">
        <v>224</v>
      </c>
    </row>
    <row r="106" spans="10:10">
      <c r="J106" s="86" t="s">
        <v>225</v>
      </c>
    </row>
    <row r="107" spans="10:10">
      <c r="J107" s="86" t="s">
        <v>226</v>
      </c>
    </row>
    <row r="108" spans="10:10">
      <c r="J108" s="86" t="s">
        <v>227</v>
      </c>
    </row>
    <row r="109" spans="10:10">
      <c r="J109" s="86" t="s">
        <v>228</v>
      </c>
    </row>
    <row r="110" spans="10:10">
      <c r="J110" s="86" t="s">
        <v>229</v>
      </c>
    </row>
    <row r="111" spans="10:10">
      <c r="J111" s="86" t="s">
        <v>80</v>
      </c>
    </row>
    <row r="112" spans="10:10">
      <c r="J112" s="86" t="s">
        <v>230</v>
      </c>
    </row>
    <row r="113" spans="10:10">
      <c r="J113" s="86" t="s">
        <v>231</v>
      </c>
    </row>
    <row r="114" spans="10:10">
      <c r="J114" s="86" t="s">
        <v>232</v>
      </c>
    </row>
    <row r="115" spans="10:10">
      <c r="J115" s="86" t="s">
        <v>233</v>
      </c>
    </row>
    <row r="116" spans="10:10">
      <c r="J116" s="86" t="s">
        <v>234</v>
      </c>
    </row>
    <row r="117" spans="10:10">
      <c r="J117" s="86" t="s">
        <v>235</v>
      </c>
    </row>
    <row r="118" spans="10:10">
      <c r="J118" s="86" t="s">
        <v>236</v>
      </c>
    </row>
    <row r="119" spans="10:10">
      <c r="J119" s="86" t="s">
        <v>237</v>
      </c>
    </row>
    <row r="120" spans="10:10">
      <c r="J120" s="86" t="s">
        <v>238</v>
      </c>
    </row>
    <row r="121" spans="10:10">
      <c r="J121" s="86" t="s">
        <v>239</v>
      </c>
    </row>
    <row r="122" spans="10:10">
      <c r="J122" s="86" t="s">
        <v>240</v>
      </c>
    </row>
    <row r="123" spans="10:10">
      <c r="J123" s="86" t="s">
        <v>241</v>
      </c>
    </row>
    <row r="124" spans="10:10">
      <c r="J124" s="86" t="s">
        <v>242</v>
      </c>
    </row>
    <row r="125" spans="10:10">
      <c r="J125" s="86" t="s">
        <v>243</v>
      </c>
    </row>
    <row r="126" spans="10:10">
      <c r="J126" s="86" t="s">
        <v>244</v>
      </c>
    </row>
    <row r="127" spans="10:10">
      <c r="J127" s="86" t="s">
        <v>245</v>
      </c>
    </row>
    <row r="128" spans="10:10">
      <c r="J128" s="86" t="s">
        <v>246</v>
      </c>
    </row>
    <row r="129" spans="10:10">
      <c r="J129" s="86" t="s">
        <v>247</v>
      </c>
    </row>
    <row r="130" spans="10:10">
      <c r="J130" s="86" t="s">
        <v>248</v>
      </c>
    </row>
    <row r="131" spans="10:10">
      <c r="J131" s="86" t="s">
        <v>249</v>
      </c>
    </row>
    <row r="132" spans="10:10">
      <c r="J132" s="86" t="s">
        <v>250</v>
      </c>
    </row>
    <row r="133" spans="10:10">
      <c r="J133" s="86" t="s">
        <v>251</v>
      </c>
    </row>
    <row r="134" spans="10:10">
      <c r="J134" s="86" t="s">
        <v>252</v>
      </c>
    </row>
    <row r="135" spans="10:10">
      <c r="J135" s="86" t="s">
        <v>253</v>
      </c>
    </row>
    <row r="136" spans="10:10">
      <c r="J136" s="86" t="s">
        <v>254</v>
      </c>
    </row>
    <row r="137" spans="10:10">
      <c r="J137" s="86" t="s">
        <v>255</v>
      </c>
    </row>
    <row r="138" spans="10:10">
      <c r="J138" s="86" t="s">
        <v>256</v>
      </c>
    </row>
    <row r="139" spans="10:10">
      <c r="J139" s="86" t="s">
        <v>257</v>
      </c>
    </row>
    <row r="140" spans="10:10">
      <c r="J140" s="86" t="s">
        <v>258</v>
      </c>
    </row>
    <row r="141" spans="10:10">
      <c r="J141" s="86" t="s">
        <v>259</v>
      </c>
    </row>
    <row r="142" spans="10:10">
      <c r="J142" s="86" t="s">
        <v>260</v>
      </c>
    </row>
    <row r="143" spans="10:10">
      <c r="J143" s="86" t="s">
        <v>261</v>
      </c>
    </row>
    <row r="144" spans="10:10">
      <c r="J144" s="404"/>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headerFooter>
    <oddFooter>&amp;L&amp;"Calibri,Italic"&amp;8&amp;F: &amp;A</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70" zoomScaleNormal="70" zoomScalePageLayoutView="70" workbookViewId="0">
      <pane ySplit="2" topLeftCell="A21" activePane="bottomLeft" state="frozen"/>
      <selection activeCell="E22" sqref="E22"/>
      <selection pane="bottomLeft"/>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42578125" style="36" customWidth="1"/>
    <col min="15" max="15" width="3" style="36" customWidth="1"/>
    <col min="16" max="16" width="2.42578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21" t="str">
        <f>+"Dashboard: "&amp;" "&amp;+IF('Data Entry'!C4="Please Select","",'Data Entry'!C4&amp;" - ")&amp;+IF('Data Entry'!G6="Please Select","",'Data Entry'!G6)</f>
        <v>Dashboard:  Georgia - HIV / AIDS</v>
      </c>
      <c r="C2" s="621"/>
      <c r="D2" s="621"/>
      <c r="E2" s="621"/>
      <c r="F2" s="621"/>
      <c r="G2" s="621"/>
      <c r="H2" s="621"/>
      <c r="I2" s="621"/>
      <c r="J2" s="621"/>
      <c r="K2" s="621"/>
      <c r="L2" s="621"/>
      <c r="M2" s="621"/>
    </row>
    <row r="3" spans="1:15" ht="15.75" customHeight="1">
      <c r="A3" s="3"/>
      <c r="B3" s="220"/>
      <c r="C3" s="220"/>
      <c r="D3" s="220"/>
      <c r="E3" s="220"/>
      <c r="F3" s="220"/>
      <c r="G3" s="220"/>
      <c r="H3" s="220"/>
      <c r="I3" s="220"/>
      <c r="J3" s="220"/>
      <c r="K3" s="221"/>
      <c r="L3" s="221"/>
      <c r="M3" s="3"/>
    </row>
    <row r="5" spans="1:15" ht="23.25">
      <c r="B5" s="605" t="s">
        <v>283</v>
      </c>
      <c r="C5" s="605"/>
      <c r="D5" s="605"/>
      <c r="E5" s="605"/>
      <c r="F5" s="605"/>
      <c r="G5" s="605"/>
      <c r="H5" s="605"/>
      <c r="I5" s="605"/>
      <c r="J5" s="605"/>
      <c r="K5" s="605"/>
      <c r="L5" s="605"/>
      <c r="M5" s="605"/>
      <c r="N5" s="605"/>
      <c r="O5" s="605"/>
    </row>
    <row r="7" spans="1:15" ht="21">
      <c r="B7" s="622" t="s">
        <v>272</v>
      </c>
      <c r="C7" s="623"/>
      <c r="D7" s="624"/>
      <c r="E7" s="622" t="s">
        <v>273</v>
      </c>
      <c r="F7" s="623"/>
      <c r="G7" s="623"/>
      <c r="H7" s="623"/>
      <c r="I7" s="624"/>
      <c r="J7" s="622" t="s">
        <v>274</v>
      </c>
      <c r="K7" s="623"/>
      <c r="L7" s="624"/>
      <c r="M7" s="622" t="s">
        <v>347</v>
      </c>
      <c r="N7" s="623"/>
      <c r="O7" s="624"/>
    </row>
    <row r="8" spans="1:15" ht="92.25" customHeight="1">
      <c r="B8" s="550" t="str">
        <f>+'Data Entry'!B27</f>
        <v>F1: Budget and disbursements by Global Fund</v>
      </c>
      <c r="C8" s="633"/>
      <c r="D8" s="634"/>
      <c r="E8" s="625" t="s">
        <v>393</v>
      </c>
      <c r="F8" s="626"/>
      <c r="G8" s="626"/>
      <c r="H8" s="626"/>
      <c r="I8" s="627"/>
      <c r="J8" s="567" t="s">
        <v>348</v>
      </c>
      <c r="K8" s="568"/>
      <c r="L8" s="569"/>
      <c r="M8" s="567" t="s">
        <v>394</v>
      </c>
      <c r="N8" s="568"/>
      <c r="O8" s="569"/>
    </row>
    <row r="9" spans="1:15" ht="117.75" customHeight="1">
      <c r="B9" s="550" t="str">
        <f>+'Data Entry'!B36</f>
        <v>F2: Budget and actual expenditures by Grant Objective</v>
      </c>
      <c r="C9" s="633"/>
      <c r="D9" s="634"/>
      <c r="E9" s="582" t="s">
        <v>356</v>
      </c>
      <c r="F9" s="583"/>
      <c r="G9" s="583"/>
      <c r="H9" s="583"/>
      <c r="I9" s="584"/>
      <c r="J9" s="567" t="s">
        <v>350</v>
      </c>
      <c r="K9" s="568"/>
      <c r="L9" s="569"/>
      <c r="M9" s="567" t="s">
        <v>394</v>
      </c>
      <c r="N9" s="568"/>
      <c r="O9" s="569"/>
    </row>
    <row r="10" spans="1:15" ht="152.25" customHeight="1">
      <c r="B10" s="628" t="str">
        <f>+'Data Entry'!B49</f>
        <v>F3: Disbursements and expenditures</v>
      </c>
      <c r="C10" s="631"/>
      <c r="D10" s="632"/>
      <c r="E10" s="582" t="s">
        <v>395</v>
      </c>
      <c r="F10" s="583"/>
      <c r="G10" s="583"/>
      <c r="H10" s="583"/>
      <c r="I10" s="584"/>
      <c r="J10" s="567" t="s">
        <v>357</v>
      </c>
      <c r="K10" s="568"/>
      <c r="L10" s="569"/>
      <c r="M10" s="567" t="s">
        <v>349</v>
      </c>
      <c r="N10" s="568"/>
      <c r="O10" s="569"/>
    </row>
    <row r="11" spans="1:15" ht="279.75" customHeight="1">
      <c r="B11" s="628" t="str">
        <f>+'Data Entry'!B58</f>
        <v>F4: Latest PR reporting and disbursement cycle</v>
      </c>
      <c r="C11" s="629"/>
      <c r="D11" s="630"/>
      <c r="E11" s="582" t="s">
        <v>406</v>
      </c>
      <c r="F11" s="583"/>
      <c r="G11" s="583"/>
      <c r="H11" s="583"/>
      <c r="I11" s="584"/>
      <c r="J11" s="567" t="s">
        <v>358</v>
      </c>
      <c r="K11" s="568"/>
      <c r="L11" s="569"/>
      <c r="M11" s="567" t="s">
        <v>277</v>
      </c>
      <c r="N11" s="568"/>
      <c r="O11" s="569"/>
    </row>
    <row r="12" spans="1:15" s="19" customFormat="1">
      <c r="B12" s="635"/>
      <c r="C12" s="635"/>
      <c r="D12" s="635"/>
      <c r="E12" s="636"/>
      <c r="F12" s="636"/>
      <c r="G12" s="636"/>
      <c r="H12" s="636"/>
      <c r="I12" s="636"/>
      <c r="J12" s="636"/>
      <c r="K12" s="636"/>
      <c r="L12" s="636"/>
      <c r="M12" s="636"/>
      <c r="N12" s="636"/>
      <c r="O12" s="636"/>
    </row>
    <row r="13" spans="1:15" s="19" customFormat="1">
      <c r="B13" s="592"/>
      <c r="C13" s="592"/>
      <c r="D13" s="592"/>
      <c r="E13" s="593"/>
      <c r="F13" s="593"/>
      <c r="G13" s="593"/>
      <c r="H13" s="593"/>
      <c r="I13" s="593"/>
      <c r="J13" s="593"/>
      <c r="K13" s="593"/>
      <c r="L13" s="593"/>
      <c r="M13" s="593"/>
      <c r="N13" s="593"/>
      <c r="O13" s="593"/>
    </row>
    <row r="14" spans="1:15" s="19" customFormat="1">
      <c r="B14" s="592"/>
      <c r="C14" s="592"/>
      <c r="D14" s="592"/>
      <c r="E14" s="593"/>
      <c r="F14" s="593"/>
      <c r="G14" s="593"/>
      <c r="H14" s="593"/>
      <c r="I14" s="593"/>
      <c r="J14" s="593"/>
      <c r="K14" s="593"/>
      <c r="L14" s="593"/>
      <c r="M14" s="593"/>
      <c r="N14" s="593"/>
      <c r="O14" s="593"/>
    </row>
    <row r="15" spans="1:15" s="19" customFormat="1">
      <c r="B15" s="592"/>
      <c r="C15" s="592"/>
      <c r="D15" s="592"/>
      <c r="E15" s="593"/>
      <c r="F15" s="593"/>
      <c r="G15" s="593"/>
      <c r="H15" s="593"/>
      <c r="I15" s="593"/>
      <c r="J15" s="593"/>
      <c r="K15" s="593"/>
      <c r="L15" s="593"/>
      <c r="M15" s="593"/>
      <c r="N15" s="593"/>
      <c r="O15" s="593"/>
    </row>
    <row r="16" spans="1:15" ht="23.25">
      <c r="B16" s="605" t="s">
        <v>284</v>
      </c>
      <c r="C16" s="605"/>
      <c r="D16" s="605"/>
      <c r="E16" s="605"/>
      <c r="F16" s="605"/>
      <c r="G16" s="605"/>
      <c r="H16" s="605"/>
      <c r="I16" s="605"/>
      <c r="J16" s="605"/>
      <c r="K16" s="605"/>
      <c r="L16" s="605"/>
      <c r="M16" s="605"/>
      <c r="N16" s="605"/>
      <c r="O16" s="605"/>
    </row>
    <row r="18" spans="1:15" ht="21">
      <c r="B18" s="637" t="s">
        <v>272</v>
      </c>
      <c r="C18" s="638"/>
      <c r="D18" s="639"/>
      <c r="E18" s="637" t="s">
        <v>273</v>
      </c>
      <c r="F18" s="638"/>
      <c r="G18" s="638"/>
      <c r="H18" s="638"/>
      <c r="I18" s="639"/>
      <c r="J18" s="637" t="s">
        <v>274</v>
      </c>
      <c r="K18" s="638"/>
      <c r="L18" s="639"/>
      <c r="M18" s="637" t="s">
        <v>275</v>
      </c>
      <c r="N18" s="638"/>
      <c r="O18" s="639"/>
    </row>
    <row r="19" spans="1:15" ht="114" customHeight="1">
      <c r="B19" s="550" t="str">
        <f>+'Data Entry'!B69</f>
        <v>M1: Status of Conditions Precedent (CPs) and Time Bound Actions (TBAs)</v>
      </c>
      <c r="C19" s="551"/>
      <c r="D19" s="552"/>
      <c r="E19" s="582" t="s">
        <v>282</v>
      </c>
      <c r="F19" s="583"/>
      <c r="G19" s="583"/>
      <c r="H19" s="583"/>
      <c r="I19" s="584"/>
      <c r="J19" s="567" t="s">
        <v>351</v>
      </c>
      <c r="K19" s="568"/>
      <c r="L19" s="569"/>
      <c r="M19" s="567" t="s">
        <v>352</v>
      </c>
      <c r="N19" s="568"/>
      <c r="O19" s="569"/>
    </row>
    <row r="20" spans="1:15" ht="102.75" customHeight="1">
      <c r="B20" s="550" t="str">
        <f>+'Data Entry'!B76</f>
        <v>M2: Status of key PR management positions</v>
      </c>
      <c r="C20" s="551"/>
      <c r="D20" s="552"/>
      <c r="E20" s="582" t="s">
        <v>396</v>
      </c>
      <c r="F20" s="583"/>
      <c r="G20" s="583"/>
      <c r="H20" s="583"/>
      <c r="I20" s="584"/>
      <c r="J20" s="567" t="s">
        <v>279</v>
      </c>
      <c r="K20" s="568"/>
      <c r="L20" s="569"/>
      <c r="M20" s="567" t="s">
        <v>278</v>
      </c>
      <c r="N20" s="568"/>
      <c r="O20" s="569"/>
    </row>
    <row r="21" spans="1:15" ht="111.75" customHeight="1">
      <c r="B21" s="550" t="str">
        <f>+'Data Entry'!B81</f>
        <v xml:space="preserve">M3: Contractual arrangements (SRs) </v>
      </c>
      <c r="C21" s="551"/>
      <c r="D21" s="552"/>
      <c r="E21" s="585" t="s">
        <v>0</v>
      </c>
      <c r="F21" s="583"/>
      <c r="G21" s="583"/>
      <c r="H21" s="583"/>
      <c r="I21" s="584"/>
      <c r="J21" s="567" t="s">
        <v>353</v>
      </c>
      <c r="K21" s="568"/>
      <c r="L21" s="569"/>
      <c r="M21" s="567" t="s">
        <v>354</v>
      </c>
      <c r="N21" s="568"/>
      <c r="O21" s="569"/>
    </row>
    <row r="22" spans="1:15" ht="74.25" customHeight="1">
      <c r="B22" s="550" t="str">
        <f>+'Data Entry'!B86</f>
        <v>M4: Number of complete reports received on time</v>
      </c>
      <c r="C22" s="551"/>
      <c r="D22" s="552"/>
      <c r="E22" s="585" t="s">
        <v>407</v>
      </c>
      <c r="F22" s="594"/>
      <c r="G22" s="594"/>
      <c r="H22" s="594"/>
      <c r="I22" s="595"/>
      <c r="J22" s="567" t="s">
        <v>359</v>
      </c>
      <c r="K22" s="568"/>
      <c r="L22" s="569"/>
      <c r="M22" s="567" t="s">
        <v>280</v>
      </c>
      <c r="N22" s="568"/>
      <c r="O22" s="569"/>
    </row>
    <row r="23" spans="1:15" ht="207.75" customHeight="1">
      <c r="B23" s="586" t="str">
        <f>+'Data Entry'!B92</f>
        <v>M5: Budget and Procurement of health products, health equipment, medicines and pharmaceuticals</v>
      </c>
      <c r="C23" s="587"/>
      <c r="D23" s="588"/>
      <c r="E23" s="596" t="s">
        <v>360</v>
      </c>
      <c r="F23" s="597"/>
      <c r="G23" s="597"/>
      <c r="H23" s="597"/>
      <c r="I23" s="598"/>
      <c r="J23" s="576" t="s">
        <v>276</v>
      </c>
      <c r="K23" s="577"/>
      <c r="L23" s="578"/>
      <c r="M23" s="576" t="s">
        <v>281</v>
      </c>
      <c r="N23" s="577"/>
      <c r="O23" s="578"/>
    </row>
    <row r="24" spans="1:15" ht="114.75" customHeight="1">
      <c r="B24" s="589"/>
      <c r="C24" s="590"/>
      <c r="D24" s="591"/>
      <c r="E24" s="599" t="s">
        <v>355</v>
      </c>
      <c r="F24" s="600"/>
      <c r="G24" s="600"/>
      <c r="H24" s="600"/>
      <c r="I24" s="601"/>
      <c r="J24" s="579"/>
      <c r="K24" s="580"/>
      <c r="L24" s="581"/>
      <c r="M24" s="579"/>
      <c r="N24" s="580"/>
      <c r="O24" s="581"/>
    </row>
    <row r="25" spans="1:15" ht="409.5" customHeight="1">
      <c r="B25" s="550" t="str">
        <f>+'Data Entry'!B105</f>
        <v>M6: Difference between current and safety stock</v>
      </c>
      <c r="C25" s="551"/>
      <c r="D25" s="552"/>
      <c r="E25" s="561" t="s">
        <v>408</v>
      </c>
      <c r="F25" s="562"/>
      <c r="G25" s="562"/>
      <c r="H25" s="562"/>
      <c r="I25" s="563"/>
      <c r="J25" s="573" t="s">
        <v>361</v>
      </c>
      <c r="K25" s="574"/>
      <c r="L25" s="575"/>
      <c r="M25" s="570" t="s">
        <v>366</v>
      </c>
      <c r="N25" s="571"/>
      <c r="O25" s="572"/>
    </row>
    <row r="29" spans="1:15" ht="18.75">
      <c r="B29" s="255"/>
    </row>
    <row r="30" spans="1:15" ht="23.25">
      <c r="B30" s="605" t="s">
        <v>297</v>
      </c>
      <c r="C30" s="605"/>
      <c r="D30" s="605"/>
      <c r="E30" s="605"/>
      <c r="F30" s="605"/>
      <c r="G30" s="605"/>
      <c r="H30" s="605"/>
      <c r="I30" s="605"/>
      <c r="J30" s="605"/>
      <c r="K30" s="605"/>
      <c r="L30" s="605"/>
      <c r="M30" s="605"/>
      <c r="N30" s="605"/>
      <c r="O30" s="605"/>
    </row>
    <row r="32" spans="1:15" ht="28.5" customHeight="1">
      <c r="A32" s="246"/>
      <c r="B32" s="606" t="s">
        <v>345</v>
      </c>
      <c r="C32" s="607"/>
      <c r="D32" s="608"/>
      <c r="E32" s="609" t="s">
        <v>303</v>
      </c>
      <c r="F32" s="610"/>
      <c r="G32" s="610"/>
      <c r="H32" s="610"/>
      <c r="I32" s="611"/>
      <c r="J32" s="609" t="s">
        <v>274</v>
      </c>
      <c r="K32" s="610"/>
      <c r="L32" s="611"/>
      <c r="M32" s="609" t="s">
        <v>275</v>
      </c>
      <c r="N32" s="610"/>
      <c r="O32" s="611"/>
    </row>
    <row r="33" spans="1:15" ht="47.25" customHeight="1">
      <c r="A33" s="247"/>
      <c r="B33" s="553"/>
      <c r="C33" s="554"/>
      <c r="D33" s="555"/>
      <c r="E33" s="541"/>
      <c r="F33" s="542"/>
      <c r="G33" s="542"/>
      <c r="H33" s="542"/>
      <c r="I33" s="543"/>
      <c r="J33" s="547"/>
      <c r="K33" s="548"/>
      <c r="L33" s="549"/>
      <c r="M33" s="547"/>
      <c r="N33" s="548"/>
      <c r="O33" s="549"/>
    </row>
    <row r="34" spans="1:15" ht="59.25" customHeight="1">
      <c r="A34" s="247"/>
      <c r="B34" s="553"/>
      <c r="C34" s="554"/>
      <c r="D34" s="555"/>
      <c r="E34" s="541"/>
      <c r="F34" s="542"/>
      <c r="G34" s="542"/>
      <c r="H34" s="542"/>
      <c r="I34" s="543"/>
      <c r="J34" s="547"/>
      <c r="K34" s="548"/>
      <c r="L34" s="549"/>
      <c r="M34" s="547"/>
      <c r="N34" s="548"/>
      <c r="O34" s="549"/>
    </row>
    <row r="35" spans="1:15" ht="57.75" customHeight="1">
      <c r="A35" s="247"/>
      <c r="B35" s="553"/>
      <c r="C35" s="554"/>
      <c r="D35" s="555"/>
      <c r="E35" s="547"/>
      <c r="F35" s="548"/>
      <c r="G35" s="548"/>
      <c r="H35" s="548"/>
      <c r="I35" s="549"/>
      <c r="J35" s="547"/>
      <c r="K35" s="548"/>
      <c r="L35" s="549"/>
      <c r="M35" s="547"/>
      <c r="N35" s="548"/>
      <c r="O35" s="549"/>
    </row>
    <row r="36" spans="1:15" ht="9.75" customHeight="1">
      <c r="A36" s="247"/>
      <c r="B36" s="558"/>
      <c r="C36" s="559"/>
      <c r="D36" s="560"/>
      <c r="E36" s="248"/>
      <c r="F36" s="249"/>
      <c r="G36" s="249"/>
      <c r="H36" s="249"/>
      <c r="I36" s="250"/>
      <c r="J36" s="268"/>
      <c r="K36" s="269"/>
      <c r="L36" s="270"/>
      <c r="M36" s="268"/>
      <c r="N36" s="269"/>
      <c r="O36" s="270"/>
    </row>
    <row r="37" spans="1:15" ht="46.5" customHeight="1">
      <c r="A37" s="247"/>
      <c r="B37" s="553"/>
      <c r="C37" s="554"/>
      <c r="D37" s="555"/>
      <c r="E37" s="547"/>
      <c r="F37" s="556"/>
      <c r="G37" s="556"/>
      <c r="H37" s="556"/>
      <c r="I37" s="557"/>
      <c r="J37" s="263"/>
      <c r="K37" s="264"/>
      <c r="L37" s="265"/>
      <c r="M37" s="263"/>
      <c r="N37" s="264"/>
      <c r="O37" s="265"/>
    </row>
    <row r="38" spans="1:15" ht="69" customHeight="1">
      <c r="A38" s="247"/>
      <c r="B38" s="553"/>
      <c r="C38" s="554"/>
      <c r="D38" s="555"/>
      <c r="E38" s="541"/>
      <c r="F38" s="542"/>
      <c r="G38" s="542"/>
      <c r="H38" s="542"/>
      <c r="I38" s="543"/>
      <c r="J38" s="547"/>
      <c r="K38" s="548"/>
      <c r="L38" s="549"/>
      <c r="M38" s="547"/>
      <c r="N38" s="548"/>
      <c r="O38" s="549"/>
    </row>
    <row r="39" spans="1:15" ht="64.5" customHeight="1">
      <c r="A39" s="247"/>
      <c r="B39" s="553"/>
      <c r="C39" s="554"/>
      <c r="D39" s="555"/>
      <c r="E39" s="547"/>
      <c r="F39" s="548"/>
      <c r="G39" s="548"/>
      <c r="H39" s="548"/>
      <c r="I39" s="549"/>
      <c r="J39" s="263"/>
      <c r="K39" s="264"/>
      <c r="L39" s="265"/>
      <c r="M39" s="263"/>
      <c r="N39" s="264"/>
      <c r="O39" s="265"/>
    </row>
    <row r="40" spans="1:15" ht="45" customHeight="1">
      <c r="A40" s="247"/>
      <c r="B40" s="538"/>
      <c r="C40" s="539"/>
      <c r="D40" s="540"/>
      <c r="E40" s="564"/>
      <c r="F40" s="565"/>
      <c r="G40" s="565"/>
      <c r="H40" s="565"/>
      <c r="I40" s="566"/>
      <c r="J40" s="547"/>
      <c r="K40" s="548"/>
      <c r="L40" s="549"/>
      <c r="M40" s="547"/>
      <c r="N40" s="548"/>
      <c r="O40" s="549"/>
    </row>
    <row r="41" spans="1:15" ht="62.25" customHeight="1">
      <c r="A41" s="247"/>
      <c r="B41" s="535"/>
      <c r="C41" s="536"/>
      <c r="D41" s="537"/>
      <c r="E41" s="541"/>
      <c r="F41" s="542"/>
      <c r="G41" s="542"/>
      <c r="H41" s="542"/>
      <c r="I41" s="543"/>
      <c r="J41" s="547"/>
      <c r="K41" s="548"/>
      <c r="L41" s="549"/>
      <c r="M41" s="547"/>
      <c r="N41" s="548"/>
      <c r="O41" s="549"/>
    </row>
    <row r="42" spans="1:15" ht="84" customHeight="1">
      <c r="A42" s="247"/>
      <c r="B42" s="535"/>
      <c r="C42" s="536"/>
      <c r="D42" s="537"/>
      <c r="E42" s="547"/>
      <c r="F42" s="548"/>
      <c r="G42" s="548"/>
      <c r="H42" s="548"/>
      <c r="I42" s="549"/>
      <c r="J42" s="263"/>
      <c r="K42" s="264"/>
      <c r="L42" s="265"/>
      <c r="M42" s="263"/>
      <c r="N42" s="264"/>
      <c r="O42" s="265"/>
    </row>
    <row r="43" spans="1:15" ht="45" customHeight="1">
      <c r="A43" s="247"/>
      <c r="B43" s="535"/>
      <c r="C43" s="536"/>
      <c r="D43" s="537"/>
      <c r="E43" s="541"/>
      <c r="F43" s="542"/>
      <c r="G43" s="542"/>
      <c r="H43" s="542"/>
      <c r="I43" s="543"/>
      <c r="J43" s="547"/>
      <c r="K43" s="548"/>
      <c r="L43" s="549"/>
      <c r="M43" s="263"/>
      <c r="N43" s="264"/>
      <c r="O43" s="265"/>
    </row>
    <row r="44" spans="1:15" ht="64.5" customHeight="1">
      <c r="A44" s="247"/>
      <c r="B44" s="538"/>
      <c r="C44" s="539"/>
      <c r="D44" s="540"/>
      <c r="E44" s="541"/>
      <c r="F44" s="542"/>
      <c r="G44" s="542"/>
      <c r="H44" s="542"/>
      <c r="I44" s="543"/>
      <c r="J44" s="547"/>
      <c r="K44" s="548"/>
      <c r="L44" s="549"/>
      <c r="M44" s="263"/>
      <c r="N44" s="264"/>
      <c r="O44" s="265"/>
    </row>
    <row r="45" spans="1:15" ht="49.5" customHeight="1">
      <c r="B45" s="538"/>
      <c r="C45" s="539"/>
      <c r="D45" s="540"/>
      <c r="E45" s="541"/>
      <c r="F45" s="542"/>
      <c r="G45" s="542"/>
      <c r="H45" s="542"/>
      <c r="I45" s="543"/>
      <c r="J45" s="547"/>
      <c r="K45" s="548"/>
      <c r="L45" s="549"/>
      <c r="M45" s="263"/>
      <c r="N45" s="264"/>
      <c r="O45" s="265"/>
    </row>
    <row r="46" spans="1:15" ht="30" customHeight="1">
      <c r="B46" s="544"/>
      <c r="C46" s="545"/>
      <c r="D46" s="546"/>
      <c r="E46" s="251"/>
      <c r="F46" s="252"/>
      <c r="G46" s="252"/>
      <c r="H46" s="252"/>
      <c r="I46" s="253"/>
      <c r="J46" s="263"/>
      <c r="K46" s="264"/>
      <c r="L46" s="265"/>
      <c r="M46" s="263"/>
      <c r="N46" s="264"/>
      <c r="O46" s="265"/>
    </row>
    <row r="47" spans="1:15" ht="44.25" customHeight="1">
      <c r="B47" s="615" t="s">
        <v>298</v>
      </c>
      <c r="C47" s="616"/>
      <c r="D47" s="617"/>
      <c r="E47" s="618" t="s">
        <v>273</v>
      </c>
      <c r="F47" s="619"/>
      <c r="G47" s="619"/>
      <c r="H47" s="619"/>
      <c r="I47" s="620"/>
      <c r="J47" s="618" t="s">
        <v>274</v>
      </c>
      <c r="K47" s="619"/>
      <c r="L47" s="620"/>
      <c r="M47" s="618" t="s">
        <v>275</v>
      </c>
      <c r="N47" s="619"/>
      <c r="O47" s="620"/>
    </row>
    <row r="48" spans="1:15" ht="33.75" customHeight="1">
      <c r="B48" s="242"/>
      <c r="C48" s="243"/>
      <c r="D48" s="243"/>
      <c r="E48" s="236"/>
      <c r="F48" s="238"/>
      <c r="G48" s="238"/>
      <c r="H48" s="238"/>
      <c r="I48" s="238"/>
      <c r="J48" s="236"/>
      <c r="K48" s="236"/>
      <c r="L48" s="237"/>
      <c r="M48" s="235"/>
      <c r="N48" s="236"/>
      <c r="O48" s="237"/>
    </row>
    <row r="49" spans="2:15" ht="15.75" customHeight="1">
      <c r="B49" s="612" t="s">
        <v>295</v>
      </c>
      <c r="C49" s="613"/>
      <c r="D49" s="613"/>
      <c r="E49" s="613"/>
      <c r="F49" s="613"/>
      <c r="G49" s="613"/>
      <c r="H49" s="613"/>
      <c r="I49" s="613"/>
      <c r="J49" s="613"/>
      <c r="K49" s="613"/>
      <c r="L49" s="614"/>
      <c r="M49" s="602" t="s">
        <v>285</v>
      </c>
      <c r="N49" s="603"/>
      <c r="O49" s="604"/>
    </row>
    <row r="50" spans="2:15">
      <c r="D50" s="222"/>
    </row>
    <row r="52" spans="2:15">
      <c r="D52" s="222"/>
    </row>
    <row r="53" spans="2:15">
      <c r="D53" s="222"/>
    </row>
  </sheetData>
  <mergeCells count="120">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E42:I42"/>
    <mergeCell ref="E43:I43"/>
    <mergeCell ref="B42:D42"/>
    <mergeCell ref="B20:D20"/>
    <mergeCell ref="E20:I20"/>
    <mergeCell ref="B21:D21"/>
    <mergeCell ref="E21:I21"/>
    <mergeCell ref="B22:D22"/>
    <mergeCell ref="B23:D24"/>
    <mergeCell ref="B14:D14"/>
    <mergeCell ref="E14:I14"/>
    <mergeCell ref="B19:D19"/>
    <mergeCell ref="E22:I22"/>
    <mergeCell ref="E23:I23"/>
    <mergeCell ref="E24:I24"/>
    <mergeCell ref="J20:L20"/>
    <mergeCell ref="M20:O20"/>
    <mergeCell ref="M25:O25"/>
    <mergeCell ref="J25:L25"/>
    <mergeCell ref="J21:L21"/>
    <mergeCell ref="M21:O21"/>
    <mergeCell ref="J23:L24"/>
    <mergeCell ref="M22:O22"/>
    <mergeCell ref="M23:O24"/>
    <mergeCell ref="J22:L22"/>
    <mergeCell ref="B25:D25"/>
    <mergeCell ref="B33:D33"/>
    <mergeCell ref="B34:D34"/>
    <mergeCell ref="E37:I37"/>
    <mergeCell ref="E35:I35"/>
    <mergeCell ref="J40:L40"/>
    <mergeCell ref="M40:O40"/>
    <mergeCell ref="B39:D39"/>
    <mergeCell ref="M38:O38"/>
    <mergeCell ref="E39:I39"/>
    <mergeCell ref="B37:D37"/>
    <mergeCell ref="E38:I38"/>
    <mergeCell ref="J38:L38"/>
    <mergeCell ref="B36:D36"/>
    <mergeCell ref="E33:I33"/>
    <mergeCell ref="E34:I34"/>
    <mergeCell ref="E25:I25"/>
    <mergeCell ref="E40:I40"/>
    <mergeCell ref="B41:D41"/>
    <mergeCell ref="B40:D40"/>
    <mergeCell ref="E41:I41"/>
    <mergeCell ref="B46:D46"/>
    <mergeCell ref="J43:L43"/>
    <mergeCell ref="J44:L44"/>
    <mergeCell ref="J45:L45"/>
    <mergeCell ref="E44:I44"/>
    <mergeCell ref="B44:D44"/>
    <mergeCell ref="B45:D45"/>
    <mergeCell ref="E45:I45"/>
    <mergeCell ref="B43:D43"/>
  </mergeCells>
  <phoneticPr fontId="30" type="noConversion"/>
  <pageMargins left="0.70866141732283472" right="0.70866141732283472" top="0.74803149606299213" bottom="0.74803149606299213" header="0.31496062992125984" footer="0.31496062992125984"/>
  <pageSetup paperSize="9" orientation="landscape"/>
  <headerFooter>
    <oddFooter>&amp;L&amp;F&amp;C&amp;A&amp;RV1.0          &amp;D</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zoomScale="84" zoomScaleNormal="80" zoomScalePageLayoutView="90" workbookViewId="0">
      <selection activeCell="B1" sqref="B1"/>
    </sheetView>
  </sheetViews>
  <sheetFormatPr defaultColWidth="11" defaultRowHeight="15"/>
  <cols>
    <col min="1" max="1" width="2.7109375" customWidth="1"/>
    <col min="2" max="2" width="46.140625" customWidth="1"/>
    <col min="3" max="3" width="36" customWidth="1"/>
    <col min="4" max="4" width="19.140625" customWidth="1"/>
    <col min="5" max="5" width="16.42578125" customWidth="1"/>
    <col min="6" max="6" width="17.42578125" customWidth="1"/>
    <col min="7" max="7" width="16.42578125" customWidth="1"/>
    <col min="8" max="8" width="17.42578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42578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42578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42578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71" t="s">
        <v>373</v>
      </c>
      <c r="C2" s="671"/>
      <c r="D2" s="671"/>
      <c r="E2" s="671"/>
      <c r="F2" s="671"/>
      <c r="G2" s="671"/>
      <c r="H2" s="671"/>
      <c r="I2" s="671"/>
      <c r="J2" s="671"/>
      <c r="K2" s="285"/>
      <c r="L2" s="285"/>
      <c r="M2" s="285"/>
    </row>
    <row r="3" spans="1:13" ht="4.5" customHeight="1">
      <c r="A3" s="3"/>
      <c r="B3" s="3"/>
      <c r="C3" s="3"/>
      <c r="D3" s="3"/>
      <c r="E3" s="3"/>
      <c r="F3" s="3"/>
      <c r="G3" s="3"/>
      <c r="H3" s="3"/>
      <c r="I3" s="3"/>
      <c r="J3" s="3"/>
      <c r="K3" s="3"/>
      <c r="L3" s="3"/>
      <c r="M3" s="3"/>
    </row>
    <row r="4" spans="1:13">
      <c r="A4" s="3"/>
      <c r="B4" s="283" t="s">
        <v>25</v>
      </c>
      <c r="C4" s="662" t="s">
        <v>176</v>
      </c>
      <c r="D4" s="663"/>
      <c r="E4" s="661" t="s">
        <v>11</v>
      </c>
      <c r="F4" s="661"/>
      <c r="G4" s="672" t="s">
        <v>445</v>
      </c>
      <c r="H4" s="673"/>
      <c r="I4" s="673"/>
      <c r="J4" s="674"/>
      <c r="K4" s="3"/>
      <c r="L4" s="3"/>
      <c r="M4" s="3"/>
    </row>
    <row r="5" spans="1:13" ht="3" customHeight="1">
      <c r="A5" s="3"/>
      <c r="B5" s="283"/>
      <c r="C5" s="3"/>
      <c r="D5" s="3"/>
      <c r="E5" s="286"/>
      <c r="F5" s="286"/>
      <c r="G5" s="3"/>
      <c r="H5" s="3"/>
      <c r="I5" s="3"/>
      <c r="J5" s="3"/>
      <c r="K5" s="3"/>
      <c r="L5" s="3"/>
      <c r="M5" s="3"/>
    </row>
    <row r="6" spans="1:13">
      <c r="A6" s="3"/>
      <c r="B6" s="283" t="s">
        <v>116</v>
      </c>
      <c r="C6" s="662" t="s">
        <v>413</v>
      </c>
      <c r="D6" s="663"/>
      <c r="E6" s="661" t="s">
        <v>26</v>
      </c>
      <c r="F6" s="661"/>
      <c r="G6" s="314" t="s">
        <v>27</v>
      </c>
      <c r="H6" s="283" t="s">
        <v>321</v>
      </c>
      <c r="I6" s="676">
        <v>18462163</v>
      </c>
      <c r="J6" s="677"/>
      <c r="K6" s="3"/>
      <c r="L6" s="3"/>
      <c r="M6" s="3"/>
    </row>
    <row r="7" spans="1:13" ht="3" customHeight="1">
      <c r="A7" s="3"/>
      <c r="B7" s="283"/>
      <c r="C7" s="3"/>
      <c r="D7" s="3"/>
      <c r="E7" s="286"/>
      <c r="F7" s="286"/>
      <c r="G7" s="3"/>
      <c r="H7" s="283"/>
      <c r="I7" s="3"/>
      <c r="J7" s="3"/>
      <c r="K7" s="3"/>
      <c r="L7" s="3"/>
      <c r="M7" s="3"/>
    </row>
    <row r="8" spans="1:13">
      <c r="A8" s="3"/>
      <c r="B8" s="283" t="s">
        <v>268</v>
      </c>
      <c r="C8" s="662" t="s">
        <v>414</v>
      </c>
      <c r="D8" s="663"/>
      <c r="E8" s="287"/>
      <c r="F8" s="282" t="s">
        <v>323</v>
      </c>
      <c r="G8" s="451" t="s">
        <v>444</v>
      </c>
      <c r="H8" s="282" t="s">
        <v>322</v>
      </c>
      <c r="I8" s="680" t="s">
        <v>443</v>
      </c>
      <c r="J8" s="681"/>
      <c r="K8" s="3"/>
      <c r="L8" s="3"/>
      <c r="M8" s="3"/>
    </row>
    <row r="9" spans="1:13" ht="3" customHeight="1">
      <c r="A9" s="3"/>
      <c r="B9" s="286"/>
      <c r="C9" s="3"/>
      <c r="D9" s="3"/>
      <c r="E9" s="286"/>
      <c r="F9" s="286"/>
      <c r="G9" s="3"/>
      <c r="H9" s="3"/>
      <c r="I9" s="3"/>
      <c r="J9" s="3"/>
      <c r="K9" s="3"/>
      <c r="L9" s="3"/>
      <c r="M9" s="3"/>
    </row>
    <row r="10" spans="1:13">
      <c r="A10" s="3"/>
      <c r="B10" s="283" t="s">
        <v>402</v>
      </c>
      <c r="C10" s="682">
        <v>42552</v>
      </c>
      <c r="D10" s="683"/>
      <c r="E10" s="675" t="s">
        <v>30</v>
      </c>
      <c r="F10" s="667"/>
      <c r="G10" s="662" t="s">
        <v>262</v>
      </c>
      <c r="H10" s="679"/>
      <c r="I10" s="679"/>
      <c r="J10" s="663"/>
      <c r="K10" s="3"/>
      <c r="L10" s="3"/>
      <c r="M10" s="3"/>
    </row>
    <row r="11" spans="1:13" ht="5.25" customHeight="1">
      <c r="A11" s="3"/>
      <c r="B11" s="3"/>
      <c r="C11" s="3"/>
      <c r="D11" s="3"/>
      <c r="E11" s="3"/>
      <c r="F11" s="3"/>
      <c r="G11" s="3"/>
      <c r="H11" s="3"/>
      <c r="I11" s="3"/>
      <c r="J11" s="3"/>
      <c r="K11" s="3"/>
      <c r="L11" s="3"/>
      <c r="M11" s="3"/>
    </row>
    <row r="12" spans="1:13" ht="15" customHeight="1">
      <c r="A12" s="3"/>
      <c r="B12" s="283" t="s">
        <v>28</v>
      </c>
      <c r="C12" s="660" t="s">
        <v>44</v>
      </c>
      <c r="D12" s="660"/>
      <c r="E12" s="675" t="s">
        <v>289</v>
      </c>
      <c r="F12" s="661"/>
      <c r="G12" s="678" t="s">
        <v>458</v>
      </c>
      <c r="H12" s="678"/>
      <c r="I12" s="678"/>
      <c r="J12" s="678"/>
      <c r="K12" s="3"/>
      <c r="L12" s="3"/>
      <c r="M12" s="3"/>
    </row>
    <row r="13" spans="1:13" ht="5.25" customHeight="1">
      <c r="A13" s="3"/>
      <c r="B13" s="3"/>
      <c r="C13" s="3"/>
      <c r="D13" s="3"/>
      <c r="E13" s="3"/>
      <c r="F13" s="3"/>
      <c r="G13" s="3"/>
      <c r="H13" s="3"/>
      <c r="I13" s="3"/>
      <c r="J13" s="3"/>
      <c r="K13" s="3"/>
      <c r="L13" s="3"/>
      <c r="M13" s="3"/>
    </row>
    <row r="14" spans="1:13" ht="15.75" customHeight="1">
      <c r="A14" s="3"/>
      <c r="B14" s="671" t="s">
        <v>2</v>
      </c>
      <c r="C14" s="671"/>
      <c r="D14" s="671"/>
      <c r="E14" s="671"/>
      <c r="F14" s="671"/>
      <c r="G14" s="671"/>
      <c r="H14" s="671"/>
      <c r="I14" s="671"/>
      <c r="J14" s="671"/>
      <c r="K14" s="3"/>
      <c r="L14" s="3"/>
      <c r="M14" s="3"/>
    </row>
    <row r="15" spans="1:13" ht="3" customHeight="1">
      <c r="A15" s="3"/>
      <c r="B15" s="3"/>
      <c r="C15" s="3"/>
      <c r="D15" s="3"/>
      <c r="E15" s="3"/>
      <c r="F15" s="3"/>
      <c r="G15" s="3"/>
      <c r="H15" s="3"/>
      <c r="I15" s="3"/>
      <c r="J15" s="3"/>
      <c r="K15" s="3"/>
      <c r="L15" s="3"/>
      <c r="M15" s="3"/>
    </row>
    <row r="16" spans="1:13">
      <c r="A16" s="3"/>
      <c r="B16" s="283" t="s">
        <v>20</v>
      </c>
      <c r="C16" s="398" t="s">
        <v>122</v>
      </c>
      <c r="D16" s="282" t="s">
        <v>324</v>
      </c>
      <c r="E16" s="288">
        <v>43101</v>
      </c>
      <c r="F16" s="284" t="s">
        <v>8</v>
      </c>
      <c r="G16" s="288">
        <v>43190</v>
      </c>
      <c r="H16" s="675" t="s">
        <v>325</v>
      </c>
      <c r="I16" s="667"/>
      <c r="J16" s="452">
        <v>43206</v>
      </c>
      <c r="K16" s="3"/>
      <c r="L16" s="3"/>
      <c r="M16" s="3"/>
    </row>
    <row r="17" spans="1:35" ht="3" customHeight="1">
      <c r="A17" s="3"/>
      <c r="B17" s="3"/>
      <c r="C17" s="3"/>
      <c r="D17" s="3"/>
      <c r="E17" s="3"/>
      <c r="F17" s="3"/>
      <c r="G17" s="3"/>
      <c r="H17" s="3"/>
      <c r="I17" s="3"/>
      <c r="J17" s="3"/>
      <c r="K17" s="3"/>
      <c r="L17" s="3"/>
      <c r="M17" s="3"/>
    </row>
    <row r="18" spans="1:35">
      <c r="A18" s="3"/>
      <c r="B18" s="666" t="s">
        <v>31</v>
      </c>
      <c r="C18" s="667"/>
      <c r="D18" s="668" t="s">
        <v>415</v>
      </c>
      <c r="E18" s="668"/>
      <c r="F18" s="668"/>
      <c r="G18" s="289"/>
      <c r="H18" s="289"/>
      <c r="I18" s="289"/>
      <c r="J18" s="289"/>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71" t="s">
        <v>362</v>
      </c>
      <c r="C21" s="671"/>
      <c r="D21" s="671"/>
      <c r="E21" s="671"/>
      <c r="F21" s="671"/>
      <c r="G21" s="671"/>
      <c r="H21" s="671"/>
      <c r="I21" s="671"/>
      <c r="J21" s="671"/>
      <c r="K21" s="3"/>
      <c r="L21" s="3"/>
      <c r="M21" s="3"/>
    </row>
    <row r="22" spans="1:35">
      <c r="A22" s="3"/>
      <c r="B22" s="286" t="s">
        <v>3</v>
      </c>
      <c r="C22" s="3"/>
      <c r="D22" s="3"/>
      <c r="E22" s="290"/>
      <c r="F22" s="290"/>
      <c r="G22" s="3"/>
      <c r="H22" s="3"/>
      <c r="I22" s="290"/>
      <c r="J22" s="290"/>
      <c r="K22" s="3"/>
      <c r="L22" s="3"/>
      <c r="M22" s="3"/>
    </row>
    <row r="23" spans="1:35" ht="3" customHeight="1">
      <c r="A23" s="3"/>
      <c r="B23" s="3"/>
      <c r="C23" s="3"/>
      <c r="D23" s="3"/>
      <c r="E23" s="3"/>
      <c r="F23" s="3"/>
      <c r="G23" s="3"/>
      <c r="H23" s="3"/>
      <c r="I23" s="3"/>
      <c r="J23" s="3"/>
      <c r="K23" s="3"/>
      <c r="L23" s="3"/>
      <c r="M23" s="3"/>
    </row>
    <row r="24" spans="1:35" ht="15.75" thickBot="1">
      <c r="A24" s="3"/>
      <c r="B24" s="283" t="s">
        <v>398</v>
      </c>
      <c r="C24" s="389"/>
      <c r="D24" s="661" t="s">
        <v>399</v>
      </c>
      <c r="E24" s="661"/>
      <c r="F24" s="390"/>
      <c r="G24" s="661" t="s">
        <v>400</v>
      </c>
      <c r="H24" s="661"/>
      <c r="I24" s="724"/>
      <c r="J24" s="725"/>
      <c r="K24" s="3"/>
      <c r="L24" s="3"/>
      <c r="M24" s="3"/>
      <c r="N24" s="20"/>
    </row>
    <row r="25" spans="1:35" ht="19.5" thickBot="1">
      <c r="A25" s="3"/>
      <c r="B25" s="87" t="s">
        <v>398</v>
      </c>
      <c r="C25" s="88"/>
      <c r="D25" s="88"/>
      <c r="E25" s="88"/>
      <c r="F25" s="88"/>
      <c r="G25" s="88"/>
      <c r="H25" s="271"/>
      <c r="I25" s="89"/>
      <c r="J25" s="89"/>
      <c r="K25" s="271" t="s">
        <v>326</v>
      </c>
      <c r="L25" s="88"/>
      <c r="M25" s="88"/>
      <c r="N25" s="399"/>
      <c r="O25" s="40"/>
      <c r="AI25" s="44"/>
    </row>
    <row r="26" spans="1:35">
      <c r="A26" s="3"/>
      <c r="B26" s="714" t="s">
        <v>369</v>
      </c>
      <c r="C26" s="715"/>
      <c r="D26" s="409" t="s">
        <v>18</v>
      </c>
      <c r="E26" s="91"/>
      <c r="F26" s="91"/>
      <c r="G26" s="91"/>
      <c r="H26" s="91"/>
      <c r="I26" s="91"/>
      <c r="J26" s="92"/>
      <c r="K26" s="91"/>
      <c r="L26" s="91"/>
      <c r="M26" s="91"/>
      <c r="N26" s="40"/>
      <c r="O26" s="40"/>
      <c r="AI26" s="44"/>
    </row>
    <row r="27" spans="1:35" ht="18.75">
      <c r="A27" s="3"/>
      <c r="B27" s="90" t="s">
        <v>379</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41" t="s">
        <v>59</v>
      </c>
      <c r="C29" s="642"/>
      <c r="D29" s="642"/>
      <c r="E29" s="642"/>
      <c r="F29" s="642"/>
      <c r="G29" s="642"/>
      <c r="H29" s="642"/>
      <c r="I29" s="642"/>
      <c r="J29" s="642"/>
      <c r="K29" s="642"/>
      <c r="L29" s="642"/>
      <c r="M29" s="642"/>
      <c r="N29" s="643"/>
      <c r="P29" s="207"/>
      <c r="Q29" s="208"/>
      <c r="R29" s="209">
        <f>+C33</f>
        <v>2566060.5206649359</v>
      </c>
      <c r="S29" s="207"/>
    </row>
    <row r="30" spans="1:35">
      <c r="A30" s="3"/>
      <c r="B30" s="93" t="s">
        <v>267</v>
      </c>
      <c r="C30" s="368" t="s">
        <v>105</v>
      </c>
      <c r="D30" s="368" t="s">
        <v>106</v>
      </c>
      <c r="E30" s="368" t="s">
        <v>107</v>
      </c>
      <c r="F30" s="368" t="s">
        <v>108</v>
      </c>
      <c r="G30" s="368" t="s">
        <v>120</v>
      </c>
      <c r="H30" s="368" t="s">
        <v>121</v>
      </c>
      <c r="I30" s="368" t="s">
        <v>122</v>
      </c>
      <c r="J30" s="368" t="s">
        <v>123</v>
      </c>
      <c r="K30" s="368" t="s">
        <v>124</v>
      </c>
      <c r="L30" s="368" t="s">
        <v>125</v>
      </c>
      <c r="M30" s="368" t="s">
        <v>126</v>
      </c>
      <c r="N30" s="369" t="s">
        <v>287</v>
      </c>
      <c r="O30" s="370" t="s">
        <v>4</v>
      </c>
      <c r="P30" s="207"/>
      <c r="Q30" s="208"/>
      <c r="R30" s="209">
        <f>+D33</f>
        <v>4646843.1347466186</v>
      </c>
      <c r="S30" s="207"/>
    </row>
    <row r="31" spans="1:35">
      <c r="A31" s="3"/>
      <c r="B31" s="279" t="str">
        <f>CONCATENATE("Budget (in ",'Data Entry'!$D$26,")")</f>
        <v>Budget (in $)</v>
      </c>
      <c r="C31" s="380">
        <v>2566060.5206649359</v>
      </c>
      <c r="D31" s="379">
        <v>2080782.6140816831</v>
      </c>
      <c r="E31" s="379">
        <v>1194323.617963203</v>
      </c>
      <c r="F31" s="379">
        <v>2692690.7387130852</v>
      </c>
      <c r="G31" s="379">
        <v>2083062.970859054</v>
      </c>
      <c r="H31" s="379">
        <v>1112385.8327939734</v>
      </c>
      <c r="I31" s="379">
        <v>857624.84596905019</v>
      </c>
      <c r="J31" s="379">
        <v>2067591.4070877179</v>
      </c>
      <c r="K31" s="379">
        <v>1101427.635364691</v>
      </c>
      <c r="L31" s="379">
        <v>860466.89199783921</v>
      </c>
      <c r="M31" s="379">
        <v>1026776.3460958237</v>
      </c>
      <c r="N31" s="379">
        <v>818969.75864555466</v>
      </c>
      <c r="O31" s="731">
        <f>+SUM(C35:N35)</f>
        <v>0.81451449643418361</v>
      </c>
      <c r="P31" s="207"/>
      <c r="Q31" s="208"/>
      <c r="R31" s="209">
        <f>+E33</f>
        <v>5841166.7527098218</v>
      </c>
      <c r="S31" s="207"/>
    </row>
    <row r="32" spans="1:35">
      <c r="A32" s="3"/>
      <c r="B32" s="93" t="str">
        <f>CONCATENATE("Disbursements by GF (in ", $D$26,")")</f>
        <v>Disbursements by GF (in $)</v>
      </c>
      <c r="C32" s="380">
        <f>1284254+627977.72</f>
        <v>1912231.72</v>
      </c>
      <c r="D32" s="380">
        <v>2063549.52</v>
      </c>
      <c r="E32" s="380">
        <f>46228.15+1194324+8961.78</f>
        <v>1249513.93</v>
      </c>
      <c r="F32" s="379">
        <f>139128.72+2179909</f>
        <v>2319037.7200000002</v>
      </c>
      <c r="G32" s="380">
        <f>160958.98+296740.97+191379</f>
        <v>649078.94999999995</v>
      </c>
      <c r="H32" s="380">
        <v>1250230.19</v>
      </c>
      <c r="I32" s="379">
        <v>808595.85</v>
      </c>
      <c r="J32" s="379"/>
      <c r="K32" s="379"/>
      <c r="L32" s="379"/>
      <c r="M32" s="379"/>
      <c r="N32" s="379"/>
      <c r="O32" s="732"/>
      <c r="P32" s="207"/>
      <c r="Q32" s="208"/>
      <c r="R32" s="209">
        <f>+F33</f>
        <v>8533857.4914229065</v>
      </c>
      <c r="S32" s="207"/>
    </row>
    <row r="33" spans="1:35">
      <c r="A33" s="3"/>
      <c r="B33" s="94" t="s">
        <v>385</v>
      </c>
      <c r="C33" s="381">
        <f>+C31</f>
        <v>2566060.5206649359</v>
      </c>
      <c r="D33" s="381">
        <f>IF(AND(D31=0,D32=0),0,+C33+D31)</f>
        <v>4646843.1347466186</v>
      </c>
      <c r="E33" s="381">
        <f t="shared" ref="E33:N33" si="0">IF(AND(E31=0,E32=0),0,+D33+E31)</f>
        <v>5841166.7527098218</v>
      </c>
      <c r="F33" s="381">
        <f t="shared" si="0"/>
        <v>8533857.4914229065</v>
      </c>
      <c r="G33" s="381">
        <f t="shared" si="0"/>
        <v>10616920.462281961</v>
      </c>
      <c r="H33" s="381">
        <f t="shared" si="0"/>
        <v>11729306.295075934</v>
      </c>
      <c r="I33" s="381">
        <f t="shared" si="0"/>
        <v>12586931.141044986</v>
      </c>
      <c r="J33" s="381">
        <f t="shared" si="0"/>
        <v>14654522.548132703</v>
      </c>
      <c r="K33" s="381">
        <f t="shared" si="0"/>
        <v>15755950.183497394</v>
      </c>
      <c r="L33" s="381">
        <f t="shared" si="0"/>
        <v>16616417.075495232</v>
      </c>
      <c r="M33" s="381">
        <f t="shared" si="0"/>
        <v>17643193.421591055</v>
      </c>
      <c r="N33" s="381">
        <f t="shared" si="0"/>
        <v>18462163.180236608</v>
      </c>
      <c r="O33" s="732"/>
      <c r="P33" s="362"/>
      <c r="Q33" s="208"/>
      <c r="R33" s="209">
        <f>+G33</f>
        <v>10616920.462281961</v>
      </c>
      <c r="S33" s="207"/>
    </row>
    <row r="34" spans="1:35" ht="15.75" thickBot="1">
      <c r="A34" s="3"/>
      <c r="B34" s="95" t="s">
        <v>386</v>
      </c>
      <c r="C34" s="382">
        <f>+C32</f>
        <v>1912231.72</v>
      </c>
      <c r="D34" s="382">
        <f>IF(AND(D31=0,D32=0),0,+C34+D32)</f>
        <v>3975781.24</v>
      </c>
      <c r="E34" s="382">
        <f t="shared" ref="E34:N34" si="1">IF(AND(E31=0,E32=0),0,+D34+E32)</f>
        <v>5225295.17</v>
      </c>
      <c r="F34" s="382">
        <f t="shared" si="1"/>
        <v>7544332.8900000006</v>
      </c>
      <c r="G34" s="382">
        <f>IF(AND(G31=0,G32=0),0,+F34+G32)</f>
        <v>8193411.8400000008</v>
      </c>
      <c r="H34" s="382">
        <f t="shared" si="1"/>
        <v>9443642.0300000012</v>
      </c>
      <c r="I34" s="382">
        <f t="shared" si="1"/>
        <v>10252237.880000001</v>
      </c>
      <c r="J34" s="382">
        <f t="shared" si="1"/>
        <v>10252237.880000001</v>
      </c>
      <c r="K34" s="382">
        <f t="shared" si="1"/>
        <v>10252237.880000001</v>
      </c>
      <c r="L34" s="382">
        <f t="shared" si="1"/>
        <v>10252237.880000001</v>
      </c>
      <c r="M34" s="382">
        <f t="shared" si="1"/>
        <v>10252237.880000001</v>
      </c>
      <c r="N34" s="382">
        <f t="shared" si="1"/>
        <v>10252237.880000001</v>
      </c>
      <c r="O34" s="733"/>
      <c r="P34" s="362"/>
      <c r="Q34" s="208"/>
      <c r="R34" s="209">
        <f>+H33</f>
        <v>11729306.295075934</v>
      </c>
      <c r="S34" s="207"/>
    </row>
    <row r="35" spans="1:35">
      <c r="A35" s="3"/>
      <c r="B35" s="3"/>
      <c r="C35" s="342">
        <f>+IF(AND(C30=$C$16,C33&lt;&gt;0),C34/C33,0)</f>
        <v>0</v>
      </c>
      <c r="D35" s="342">
        <f t="shared" ref="D35:N35" si="2">+IF(AND(D30=$C$16,D33&lt;&gt;0),D34/D33,0)</f>
        <v>0</v>
      </c>
      <c r="E35" s="342">
        <f t="shared" si="2"/>
        <v>0</v>
      </c>
      <c r="F35" s="342">
        <f t="shared" si="2"/>
        <v>0</v>
      </c>
      <c r="G35" s="342">
        <f t="shared" si="2"/>
        <v>0</v>
      </c>
      <c r="H35" s="342">
        <f t="shared" si="2"/>
        <v>0</v>
      </c>
      <c r="I35" s="342">
        <f t="shared" si="2"/>
        <v>0.81451449643418361</v>
      </c>
      <c r="J35" s="342">
        <f t="shared" si="2"/>
        <v>0</v>
      </c>
      <c r="K35" s="342">
        <f t="shared" si="2"/>
        <v>0</v>
      </c>
      <c r="L35" s="342">
        <f t="shared" si="2"/>
        <v>0</v>
      </c>
      <c r="M35" s="342">
        <f t="shared" si="2"/>
        <v>0</v>
      </c>
      <c r="N35" s="342">
        <f t="shared" si="2"/>
        <v>0</v>
      </c>
      <c r="O35" s="291"/>
      <c r="P35" s="210"/>
      <c r="Q35" s="211"/>
      <c r="R35" s="209">
        <f>+I33</f>
        <v>12586931.141044986</v>
      </c>
      <c r="S35" s="207"/>
    </row>
    <row r="36" spans="1:35" ht="18.75">
      <c r="A36" s="3"/>
      <c r="B36" s="90" t="s">
        <v>378</v>
      </c>
      <c r="C36" s="3"/>
      <c r="D36" s="3"/>
      <c r="E36" s="356"/>
      <c r="F36" s="3"/>
      <c r="G36" s="262"/>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1" t="s">
        <v>401</v>
      </c>
      <c r="C38" s="392" t="str">
        <f>CONCATENATE("Cumulative Budget (in ",'Data Entry'!$D$26,")")</f>
        <v>Cumulative Budget (in $)</v>
      </c>
      <c r="D38" s="393" t="str">
        <f>CONCATENATE("Cumulative Expenditures (in ",'Data Entry'!$D$26,")")</f>
        <v>Cumulative Expenditures (in $)</v>
      </c>
      <c r="G38" s="3"/>
      <c r="H38" s="3"/>
      <c r="I38" s="3"/>
      <c r="J38" s="101"/>
      <c r="K38" s="42"/>
      <c r="N38"/>
      <c r="O38"/>
      <c r="AE38" s="20"/>
      <c r="AF38" s="36"/>
    </row>
    <row r="39" spans="1:35" ht="30" customHeight="1">
      <c r="A39" s="3"/>
      <c r="B39" s="394" t="s">
        <v>419</v>
      </c>
      <c r="C39" s="476">
        <v>1205878.5875242837</v>
      </c>
      <c r="D39" s="477">
        <v>772064.45418238104</v>
      </c>
      <c r="G39" s="363"/>
      <c r="H39" s="3"/>
      <c r="I39" s="3"/>
      <c r="J39" s="102"/>
      <c r="K39" s="43"/>
      <c r="N39"/>
      <c r="O39"/>
      <c r="AE39" s="20"/>
      <c r="AF39" s="36"/>
    </row>
    <row r="40" spans="1:35" ht="27" customHeight="1">
      <c r="A40" s="3"/>
      <c r="B40" s="394" t="s">
        <v>420</v>
      </c>
      <c r="C40" s="476">
        <v>727586.2795508391</v>
      </c>
      <c r="D40" s="477">
        <v>481661.85302290798</v>
      </c>
      <c r="G40" s="363"/>
      <c r="H40" s="3"/>
      <c r="I40" s="3"/>
      <c r="J40" s="3"/>
      <c r="K40" s="43"/>
      <c r="N40"/>
      <c r="O40"/>
      <c r="AE40" s="20"/>
      <c r="AF40" s="36"/>
    </row>
    <row r="41" spans="1:35" ht="29.1" customHeight="1">
      <c r="A41" s="3"/>
      <c r="B41" s="394" t="s">
        <v>421</v>
      </c>
      <c r="C41" s="476">
        <v>4081814.8258208768</v>
      </c>
      <c r="D41" s="477">
        <v>3405411.38447162</v>
      </c>
      <c r="G41" s="3"/>
      <c r="H41" s="3"/>
      <c r="I41" s="3"/>
      <c r="J41" s="3"/>
      <c r="K41" s="43"/>
      <c r="N41"/>
      <c r="O41"/>
      <c r="AE41" s="20"/>
      <c r="AF41" s="36"/>
    </row>
    <row r="42" spans="1:35" ht="30" customHeight="1">
      <c r="A42" s="3"/>
      <c r="B42" s="394" t="s">
        <v>422</v>
      </c>
      <c r="C42" s="476">
        <v>166613.00749550312</v>
      </c>
      <c r="D42" s="477">
        <v>95651.246798623688</v>
      </c>
      <c r="G42" s="3"/>
      <c r="H42" s="3"/>
      <c r="I42" s="3"/>
      <c r="J42" s="3"/>
      <c r="K42" s="20"/>
      <c r="N42"/>
      <c r="O42"/>
      <c r="AE42" s="20"/>
      <c r="AF42" s="36"/>
    </row>
    <row r="43" spans="1:35">
      <c r="A43" s="3"/>
      <c r="B43" s="395" t="s">
        <v>423</v>
      </c>
      <c r="C43" s="476">
        <v>4826080.179094634</v>
      </c>
      <c r="D43" s="477">
        <v>3416992.3227150906</v>
      </c>
      <c r="G43" s="3"/>
      <c r="H43" s="3"/>
      <c r="I43" s="3"/>
      <c r="J43" s="3"/>
      <c r="K43" s="20"/>
      <c r="N43"/>
      <c r="O43"/>
      <c r="AE43" s="20"/>
      <c r="AF43" s="36"/>
    </row>
    <row r="44" spans="1:35">
      <c r="A44" s="3"/>
      <c r="B44" s="395" t="s">
        <v>424</v>
      </c>
      <c r="C44" s="476">
        <v>618251.17102455534</v>
      </c>
      <c r="D44" s="477">
        <v>329899.65993814863</v>
      </c>
      <c r="G44" s="3"/>
      <c r="H44" s="3"/>
      <c r="I44" s="3"/>
      <c r="J44" s="3"/>
      <c r="K44" s="20"/>
      <c r="N44"/>
      <c r="O44"/>
      <c r="AE44" s="20"/>
      <c r="AF44" s="36"/>
    </row>
    <row r="45" spans="1:35">
      <c r="A45" s="3"/>
      <c r="B45" s="395" t="s">
        <v>425</v>
      </c>
      <c r="C45" s="476">
        <v>392405.39705419127</v>
      </c>
      <c r="D45" s="477">
        <v>263283.12817129045</v>
      </c>
      <c r="G45" s="15"/>
      <c r="H45" s="15"/>
      <c r="I45" s="15"/>
      <c r="J45" s="15"/>
      <c r="K45" s="20"/>
      <c r="N45"/>
      <c r="O45"/>
      <c r="AE45" s="36"/>
      <c r="AF45" s="36"/>
    </row>
    <row r="46" spans="1:35" ht="15.75" thickBot="1">
      <c r="A46" s="3"/>
      <c r="B46" s="396" t="s">
        <v>426</v>
      </c>
      <c r="C46" s="476">
        <v>568301.69348010165</v>
      </c>
      <c r="D46" s="477">
        <v>593092.97864573891</v>
      </c>
      <c r="G46" s="15"/>
      <c r="H46" s="15"/>
      <c r="I46" s="15"/>
      <c r="J46" s="15"/>
      <c r="K46" s="20"/>
      <c r="N46"/>
      <c r="O46"/>
      <c r="AE46" s="36"/>
      <c r="AF46" s="36"/>
    </row>
    <row r="47" spans="1:35" ht="15.75" thickBot="1">
      <c r="A47" s="3"/>
      <c r="B47" s="397" t="s">
        <v>58</v>
      </c>
      <c r="C47" s="478">
        <f>SUM(C39:C46)</f>
        <v>12586931.141044986</v>
      </c>
      <c r="D47" s="478">
        <f>SUM(D39:D46)</f>
        <v>9358057.0279458016</v>
      </c>
      <c r="E47" s="291"/>
      <c r="F47" s="737" t="str">
        <f ca="1">+IF((ROUND(C47,0)=ROUND(OFFSET(B33,0,RIGHT('Data Entry'!$C$16,LEN('Data Entry'!$C$16)-1),1,1),0)),"OK: Data match","Warning: Data does not match")</f>
        <v>OK: Data match</v>
      </c>
      <c r="G47" s="738"/>
      <c r="H47" s="738"/>
      <c r="I47" s="739"/>
      <c r="J47" s="201"/>
      <c r="K47" s="201"/>
      <c r="L47" s="201"/>
      <c r="M47" s="210"/>
      <c r="N47" s="211"/>
      <c r="O47" s="209"/>
      <c r="P47" s="207"/>
      <c r="AE47" s="36"/>
      <c r="AF47" s="36"/>
    </row>
    <row r="48" spans="1:35">
      <c r="A48" s="3"/>
      <c r="B48" s="3"/>
      <c r="C48" s="201"/>
      <c r="D48" s="201"/>
      <c r="E48" s="274"/>
      <c r="F48" s="201"/>
      <c r="G48" s="201"/>
      <c r="H48" s="201"/>
      <c r="I48" s="201"/>
      <c r="J48" s="201"/>
      <c r="K48" s="201"/>
      <c r="L48" s="201"/>
      <c r="M48" s="201"/>
      <c r="N48" s="201"/>
      <c r="O48" s="201"/>
      <c r="P48" s="210"/>
      <c r="Q48" s="211"/>
      <c r="R48" s="209"/>
      <c r="S48" s="207"/>
    </row>
    <row r="49" spans="1:35" ht="18.75">
      <c r="A49" s="3"/>
      <c r="B49" s="90" t="s">
        <v>377</v>
      </c>
      <c r="C49" s="3"/>
      <c r="D49" s="3"/>
      <c r="E49" s="3"/>
      <c r="F49" s="3"/>
      <c r="G49" s="3"/>
      <c r="H49" s="3"/>
      <c r="I49" s="3"/>
      <c r="J49" s="3"/>
      <c r="K49" s="3"/>
      <c r="L49" s="3"/>
      <c r="M49" s="3"/>
      <c r="P49" s="207"/>
      <c r="Q49" s="208"/>
      <c r="R49" s="209">
        <f>+J33</f>
        <v>14654522.548132703</v>
      </c>
      <c r="S49" s="207"/>
    </row>
    <row r="50" spans="1:35" ht="15.75" thickBot="1">
      <c r="A50" s="3"/>
      <c r="B50" s="3"/>
      <c r="C50" s="3"/>
      <c r="D50" s="3"/>
      <c r="E50" s="3"/>
      <c r="F50" s="201"/>
      <c r="G50" s="3"/>
      <c r="H50" s="3"/>
      <c r="I50" s="3"/>
      <c r="J50" s="3"/>
      <c r="K50" s="3"/>
      <c r="L50" s="3"/>
      <c r="M50" s="3"/>
      <c r="P50" s="207"/>
      <c r="Q50" s="208"/>
      <c r="R50" s="209">
        <f>+K33</f>
        <v>15755950.183497394</v>
      </c>
      <c r="S50" s="207"/>
    </row>
    <row r="51" spans="1:35" ht="35.25" customHeight="1">
      <c r="A51" s="3"/>
      <c r="B51" s="296"/>
      <c r="C51" s="297" t="s">
        <v>375</v>
      </c>
      <c r="D51" s="297" t="s">
        <v>376</v>
      </c>
      <c r="E51" s="405" t="str">
        <f>CONCATENATE("Total Spent and Disbursement (in ",D26,")")</f>
        <v>Total Spent and Disbursement (in $)</v>
      </c>
      <c r="F51" s="3"/>
      <c r="G51" s="300"/>
      <c r="H51" s="293"/>
      <c r="I51" s="280"/>
      <c r="J51" s="280"/>
      <c r="K51" s="280"/>
      <c r="L51" s="280"/>
      <c r="M51" s="22"/>
      <c r="N51" s="22"/>
      <c r="O51" s="207"/>
      <c r="P51" s="208"/>
      <c r="Q51" s="209">
        <f>+M33</f>
        <v>17643193.421591055</v>
      </c>
      <c r="R51" s="207"/>
      <c r="AH51" s="20"/>
    </row>
    <row r="52" spans="1:35">
      <c r="A52" s="3"/>
      <c r="B52" s="294" t="s">
        <v>311</v>
      </c>
      <c r="C52" s="383">
        <f>C32+D32+E32+F32+G32+H32</f>
        <v>9443642.0300000012</v>
      </c>
      <c r="D52" s="384">
        <f>I32</f>
        <v>808595.85</v>
      </c>
      <c r="E52" s="385">
        <f>+D52+C52</f>
        <v>10252237.880000001</v>
      </c>
      <c r="F52" s="3"/>
      <c r="G52" s="97"/>
      <c r="H52" s="298"/>
      <c r="I52" s="96"/>
      <c r="J52" s="204"/>
      <c r="K52" s="205"/>
      <c r="L52" s="98"/>
      <c r="M52" s="37"/>
      <c r="N52" s="37"/>
      <c r="O52" s="207"/>
      <c r="P52" s="207"/>
      <c r="Q52" s="207"/>
      <c r="R52" s="207"/>
      <c r="AH52" s="20"/>
    </row>
    <row r="53" spans="1:35">
      <c r="A53" s="3"/>
      <c r="B53" s="294" t="s">
        <v>290</v>
      </c>
      <c r="C53" s="384">
        <f>703487.022184008+324022+486657.600967515+502177+724933+869904</f>
        <v>3611180.6231515231</v>
      </c>
      <c r="D53" s="384">
        <v>266126</v>
      </c>
      <c r="E53" s="385">
        <f>+D53+C53</f>
        <v>3877306.6231515231</v>
      </c>
      <c r="F53" s="3"/>
      <c r="G53" s="256"/>
      <c r="H53" s="298"/>
      <c r="I53" s="96"/>
      <c r="J53" s="204"/>
      <c r="K53" s="204"/>
      <c r="L53" s="98"/>
      <c r="M53" s="38"/>
      <c r="N53" s="38"/>
      <c r="O53" s="207"/>
      <c r="P53" s="207"/>
      <c r="Q53" s="207"/>
      <c r="R53" s="207"/>
      <c r="AH53" s="20"/>
    </row>
    <row r="54" spans="1:35">
      <c r="A54" s="3"/>
      <c r="B54" s="294" t="s">
        <v>269</v>
      </c>
      <c r="C54" s="383">
        <f>507991.098523064+830667+889412.602206352+996498+789637+724509</f>
        <v>4738714.7007294167</v>
      </c>
      <c r="D54" s="384">
        <v>742036</v>
      </c>
      <c r="E54" s="385">
        <f>+D54+C54</f>
        <v>5480750.7007294167</v>
      </c>
      <c r="F54" s="201"/>
      <c r="G54" s="97"/>
      <c r="H54" s="298"/>
      <c r="I54" s="96"/>
      <c r="J54" s="204"/>
      <c r="K54" s="205"/>
      <c r="L54" s="98"/>
      <c r="M54" s="37"/>
      <c r="N54" s="37"/>
      <c r="O54"/>
      <c r="AH54" s="20"/>
    </row>
    <row r="55" spans="1:35" ht="15.75" thickBot="1">
      <c r="A55" s="3"/>
      <c r="B55" s="295" t="s">
        <v>270</v>
      </c>
      <c r="C55" s="383">
        <f>764021.040635127+802958+900675.008677189+986602.37+744879+734675</f>
        <v>4933810.419312316</v>
      </c>
      <c r="D55" s="384">
        <v>697452.7</v>
      </c>
      <c r="E55" s="386">
        <f>+D55+C55</f>
        <v>5631263.1193123162</v>
      </c>
      <c r="F55" s="3"/>
      <c r="G55" s="257"/>
      <c r="H55" s="299"/>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8"/>
      <c r="E57" s="3"/>
      <c r="F57" s="3"/>
      <c r="G57" s="3"/>
      <c r="H57" s="3"/>
      <c r="I57" s="3"/>
      <c r="J57" s="3"/>
      <c r="K57" s="3"/>
      <c r="L57" s="3"/>
      <c r="M57" s="3"/>
    </row>
    <row r="58" spans="1:35" ht="18.75">
      <c r="A58" s="3"/>
      <c r="B58" s="90" t="s">
        <v>380</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50" t="s">
        <v>346</v>
      </c>
      <c r="C60" s="651"/>
      <c r="D60" s="652"/>
      <c r="E60" s="3"/>
      <c r="F60" s="3"/>
      <c r="G60" s="3"/>
      <c r="H60" s="3"/>
      <c r="I60" s="3"/>
      <c r="J60" s="3"/>
      <c r="K60" s="3"/>
      <c r="L60" s="3"/>
      <c r="M60" s="36"/>
      <c r="O60"/>
    </row>
    <row r="61" spans="1:35">
      <c r="A61" s="3"/>
      <c r="B61" s="103"/>
      <c r="C61" s="302" t="s">
        <v>60</v>
      </c>
      <c r="D61" s="303" t="s">
        <v>61</v>
      </c>
      <c r="E61" s="3"/>
      <c r="F61" s="3"/>
      <c r="G61" s="3"/>
      <c r="H61" s="3"/>
      <c r="I61" s="3"/>
      <c r="J61" s="3"/>
      <c r="K61" s="3"/>
      <c r="L61" s="3"/>
      <c r="M61" s="36"/>
      <c r="O61"/>
    </row>
    <row r="62" spans="1:35">
      <c r="A62" s="3"/>
      <c r="B62" s="104" t="s">
        <v>1</v>
      </c>
      <c r="C62" s="364">
        <v>95</v>
      </c>
      <c r="D62" s="365" t="s">
        <v>443</v>
      </c>
      <c r="E62" s="3"/>
      <c r="F62" s="3"/>
      <c r="G62" s="3"/>
      <c r="H62" s="3"/>
      <c r="I62" s="3"/>
      <c r="J62" s="3"/>
      <c r="K62" s="3"/>
      <c r="L62" s="3"/>
      <c r="M62" s="36"/>
      <c r="O62"/>
    </row>
    <row r="63" spans="1:35">
      <c r="A63" s="3"/>
      <c r="B63" s="301" t="s">
        <v>363</v>
      </c>
      <c r="C63" s="364">
        <v>45</v>
      </c>
      <c r="D63" s="365" t="s">
        <v>443</v>
      </c>
      <c r="E63" s="3"/>
      <c r="F63" s="3"/>
      <c r="G63" s="3"/>
      <c r="H63" s="298"/>
      <c r="I63" s="298"/>
      <c r="J63" s="3"/>
      <c r="K63" s="3"/>
      <c r="L63" s="3"/>
      <c r="M63" s="36"/>
      <c r="O63"/>
    </row>
    <row r="64" spans="1:35" ht="15.75" thickBot="1">
      <c r="A64" s="3"/>
      <c r="B64" s="105" t="s">
        <v>364</v>
      </c>
      <c r="C64" s="366">
        <v>5</v>
      </c>
      <c r="D64" s="367">
        <v>3</v>
      </c>
      <c r="E64" s="3"/>
      <c r="F64" s="3"/>
      <c r="G64" s="3"/>
      <c r="H64" s="298"/>
      <c r="I64" s="298"/>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01"/>
      <c r="M66" s="3"/>
      <c r="AC66" s="19"/>
      <c r="AD66" s="19"/>
    </row>
    <row r="67" spans="1:30" ht="19.5" thickBot="1">
      <c r="A67" s="3"/>
      <c r="B67" s="106" t="s">
        <v>263</v>
      </c>
      <c r="C67" s="107"/>
      <c r="D67" s="107"/>
      <c r="E67" s="107"/>
      <c r="F67" s="107"/>
      <c r="G67" s="107"/>
      <c r="H67" s="325" t="s">
        <v>304</v>
      </c>
      <c r="I67" s="107"/>
      <c r="J67" s="108"/>
      <c r="K67" s="108"/>
      <c r="L67" s="402"/>
      <c r="M67" s="403"/>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381</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30">
      <c r="A71" s="3"/>
      <c r="B71" s="712"/>
      <c r="C71" s="713"/>
      <c r="D71" s="114" t="s">
        <v>117</v>
      </c>
      <c r="E71" s="115" t="s">
        <v>296</v>
      </c>
      <c r="F71" s="115" t="s">
        <v>118</v>
      </c>
      <c r="G71" s="116" t="s">
        <v>58</v>
      </c>
      <c r="H71" s="311"/>
      <c r="I71" s="312"/>
      <c r="J71" s="15"/>
      <c r="K71" s="2"/>
      <c r="L71" s="2"/>
      <c r="M71" s="2"/>
      <c r="N71" s="20"/>
      <c r="O71" s="19"/>
      <c r="P71" s="19"/>
      <c r="Q71" s="19"/>
      <c r="R71" s="19"/>
      <c r="S71" s="19"/>
    </row>
    <row r="72" spans="1:30">
      <c r="A72" s="3"/>
      <c r="B72" s="664" t="s">
        <v>454</v>
      </c>
      <c r="C72" s="665"/>
      <c r="D72" s="259">
        <v>4</v>
      </c>
      <c r="E72" s="259">
        <v>4</v>
      </c>
      <c r="F72" s="259">
        <v>0</v>
      </c>
      <c r="G72" s="117">
        <f>SUM(D72:F72)</f>
        <v>8</v>
      </c>
      <c r="H72" s="292"/>
      <c r="I72" s="310"/>
      <c r="J72" s="310"/>
      <c r="K72" s="2"/>
      <c r="L72" s="2"/>
      <c r="M72" s="2"/>
      <c r="N72" s="20"/>
      <c r="O72" s="19"/>
      <c r="P72" s="19"/>
      <c r="Q72" s="19"/>
      <c r="R72" s="19"/>
      <c r="S72" s="19"/>
    </row>
    <row r="73" spans="1:30" ht="15.75" thickBot="1">
      <c r="A73" s="3"/>
      <c r="B73" s="726"/>
      <c r="C73" s="727"/>
      <c r="D73" s="260"/>
      <c r="E73" s="260"/>
      <c r="F73" s="260"/>
      <c r="G73" s="118"/>
      <c r="H73" s="292"/>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382</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113" t="s">
        <v>63</v>
      </c>
      <c r="D78" s="113" t="s">
        <v>81</v>
      </c>
      <c r="E78" s="120" t="s">
        <v>64</v>
      </c>
      <c r="F78" s="15"/>
      <c r="G78" s="15"/>
      <c r="H78" s="15"/>
      <c r="I78" s="312"/>
      <c r="J78" s="2"/>
      <c r="K78" s="2"/>
      <c r="L78" s="2"/>
      <c r="M78" s="2"/>
      <c r="N78" s="19"/>
      <c r="O78" s="19"/>
      <c r="P78" s="19"/>
      <c r="S78" s="19"/>
    </row>
    <row r="79" spans="1:30" ht="15.75" thickBot="1">
      <c r="A79" s="3"/>
      <c r="B79" s="479" t="s">
        <v>312</v>
      </c>
      <c r="C79" s="357">
        <v>16</v>
      </c>
      <c r="D79" s="357">
        <v>16</v>
      </c>
      <c r="E79" s="358">
        <f>+C79-D79</f>
        <v>0</v>
      </c>
      <c r="F79" s="267"/>
      <c r="G79" s="275"/>
      <c r="H79" s="15"/>
      <c r="I79" s="310"/>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387</v>
      </c>
      <c r="C81" s="2"/>
      <c r="D81" s="2"/>
      <c r="E81" s="2"/>
      <c r="F81" s="2"/>
      <c r="G81" s="2"/>
      <c r="H81" s="2"/>
      <c r="I81" s="2"/>
      <c r="J81" s="15"/>
      <c r="K81" s="15"/>
      <c r="L81" s="2"/>
      <c r="M81" s="2"/>
      <c r="N81" s="19"/>
      <c r="O81" s="19"/>
      <c r="P81" s="19"/>
      <c r="S81" s="19"/>
    </row>
    <row r="82" spans="1:36" ht="15.75" thickBot="1">
      <c r="A82" s="3"/>
      <c r="B82" s="2"/>
      <c r="C82" s="2"/>
      <c r="D82" s="2"/>
      <c r="E82" s="2"/>
      <c r="F82" s="2"/>
      <c r="G82" s="2"/>
      <c r="H82" s="2"/>
      <c r="I82" s="2"/>
      <c r="J82" s="15"/>
      <c r="K82" s="15"/>
      <c r="L82" s="2"/>
      <c r="M82" s="2"/>
      <c r="N82" s="19"/>
      <c r="O82" s="19"/>
      <c r="P82" s="19"/>
      <c r="S82" s="19"/>
    </row>
    <row r="83" spans="1:36" ht="30">
      <c r="A83" s="3"/>
      <c r="B83" s="119"/>
      <c r="C83" s="113" t="s">
        <v>291</v>
      </c>
      <c r="D83" s="113" t="s">
        <v>67</v>
      </c>
      <c r="E83" s="113" t="s">
        <v>82</v>
      </c>
      <c r="F83" s="113" t="s">
        <v>68</v>
      </c>
      <c r="G83" s="149" t="s">
        <v>119</v>
      </c>
      <c r="H83" s="509"/>
      <c r="I83" s="510" t="s">
        <v>453</v>
      </c>
      <c r="J83" s="511"/>
      <c r="K83" s="511"/>
      <c r="L83" s="512" t="s">
        <v>453</v>
      </c>
      <c r="M83" s="512"/>
      <c r="N83" s="513"/>
      <c r="O83" s="19"/>
      <c r="P83" s="19"/>
      <c r="S83" s="19"/>
    </row>
    <row r="84" spans="1:36" ht="15.75" thickBot="1">
      <c r="A84" s="3"/>
      <c r="B84" s="479" t="s">
        <v>127</v>
      </c>
      <c r="C84" s="357">
        <v>7</v>
      </c>
      <c r="D84" s="357">
        <v>7</v>
      </c>
      <c r="E84" s="357">
        <v>7</v>
      </c>
      <c r="F84" s="357">
        <v>7</v>
      </c>
      <c r="G84" s="359">
        <v>7</v>
      </c>
      <c r="H84" s="514" t="s">
        <v>446</v>
      </c>
      <c r="I84" s="515" t="s">
        <v>447</v>
      </c>
      <c r="J84" s="511" t="s">
        <v>448</v>
      </c>
      <c r="K84" s="512" t="s">
        <v>449</v>
      </c>
      <c r="L84" s="512" t="s">
        <v>450</v>
      </c>
      <c r="M84" s="511" t="s">
        <v>451</v>
      </c>
      <c r="N84" s="511" t="s">
        <v>452</v>
      </c>
      <c r="O84" s="19"/>
      <c r="P84" s="19"/>
      <c r="S84" s="19"/>
    </row>
    <row r="85" spans="1:36">
      <c r="A85" s="3"/>
      <c r="B85" s="2"/>
      <c r="C85" s="2"/>
      <c r="D85" s="2"/>
      <c r="E85" s="2"/>
      <c r="F85" s="2"/>
      <c r="G85" s="2"/>
      <c r="H85" s="2"/>
      <c r="I85" s="15"/>
      <c r="J85" s="15"/>
      <c r="K85" s="2"/>
      <c r="L85" s="2"/>
      <c r="M85" s="2"/>
      <c r="N85" s="19"/>
      <c r="O85" s="19"/>
      <c r="P85" s="19"/>
      <c r="S85" s="19"/>
    </row>
    <row r="86" spans="1:36" ht="18.75">
      <c r="A86" s="3"/>
      <c r="B86" s="110" t="s">
        <v>383</v>
      </c>
      <c r="C86" s="2"/>
      <c r="D86" s="2"/>
      <c r="E86" s="2"/>
      <c r="F86" s="2"/>
      <c r="G86" s="2"/>
      <c r="H86" s="2"/>
      <c r="I86" s="15"/>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1" t="s">
        <v>65</v>
      </c>
      <c r="D88" s="121" t="s">
        <v>66</v>
      </c>
      <c r="E88" s="122" t="s">
        <v>288</v>
      </c>
      <c r="F88" s="2"/>
      <c r="G88" s="2"/>
      <c r="H88" s="2"/>
      <c r="I88" s="2"/>
      <c r="J88" s="19"/>
      <c r="K88" s="19"/>
      <c r="L88" s="19"/>
      <c r="N88"/>
      <c r="O88" s="19"/>
      <c r="AG88" s="36"/>
      <c r="AJ88"/>
    </row>
    <row r="89" spans="1:36">
      <c r="A89" s="3"/>
      <c r="B89" s="480" t="s">
        <v>388</v>
      </c>
      <c r="C89" s="259">
        <v>165</v>
      </c>
      <c r="D89" s="261">
        <v>165</v>
      </c>
      <c r="E89" s="313">
        <f>C89-D89</f>
        <v>0</v>
      </c>
      <c r="F89" s="2"/>
      <c r="G89" s="2"/>
      <c r="H89" s="2"/>
      <c r="I89" s="2"/>
      <c r="J89" s="19"/>
      <c r="K89" s="19"/>
      <c r="L89" s="19"/>
      <c r="N89"/>
      <c r="O89" s="19"/>
      <c r="AG89" s="36"/>
      <c r="AJ89"/>
    </row>
    <row r="90" spans="1:36" ht="15.75" thickBot="1">
      <c r="A90" s="3"/>
      <c r="B90" s="481" t="s">
        <v>389</v>
      </c>
      <c r="C90" s="490">
        <f>7*3</f>
        <v>21</v>
      </c>
      <c r="D90" s="491">
        <f>C90</f>
        <v>21</v>
      </c>
      <c r="E90" s="492">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390</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19"/>
      <c r="C94" s="371" t="s">
        <v>105</v>
      </c>
      <c r="D94" s="371" t="s">
        <v>106</v>
      </c>
      <c r="E94" s="371" t="s">
        <v>107</v>
      </c>
      <c r="F94" s="371" t="s">
        <v>108</v>
      </c>
      <c r="G94" s="371" t="s">
        <v>120</v>
      </c>
      <c r="H94" s="371" t="s">
        <v>121</v>
      </c>
      <c r="I94" s="371" t="s">
        <v>122</v>
      </c>
      <c r="J94" s="371" t="s">
        <v>123</v>
      </c>
      <c r="K94" s="371" t="s">
        <v>124</v>
      </c>
      <c r="L94" s="371" t="s">
        <v>125</v>
      </c>
      <c r="M94" s="371" t="s">
        <v>126</v>
      </c>
      <c r="N94" s="372" t="s">
        <v>287</v>
      </c>
      <c r="O94" s="20"/>
      <c r="P94" s="20"/>
      <c r="S94" s="19"/>
    </row>
    <row r="95" spans="1:36" ht="15" customHeight="1">
      <c r="A95" s="3"/>
      <c r="B95" s="373" t="s">
        <v>367</v>
      </c>
      <c r="C95" s="360">
        <v>1281508.9595083122</v>
      </c>
      <c r="D95" s="360">
        <v>808914.7963638315</v>
      </c>
      <c r="E95" s="360">
        <v>9314.140558848434</v>
      </c>
      <c r="F95" s="360">
        <v>1478703.5387049848</v>
      </c>
      <c r="G95" s="360">
        <v>1087162.5089500423</v>
      </c>
      <c r="H95" s="360">
        <v>0</v>
      </c>
      <c r="I95" s="360">
        <v>9314.140558848434</v>
      </c>
      <c r="J95" s="360">
        <v>1142723.4613438908</v>
      </c>
      <c r="K95" s="360">
        <v>202035.86245004239</v>
      </c>
      <c r="L95" s="360">
        <v>0</v>
      </c>
      <c r="M95" s="360">
        <v>183591.94247627622</v>
      </c>
      <c r="N95" s="437">
        <v>0</v>
      </c>
      <c r="O95" s="20"/>
      <c r="P95" s="20"/>
      <c r="S95" s="19"/>
    </row>
    <row r="96" spans="1:36" ht="15" customHeight="1">
      <c r="A96" s="3"/>
      <c r="B96" s="373" t="s">
        <v>365</v>
      </c>
      <c r="C96" s="360">
        <v>19935.614027557196</v>
      </c>
      <c r="D96" s="360">
        <v>1225173</v>
      </c>
      <c r="E96" s="360">
        <f>550076.85640448/2.4452</f>
        <v>224961.90757585474</v>
      </c>
      <c r="F96" s="360">
        <f>1443329/2.4072</f>
        <v>599588.31837819878</v>
      </c>
      <c r="G96" s="360">
        <f>1436558/2.4767</f>
        <v>580029.07094117173</v>
      </c>
      <c r="H96" s="360">
        <v>131899.74</v>
      </c>
      <c r="I96" s="360">
        <v>30591.66</v>
      </c>
      <c r="J96" s="360"/>
      <c r="K96" s="360"/>
      <c r="L96" s="360"/>
      <c r="M96" s="360"/>
      <c r="N96" s="437"/>
      <c r="O96" s="20"/>
      <c r="P96" s="20"/>
      <c r="S96" s="19"/>
    </row>
    <row r="97" spans="1:19" ht="15" customHeight="1">
      <c r="A97" s="3"/>
      <c r="B97" s="373" t="s">
        <v>313</v>
      </c>
      <c r="C97" s="360">
        <v>579569.05894063821</v>
      </c>
      <c r="D97" s="360">
        <v>211125.8</v>
      </c>
      <c r="E97" s="360">
        <v>417945</v>
      </c>
      <c r="F97" s="360">
        <v>364838</v>
      </c>
      <c r="G97" s="360">
        <f>285388+296741</f>
        <v>582129</v>
      </c>
      <c r="H97" s="360">
        <v>642504</v>
      </c>
      <c r="I97" s="360">
        <v>153410</v>
      </c>
      <c r="J97" s="360"/>
      <c r="K97" s="360"/>
      <c r="L97" s="360"/>
      <c r="M97" s="360"/>
      <c r="N97" s="437"/>
      <c r="O97" s="20"/>
      <c r="P97" s="20"/>
      <c r="S97" s="19"/>
    </row>
    <row r="98" spans="1:19" ht="15" customHeight="1">
      <c r="A98" s="3"/>
      <c r="B98" s="315" t="s">
        <v>409</v>
      </c>
      <c r="C98" s="361">
        <f>+C95</f>
        <v>1281508.9595083122</v>
      </c>
      <c r="D98" s="361">
        <f>+C98+D95</f>
        <v>2090423.7558721437</v>
      </c>
      <c r="E98" s="361">
        <f t="shared" ref="E98:N98" si="3">+D98+E95</f>
        <v>2099737.8964309921</v>
      </c>
      <c r="F98" s="361">
        <f t="shared" si="3"/>
        <v>3578441.4351359769</v>
      </c>
      <c r="G98" s="361">
        <f t="shared" si="3"/>
        <v>4665603.9440860189</v>
      </c>
      <c r="H98" s="361">
        <f t="shared" si="3"/>
        <v>4665603.9440860189</v>
      </c>
      <c r="I98" s="361">
        <f t="shared" si="3"/>
        <v>4674918.0846448671</v>
      </c>
      <c r="J98" s="361">
        <f t="shared" si="3"/>
        <v>5817641.5459887581</v>
      </c>
      <c r="K98" s="361">
        <f t="shared" si="3"/>
        <v>6019677.4084388008</v>
      </c>
      <c r="L98" s="361">
        <f t="shared" si="3"/>
        <v>6019677.4084388008</v>
      </c>
      <c r="M98" s="361">
        <f t="shared" si="3"/>
        <v>6203269.3509150771</v>
      </c>
      <c r="N98" s="361">
        <f t="shared" si="3"/>
        <v>6203269.3509150771</v>
      </c>
      <c r="O98" s="20"/>
      <c r="P98" s="20"/>
      <c r="S98" s="19"/>
    </row>
    <row r="99" spans="1:19" ht="15" customHeight="1">
      <c r="A99" s="3"/>
      <c r="B99" s="315" t="s">
        <v>5</v>
      </c>
      <c r="C99" s="361">
        <f>+C96</f>
        <v>19935.614027557196</v>
      </c>
      <c r="D99" s="361">
        <f>+C99+D96</f>
        <v>1245108.6140275572</v>
      </c>
      <c r="E99" s="361">
        <f t="shared" ref="E99:N99" si="4">+D99+E96</f>
        <v>1470070.521603412</v>
      </c>
      <c r="F99" s="361">
        <f t="shared" si="4"/>
        <v>2069658.8399816109</v>
      </c>
      <c r="G99" s="361">
        <f t="shared" si="4"/>
        <v>2649687.9109227825</v>
      </c>
      <c r="H99" s="361">
        <f t="shared" si="4"/>
        <v>2781587.6509227827</v>
      </c>
      <c r="I99" s="361">
        <f t="shared" si="4"/>
        <v>2812179.3109227829</v>
      </c>
      <c r="J99" s="361">
        <f t="shared" si="4"/>
        <v>2812179.3109227829</v>
      </c>
      <c r="K99" s="361">
        <f t="shared" si="4"/>
        <v>2812179.3109227829</v>
      </c>
      <c r="L99" s="361">
        <f t="shared" si="4"/>
        <v>2812179.3109227829</v>
      </c>
      <c r="M99" s="361">
        <f t="shared" si="4"/>
        <v>2812179.3109227829</v>
      </c>
      <c r="N99" s="361">
        <f t="shared" si="4"/>
        <v>2812179.3109227829</v>
      </c>
      <c r="O99" s="20"/>
      <c r="P99" s="20"/>
      <c r="S99" s="19"/>
    </row>
    <row r="100" spans="1:19" ht="15.75" thickBot="1">
      <c r="A100" s="3"/>
      <c r="B100" s="434" t="s">
        <v>6</v>
      </c>
      <c r="C100" s="435">
        <f>+C97</f>
        <v>579569.05894063821</v>
      </c>
      <c r="D100" s="436">
        <f>+C100+D97</f>
        <v>790694.85894063814</v>
      </c>
      <c r="E100" s="436">
        <f t="shared" ref="E100:N100" si="5">+D100+E97</f>
        <v>1208639.8589406381</v>
      </c>
      <c r="F100" s="436">
        <f t="shared" si="5"/>
        <v>1573477.8589406381</v>
      </c>
      <c r="G100" s="436">
        <f t="shared" si="5"/>
        <v>2155606.8589406381</v>
      </c>
      <c r="H100" s="436">
        <f t="shared" si="5"/>
        <v>2798110.8589406381</v>
      </c>
      <c r="I100" s="436">
        <f t="shared" si="5"/>
        <v>2951520.8589406381</v>
      </c>
      <c r="J100" s="436">
        <f t="shared" si="5"/>
        <v>2951520.8589406381</v>
      </c>
      <c r="K100" s="436">
        <f t="shared" si="5"/>
        <v>2951520.8589406381</v>
      </c>
      <c r="L100" s="436">
        <f t="shared" si="5"/>
        <v>2951520.8589406381</v>
      </c>
      <c r="M100" s="436">
        <f t="shared" si="5"/>
        <v>2951520.8589406381</v>
      </c>
      <c r="N100" s="436">
        <f t="shared" si="5"/>
        <v>2951520.8589406381</v>
      </c>
      <c r="O100" s="20"/>
      <c r="P100" s="20"/>
      <c r="S100" s="19"/>
    </row>
    <row r="101" spans="1:19">
      <c r="A101" s="3"/>
      <c r="B101" s="3"/>
      <c r="C101" s="2"/>
      <c r="D101" s="2"/>
      <c r="E101" s="2"/>
      <c r="F101" s="2"/>
      <c r="G101" s="2"/>
      <c r="H101" s="2"/>
      <c r="I101" s="15"/>
      <c r="J101" s="123"/>
      <c r="K101" s="124"/>
      <c r="L101" s="15"/>
      <c r="M101" s="125"/>
      <c r="N101" s="20"/>
      <c r="O101" s="20"/>
      <c r="P101" s="20"/>
      <c r="S101" s="19"/>
    </row>
    <row r="102" spans="1:19">
      <c r="A102" s="3"/>
      <c r="B102" s="2" t="s">
        <v>403</v>
      </c>
      <c r="C102" s="2"/>
      <c r="D102" s="2"/>
      <c r="E102" s="2"/>
      <c r="F102" s="2"/>
      <c r="G102" s="2"/>
      <c r="H102" s="2"/>
      <c r="I102" s="15"/>
      <c r="J102" s="123"/>
      <c r="K102" s="124"/>
      <c r="L102" s="15"/>
      <c r="M102" s="125"/>
      <c r="N102" s="20"/>
      <c r="O102" s="20"/>
      <c r="P102" s="20"/>
      <c r="S102" s="19"/>
    </row>
    <row r="103" spans="1:19">
      <c r="A103" s="3"/>
      <c r="C103" s="2"/>
      <c r="D103" s="2"/>
      <c r="E103" s="2"/>
      <c r="F103" s="2"/>
      <c r="G103" s="2"/>
      <c r="H103" s="2"/>
      <c r="I103" s="15"/>
      <c r="J103" s="123"/>
      <c r="K103" s="125"/>
      <c r="L103" s="15"/>
      <c r="M103" s="125"/>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384</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6" t="s">
        <v>32</v>
      </c>
      <c r="C107" s="317" t="s">
        <v>79</v>
      </c>
      <c r="D107" s="319" t="s">
        <v>418</v>
      </c>
      <c r="E107" s="319" t="s">
        <v>336</v>
      </c>
      <c r="F107" s="318" t="s">
        <v>337</v>
      </c>
      <c r="G107" s="318" t="s">
        <v>338</v>
      </c>
      <c r="H107" s="319" t="s">
        <v>339</v>
      </c>
      <c r="I107" s="319" t="s">
        <v>340</v>
      </c>
      <c r="J107" s="319" t="s">
        <v>341</v>
      </c>
      <c r="K107" s="320" t="s">
        <v>342</v>
      </c>
      <c r="L107" s="2"/>
      <c r="M107" s="20"/>
      <c r="N107" s="20"/>
      <c r="O107" s="20"/>
      <c r="P107" s="19"/>
      <c r="R107" s="20"/>
    </row>
    <row r="108" spans="1:19">
      <c r="A108" s="3"/>
      <c r="B108" s="716" t="s">
        <v>372</v>
      </c>
      <c r="C108" s="516" t="s">
        <v>416</v>
      </c>
      <c r="D108" s="518">
        <v>2</v>
      </c>
      <c r="E108" s="448">
        <f>IF(ISBLANK(D108),"",D108*30)</f>
        <v>60</v>
      </c>
      <c r="F108" s="521">
        <v>739</v>
      </c>
      <c r="G108" s="448">
        <f>IF(AND(E108&gt;0,F108&gt;0),(F108*E108),"")</f>
        <v>44340</v>
      </c>
      <c r="H108" s="521">
        <f>273000+ 139980</f>
        <v>412980</v>
      </c>
      <c r="I108" s="449">
        <f>IF(AND(G108&gt;0,H108&gt;0),H108/G108,"")</f>
        <v>9.3139377537212447</v>
      </c>
      <c r="J108" s="524">
        <v>6</v>
      </c>
      <c r="K108" s="450">
        <f>IF(AND(I108&gt;0,J108&gt;0),I108-J108,"")</f>
        <v>3.3139377537212447</v>
      </c>
      <c r="L108" s="508"/>
      <c r="M108" s="20"/>
      <c r="N108" s="20"/>
      <c r="O108" s="20"/>
      <c r="P108" s="19"/>
      <c r="R108" s="20"/>
    </row>
    <row r="109" spans="1:19">
      <c r="A109" s="3"/>
      <c r="B109" s="717"/>
      <c r="C109" s="516" t="s">
        <v>417</v>
      </c>
      <c r="D109" s="518">
        <v>0.37</v>
      </c>
      <c r="E109" s="448">
        <f>IF(ISBLANK(D109),"",D109*30)</f>
        <v>11.1</v>
      </c>
      <c r="F109" s="521">
        <v>10000</v>
      </c>
      <c r="G109" s="448">
        <f>IF(AND(E109&gt;0,F109&gt;0),(F109*E109),"")</f>
        <v>111000</v>
      </c>
      <c r="H109" s="523">
        <v>450774</v>
      </c>
      <c r="I109" s="449">
        <f>IF(AND(G109&gt;0,H109&gt;0),H109/G109,"")</f>
        <v>4.061027027027027</v>
      </c>
      <c r="J109" s="524">
        <v>3</v>
      </c>
      <c r="K109" s="450">
        <f>IF(AND(I109&gt;0,J109&gt;0),I109-J109,"")</f>
        <v>1.061027027027027</v>
      </c>
      <c r="L109" s="2"/>
      <c r="M109" s="20"/>
      <c r="N109" s="20"/>
      <c r="O109" s="20"/>
      <c r="P109" s="19"/>
    </row>
    <row r="110" spans="1:19">
      <c r="A110" s="3"/>
      <c r="B110" s="717"/>
      <c r="C110" s="516" t="s">
        <v>459</v>
      </c>
      <c r="D110" s="519">
        <v>0.49</v>
      </c>
      <c r="E110" s="448">
        <f>IF(ISBLANK(D110),"",D110*30)</f>
        <v>14.7</v>
      </c>
      <c r="F110" s="521">
        <v>3295</v>
      </c>
      <c r="G110" s="448">
        <f>IF(AND(E110&gt;0,F110&gt;0),(F110*E110),"")</f>
        <v>48436.5</v>
      </c>
      <c r="H110" s="521">
        <v>939403</v>
      </c>
      <c r="I110" s="449">
        <f>IF(AND(G110&gt;0,H110&gt;0),H110/G110,"")</f>
        <v>19.394526854747969</v>
      </c>
      <c r="J110" s="524">
        <v>3</v>
      </c>
      <c r="K110" s="450">
        <f>IF(AND(I110&gt;0,J110&gt;0),I110-J110,"")</f>
        <v>16.394526854747969</v>
      </c>
      <c r="L110" s="508"/>
      <c r="M110" s="20"/>
      <c r="N110" s="20"/>
      <c r="O110" s="20"/>
      <c r="P110" s="19"/>
      <c r="R110" s="20"/>
    </row>
    <row r="111" spans="1:19" ht="15.75" thickBot="1">
      <c r="A111" s="3"/>
      <c r="B111" s="718"/>
      <c r="C111" s="517" t="s">
        <v>465</v>
      </c>
      <c r="D111" s="520">
        <v>1</v>
      </c>
      <c r="E111" s="445">
        <f>IF(ISBLANK(D111),"",D111*30)</f>
        <v>30</v>
      </c>
      <c r="F111" s="522">
        <v>213</v>
      </c>
      <c r="G111" s="445">
        <f>IF(AND(E111&gt;0,F111&gt;0),(F111*E111),"")</f>
        <v>6390</v>
      </c>
      <c r="H111" s="522">
        <v>5760</v>
      </c>
      <c r="I111" s="446">
        <f>IF(AND(G111&gt;0,H111&gt;0),H111/G111,"")</f>
        <v>0.90140845070422537</v>
      </c>
      <c r="J111" s="525">
        <v>3</v>
      </c>
      <c r="K111" s="447">
        <f>IF(AND(I111&gt;0,J111&gt;0),I111-J111,"")</f>
        <v>-2.0985915492957745</v>
      </c>
      <c r="L111" s="2"/>
      <c r="M111" s="20"/>
      <c r="N111" s="20"/>
      <c r="O111" s="20"/>
      <c r="P111" s="19"/>
      <c r="R111" s="20"/>
    </row>
    <row r="112" spans="1:19">
      <c r="A112" s="3"/>
      <c r="B112" s="3"/>
      <c r="C112" s="3"/>
      <c r="D112" s="3"/>
      <c r="E112" s="443"/>
      <c r="F112" s="444"/>
      <c r="G112" s="442"/>
      <c r="H112" s="2"/>
      <c r="I112" s="2"/>
      <c r="J112" s="3"/>
      <c r="K112" s="3"/>
      <c r="L112" s="2"/>
      <c r="M112" s="2"/>
      <c r="N112" s="20"/>
      <c r="O112" s="20"/>
      <c r="P112" s="20"/>
      <c r="Q112" s="19"/>
      <c r="S112" s="20"/>
    </row>
    <row r="113" spans="1:20" ht="15.75" thickBot="1">
      <c r="A113" s="3"/>
      <c r="B113" s="3"/>
      <c r="C113" s="3"/>
      <c r="D113" s="3"/>
      <c r="E113" s="3"/>
      <c r="F113" s="3"/>
      <c r="G113" s="201"/>
      <c r="H113" s="3"/>
      <c r="I113" s="2"/>
      <c r="J113" s="109"/>
      <c r="K113" s="109"/>
      <c r="L113" s="3"/>
      <c r="M113" s="3"/>
    </row>
    <row r="114" spans="1:20" ht="19.5" thickBot="1">
      <c r="A114" s="3"/>
      <c r="B114" s="239" t="s">
        <v>391</v>
      </c>
      <c r="C114" s="126"/>
      <c r="D114" s="126"/>
      <c r="E114" s="127"/>
      <c r="F114" s="127"/>
      <c r="G114" s="127"/>
      <c r="H114" s="254"/>
      <c r="I114" s="240"/>
      <c r="J114" s="338"/>
      <c r="K114" s="339" t="s">
        <v>370</v>
      </c>
      <c r="L114" s="127"/>
      <c r="M114" s="340"/>
      <c r="N114" s="341"/>
      <c r="O114" s="341"/>
      <c r="P114" s="400"/>
      <c r="Q114" s="36"/>
    </row>
    <row r="115" spans="1:20" ht="15.75" thickBot="1">
      <c r="A115" s="3"/>
      <c r="B115" s="3"/>
      <c r="C115" s="3"/>
      <c r="D115" s="3"/>
      <c r="E115" s="3"/>
      <c r="F115" s="3"/>
      <c r="G115" s="3"/>
      <c r="H115" s="3" t="s">
        <v>455</v>
      </c>
      <c r="I115" s="3" t="s">
        <v>456</v>
      </c>
      <c r="J115" s="3" t="s">
        <v>457</v>
      </c>
      <c r="K115" s="3" t="s">
        <v>461</v>
      </c>
      <c r="L115" s="3" t="s">
        <v>462</v>
      </c>
      <c r="M115" s="3" t="s">
        <v>464</v>
      </c>
      <c r="N115" s="3" t="s">
        <v>463</v>
      </c>
      <c r="O115"/>
      <c r="P115" s="36"/>
      <c r="Q115" s="36"/>
    </row>
    <row r="116" spans="1:20" ht="21.75" customHeight="1">
      <c r="A116" s="3"/>
      <c r="B116" s="728" t="s">
        <v>397</v>
      </c>
      <c r="C116" s="729"/>
      <c r="D116" s="730"/>
      <c r="E116" s="324" t="s">
        <v>327</v>
      </c>
      <c r="F116" s="281" t="s">
        <v>344</v>
      </c>
      <c r="G116" s="244"/>
      <c r="H116" s="387" t="s">
        <v>105</v>
      </c>
      <c r="I116" s="387" t="s">
        <v>106</v>
      </c>
      <c r="J116" s="387" t="s">
        <v>107</v>
      </c>
      <c r="K116" s="387" t="s">
        <v>108</v>
      </c>
      <c r="L116" s="387" t="s">
        <v>120</v>
      </c>
      <c r="M116" s="387" t="s">
        <v>121</v>
      </c>
      <c r="N116" s="387" t="s">
        <v>122</v>
      </c>
      <c r="O116" s="387" t="s">
        <v>123</v>
      </c>
      <c r="P116" s="387" t="s">
        <v>124</v>
      </c>
      <c r="Q116" s="387" t="s">
        <v>125</v>
      </c>
      <c r="R116" s="387" t="s">
        <v>126</v>
      </c>
      <c r="S116" s="388" t="s">
        <v>287</v>
      </c>
      <c r="T116" s="64"/>
    </row>
    <row r="117" spans="1:20" ht="21.75" customHeight="1">
      <c r="A117" s="3"/>
      <c r="B117" s="469"/>
      <c r="C117" s="470"/>
      <c r="D117" s="470"/>
      <c r="E117" s="471"/>
      <c r="F117" s="472"/>
      <c r="G117" s="473"/>
      <c r="H117" s="474"/>
      <c r="I117" s="474"/>
      <c r="J117" s="474"/>
      <c r="K117" s="474"/>
      <c r="L117" s="474"/>
      <c r="M117" s="474"/>
      <c r="N117" s="474"/>
      <c r="O117" s="474"/>
      <c r="P117" s="474"/>
      <c r="Q117" s="474"/>
      <c r="R117" s="474"/>
      <c r="S117" s="475"/>
      <c r="T117" s="64"/>
    </row>
    <row r="118" spans="1:20" ht="15" customHeight="1">
      <c r="A118" s="640" t="s">
        <v>374</v>
      </c>
      <c r="B118" s="644" t="s">
        <v>429</v>
      </c>
      <c r="C118" s="645"/>
      <c r="D118" s="646"/>
      <c r="E118" s="721" t="s">
        <v>430</v>
      </c>
      <c r="F118" s="723" t="s">
        <v>114</v>
      </c>
      <c r="G118" s="245" t="s">
        <v>85</v>
      </c>
      <c r="H118" s="455">
        <v>25347</v>
      </c>
      <c r="I118" s="455">
        <v>25347</v>
      </c>
      <c r="J118" s="486">
        <f>27832/4</f>
        <v>6958</v>
      </c>
      <c r="K118" s="501">
        <f>27832/2</f>
        <v>13916</v>
      </c>
      <c r="L118" s="501">
        <f>27832*3/4</f>
        <v>20874</v>
      </c>
      <c r="M118" s="501">
        <f>27832</f>
        <v>27832</v>
      </c>
      <c r="N118" s="503">
        <f>31500/4</f>
        <v>7875</v>
      </c>
      <c r="O118" s="130"/>
      <c r="P118" s="130"/>
      <c r="Q118" s="130"/>
      <c r="R118" s="130"/>
      <c r="S118" s="131"/>
      <c r="T118" s="64"/>
    </row>
    <row r="119" spans="1:20" ht="15" customHeight="1">
      <c r="A119" s="640"/>
      <c r="B119" s="647"/>
      <c r="C119" s="648"/>
      <c r="D119" s="649"/>
      <c r="E119" s="722"/>
      <c r="F119" s="723"/>
      <c r="G119" s="245" t="s">
        <v>86</v>
      </c>
      <c r="H119" s="464">
        <v>22099</v>
      </c>
      <c r="I119" s="455">
        <v>28279</v>
      </c>
      <c r="J119" s="130">
        <v>7219</v>
      </c>
      <c r="K119" s="276">
        <v>16129</v>
      </c>
      <c r="L119" s="130">
        <v>18626</v>
      </c>
      <c r="M119" s="130">
        <v>26294</v>
      </c>
      <c r="N119" s="130">
        <v>5762</v>
      </c>
      <c r="O119" s="130"/>
      <c r="P119" s="130"/>
      <c r="Q119" s="130"/>
      <c r="R119" s="130"/>
      <c r="S119" s="131"/>
      <c r="T119" s="64"/>
    </row>
    <row r="120" spans="1:20" ht="15" customHeight="1">
      <c r="A120" s="640"/>
      <c r="B120" s="655" t="s">
        <v>431</v>
      </c>
      <c r="C120" s="656"/>
      <c r="D120" s="657"/>
      <c r="E120" s="735" t="s">
        <v>432</v>
      </c>
      <c r="F120" s="734" t="s">
        <v>114</v>
      </c>
      <c r="G120" s="422" t="s">
        <v>85</v>
      </c>
      <c r="H120" s="457">
        <v>4250</v>
      </c>
      <c r="I120" s="457">
        <v>4250</v>
      </c>
      <c r="J120" s="487">
        <f>5950/4</f>
        <v>1487.5</v>
      </c>
      <c r="K120" s="502">
        <f>5950/2</f>
        <v>2975</v>
      </c>
      <c r="L120" s="502">
        <f>5950*3/4</f>
        <v>4462.5</v>
      </c>
      <c r="M120" s="502">
        <f>5950</f>
        <v>5950</v>
      </c>
      <c r="N120" s="526">
        <f>8500/4</f>
        <v>2125</v>
      </c>
      <c r="O120" s="241"/>
      <c r="P120" s="241"/>
      <c r="Q120" s="241"/>
      <c r="R120" s="241"/>
      <c r="S120" s="321"/>
      <c r="T120" s="64"/>
    </row>
    <row r="121" spans="1:20" ht="15" customHeight="1">
      <c r="A121" s="640"/>
      <c r="B121" s="658"/>
      <c r="C121" s="656"/>
      <c r="D121" s="657"/>
      <c r="E121" s="736"/>
      <c r="F121" s="720"/>
      <c r="G121" s="422" t="s">
        <v>86</v>
      </c>
      <c r="H121" s="465">
        <v>3167</v>
      </c>
      <c r="I121" s="458">
        <v>3826</v>
      </c>
      <c r="J121" s="322">
        <v>1383</v>
      </c>
      <c r="K121" s="323">
        <v>2314</v>
      </c>
      <c r="L121" s="322">
        <v>3126</v>
      </c>
      <c r="M121" s="322">
        <v>3846</v>
      </c>
      <c r="N121" s="322">
        <f>1702+155</f>
        <v>1857</v>
      </c>
      <c r="O121" s="322"/>
      <c r="P121" s="241"/>
      <c r="Q121" s="241"/>
      <c r="R121" s="241"/>
      <c r="S121" s="321"/>
      <c r="T121" s="64"/>
    </row>
    <row r="122" spans="1:20" ht="15" customHeight="1">
      <c r="A122" s="640"/>
      <c r="B122" s="659" t="s">
        <v>441</v>
      </c>
      <c r="C122" s="648"/>
      <c r="D122" s="649"/>
      <c r="E122" s="721" t="s">
        <v>442</v>
      </c>
      <c r="F122" s="653" t="s">
        <v>114</v>
      </c>
      <c r="G122" s="245" t="s">
        <v>85</v>
      </c>
      <c r="H122" s="455">
        <v>4000</v>
      </c>
      <c r="I122" s="455">
        <v>4000</v>
      </c>
      <c r="J122" s="130">
        <v>4550</v>
      </c>
      <c r="K122" s="503">
        <v>4550</v>
      </c>
      <c r="L122" s="503">
        <v>4550</v>
      </c>
      <c r="M122" s="503">
        <v>4550</v>
      </c>
      <c r="N122" s="503">
        <v>5100</v>
      </c>
      <c r="O122" s="130"/>
      <c r="P122" s="130"/>
      <c r="Q122" s="130"/>
      <c r="R122" s="130"/>
      <c r="S122" s="131"/>
      <c r="T122" s="64"/>
    </row>
    <row r="123" spans="1:20" ht="15" customHeight="1">
      <c r="A123" s="640"/>
      <c r="B123" s="647"/>
      <c r="C123" s="648"/>
      <c r="D123" s="649"/>
      <c r="E123" s="722"/>
      <c r="F123" s="654"/>
      <c r="G123" s="245" t="s">
        <v>86</v>
      </c>
      <c r="H123" s="464">
        <v>3518</v>
      </c>
      <c r="I123" s="456">
        <v>3638</v>
      </c>
      <c r="J123" s="130">
        <v>3786</v>
      </c>
      <c r="K123" s="130">
        <v>3899</v>
      </c>
      <c r="L123" s="130">
        <v>4100</v>
      </c>
      <c r="M123" s="130">
        <v>4144</v>
      </c>
      <c r="N123" s="130">
        <v>4260</v>
      </c>
      <c r="O123" s="130"/>
      <c r="P123" s="130"/>
      <c r="Q123" s="130"/>
      <c r="R123" s="130"/>
      <c r="S123" s="131"/>
      <c r="T123" s="64"/>
    </row>
    <row r="124" spans="1:20" ht="15" customHeight="1">
      <c r="A124" s="3"/>
      <c r="B124" s="693" t="s">
        <v>427</v>
      </c>
      <c r="C124" s="694"/>
      <c r="D124" s="695"/>
      <c r="E124" s="735" t="s">
        <v>428</v>
      </c>
      <c r="F124" s="719" t="s">
        <v>114</v>
      </c>
      <c r="G124" s="422" t="s">
        <v>85</v>
      </c>
      <c r="H124" s="454">
        <v>28329</v>
      </c>
      <c r="I124" s="454">
        <v>28329</v>
      </c>
      <c r="J124" s="487">
        <f>30814/4</f>
        <v>7703.5</v>
      </c>
      <c r="K124" s="502">
        <f>30814/2</f>
        <v>15407</v>
      </c>
      <c r="L124" s="502">
        <f>30814*3/4</f>
        <v>23110.5</v>
      </c>
      <c r="M124" s="502">
        <f>30814</f>
        <v>30814</v>
      </c>
      <c r="N124" s="526">
        <f>35175/4</f>
        <v>8793.75</v>
      </c>
      <c r="O124" s="241"/>
      <c r="P124" s="241"/>
      <c r="Q124" s="241"/>
      <c r="R124" s="241"/>
      <c r="S124" s="321"/>
      <c r="T124" s="64"/>
    </row>
    <row r="125" spans="1:20" ht="15" customHeight="1">
      <c r="A125" s="3"/>
      <c r="B125" s="696"/>
      <c r="C125" s="697"/>
      <c r="D125" s="698"/>
      <c r="E125" s="736"/>
      <c r="F125" s="720"/>
      <c r="G125" s="422" t="s">
        <v>86</v>
      </c>
      <c r="H125" s="467">
        <v>26928</v>
      </c>
      <c r="I125" s="458">
        <v>30330</v>
      </c>
      <c r="J125" s="241">
        <v>13968</v>
      </c>
      <c r="K125" s="277">
        <v>20114</v>
      </c>
      <c r="L125" s="241">
        <v>23118</v>
      </c>
      <c r="M125" s="241">
        <v>27250</v>
      </c>
      <c r="N125" s="241">
        <v>14112</v>
      </c>
      <c r="O125" s="241"/>
      <c r="P125" s="241"/>
      <c r="Q125" s="241"/>
      <c r="R125" s="241"/>
      <c r="S125" s="321"/>
      <c r="T125" s="64"/>
    </row>
    <row r="126" spans="1:20" ht="15" customHeight="1">
      <c r="A126" s="3"/>
      <c r="B126" s="699" t="s">
        <v>433</v>
      </c>
      <c r="C126" s="700"/>
      <c r="D126" s="701"/>
      <c r="E126" s="721" t="s">
        <v>434</v>
      </c>
      <c r="F126" s="653" t="s">
        <v>114</v>
      </c>
      <c r="G126" s="423" t="s">
        <v>85</v>
      </c>
      <c r="H126" s="459">
        <v>3060</v>
      </c>
      <c r="I126" s="459">
        <v>3060</v>
      </c>
      <c r="J126" s="488">
        <f>4250/4</f>
        <v>1062.5</v>
      </c>
      <c r="K126" s="504">
        <f>4250/2</f>
        <v>2125</v>
      </c>
      <c r="L126" s="504">
        <f>4250*3/4</f>
        <v>3187.5</v>
      </c>
      <c r="M126" s="504">
        <f>4250</f>
        <v>4250</v>
      </c>
      <c r="N126" s="527">
        <f>6800/4</f>
        <v>1700</v>
      </c>
      <c r="O126" s="424"/>
      <c r="P126" s="424"/>
      <c r="Q126" s="424"/>
      <c r="R126" s="424"/>
      <c r="S126" s="426"/>
      <c r="T126" s="64"/>
    </row>
    <row r="127" spans="1:20" ht="15" customHeight="1">
      <c r="A127" s="3"/>
      <c r="B127" s="702"/>
      <c r="C127" s="703"/>
      <c r="D127" s="704"/>
      <c r="E127" s="722"/>
      <c r="F127" s="654"/>
      <c r="G127" s="423" t="s">
        <v>86</v>
      </c>
      <c r="H127" s="468">
        <v>1597</v>
      </c>
      <c r="I127" s="459">
        <v>2035</v>
      </c>
      <c r="J127" s="424">
        <f>691+423</f>
        <v>1114</v>
      </c>
      <c r="K127" s="425">
        <f>1285+696</f>
        <v>1981</v>
      </c>
      <c r="L127" s="424">
        <f>1781+1187</f>
        <v>2968</v>
      </c>
      <c r="M127" s="424">
        <v>3889</v>
      </c>
      <c r="N127" s="424">
        <f>741+184</f>
        <v>925</v>
      </c>
      <c r="O127" s="424"/>
      <c r="P127" s="424"/>
      <c r="Q127" s="424"/>
      <c r="R127" s="424"/>
      <c r="S127" s="426"/>
      <c r="T127" s="64"/>
    </row>
    <row r="128" spans="1:20" ht="15" customHeight="1">
      <c r="A128" s="3"/>
      <c r="B128" s="693" t="s">
        <v>435</v>
      </c>
      <c r="C128" s="694"/>
      <c r="D128" s="695"/>
      <c r="E128" s="735" t="s">
        <v>436</v>
      </c>
      <c r="F128" s="719" t="s">
        <v>114</v>
      </c>
      <c r="G128" s="422" t="s">
        <v>85</v>
      </c>
      <c r="H128" s="454">
        <v>2610</v>
      </c>
      <c r="I128" s="454">
        <v>2610</v>
      </c>
      <c r="J128" s="489">
        <f>3263/4</f>
        <v>815.75</v>
      </c>
      <c r="K128" s="505">
        <f>3263/2</f>
        <v>1631.5</v>
      </c>
      <c r="L128" s="505">
        <f>3263*3/4</f>
        <v>2447.25</v>
      </c>
      <c r="M128" s="505">
        <f>3263</f>
        <v>3263</v>
      </c>
      <c r="N128" s="528">
        <f>4306/4</f>
        <v>1076.5</v>
      </c>
      <c r="O128" s="322"/>
      <c r="P128" s="322"/>
      <c r="Q128" s="322"/>
      <c r="R128" s="322"/>
      <c r="S128" s="427"/>
      <c r="T128" s="64"/>
    </row>
    <row r="129" spans="1:21" ht="15" customHeight="1">
      <c r="A129" s="3"/>
      <c r="B129" s="696"/>
      <c r="C129" s="697"/>
      <c r="D129" s="698"/>
      <c r="E129" s="736"/>
      <c r="F129" s="720"/>
      <c r="G129" s="422" t="s">
        <v>86</v>
      </c>
      <c r="H129" s="467">
        <v>2479</v>
      </c>
      <c r="I129" s="458">
        <v>3160</v>
      </c>
      <c r="J129" s="241">
        <v>1532</v>
      </c>
      <c r="K129" s="277">
        <v>2372</v>
      </c>
      <c r="L129" s="241">
        <v>2885</v>
      </c>
      <c r="M129" s="241">
        <v>3367</v>
      </c>
      <c r="N129" s="241">
        <v>1593</v>
      </c>
      <c r="O129" s="241"/>
      <c r="P129" s="322"/>
      <c r="Q129" s="322"/>
      <c r="R129" s="322"/>
      <c r="S129" s="427"/>
      <c r="T129" s="64"/>
    </row>
    <row r="130" spans="1:21" ht="15" customHeight="1">
      <c r="A130" s="3"/>
      <c r="B130" s="699" t="s">
        <v>437</v>
      </c>
      <c r="C130" s="700"/>
      <c r="D130" s="701"/>
      <c r="E130" s="721" t="s">
        <v>438</v>
      </c>
      <c r="F130" s="723" t="s">
        <v>114</v>
      </c>
      <c r="G130" s="423" t="s">
        <v>85</v>
      </c>
      <c r="H130" s="459">
        <v>1958</v>
      </c>
      <c r="I130" s="459">
        <v>1958</v>
      </c>
      <c r="J130" s="488">
        <f>2610/4</f>
        <v>652.5</v>
      </c>
      <c r="K130" s="504">
        <f>2610/2</f>
        <v>1305</v>
      </c>
      <c r="L130" s="504">
        <f>2610*3/4</f>
        <v>1957.5</v>
      </c>
      <c r="M130" s="504">
        <f>2610</f>
        <v>2610</v>
      </c>
      <c r="N130" s="527">
        <f>3589/4</f>
        <v>897.25</v>
      </c>
      <c r="O130" s="424"/>
      <c r="P130" s="424"/>
      <c r="Q130" s="424"/>
      <c r="R130" s="424"/>
      <c r="S130" s="426"/>
      <c r="T130" s="64"/>
    </row>
    <row r="131" spans="1:21" ht="15" customHeight="1">
      <c r="A131" s="3"/>
      <c r="B131" s="702"/>
      <c r="C131" s="703"/>
      <c r="D131" s="704"/>
      <c r="E131" s="722"/>
      <c r="F131" s="723"/>
      <c r="G131" s="423" t="s">
        <v>86</v>
      </c>
      <c r="H131" s="468">
        <v>1562</v>
      </c>
      <c r="I131" s="460">
        <v>2111</v>
      </c>
      <c r="J131" s="424">
        <v>712</v>
      </c>
      <c r="K131" s="425">
        <v>1296</v>
      </c>
      <c r="L131" s="424">
        <v>1735</v>
      </c>
      <c r="M131" s="424">
        <v>2185</v>
      </c>
      <c r="N131" s="424">
        <v>681</v>
      </c>
      <c r="O131" s="424"/>
      <c r="P131" s="424"/>
      <c r="Q131" s="424"/>
      <c r="R131" s="424"/>
      <c r="S131" s="426"/>
      <c r="T131" s="64"/>
    </row>
    <row r="132" spans="1:21" ht="15" customHeight="1">
      <c r="A132" s="3"/>
      <c r="B132" s="693" t="s">
        <v>439</v>
      </c>
      <c r="C132" s="694"/>
      <c r="D132" s="695"/>
      <c r="E132" s="735" t="s">
        <v>440</v>
      </c>
      <c r="F132" s="711" t="s">
        <v>114</v>
      </c>
      <c r="G132" s="422" t="s">
        <v>85</v>
      </c>
      <c r="H132" s="467">
        <v>5500</v>
      </c>
      <c r="I132" s="467">
        <v>5500</v>
      </c>
      <c r="J132" s="489">
        <f>6000/4</f>
        <v>1500</v>
      </c>
      <c r="K132" s="505">
        <f>6000/2</f>
        <v>3000</v>
      </c>
      <c r="L132" s="505">
        <f>6000*3/4</f>
        <v>4500</v>
      </c>
      <c r="M132" s="505">
        <f>6000</f>
        <v>6000</v>
      </c>
      <c r="N132" s="528">
        <f>6500/4</f>
        <v>1625</v>
      </c>
      <c r="O132" s="322"/>
      <c r="P132" s="322"/>
      <c r="Q132" s="322"/>
      <c r="R132" s="322"/>
      <c r="S132" s="427"/>
      <c r="T132" s="64"/>
    </row>
    <row r="133" spans="1:21" ht="15" customHeight="1">
      <c r="A133" s="3"/>
      <c r="B133" s="696"/>
      <c r="C133" s="697"/>
      <c r="D133" s="698"/>
      <c r="E133" s="736"/>
      <c r="F133" s="711"/>
      <c r="G133" s="422" t="s">
        <v>86</v>
      </c>
      <c r="H133" s="467">
        <v>4718</v>
      </c>
      <c r="I133" s="453">
        <v>6068</v>
      </c>
      <c r="J133" s="322">
        <v>1552</v>
      </c>
      <c r="K133" s="322">
        <v>2937</v>
      </c>
      <c r="L133" s="322">
        <v>4226</v>
      </c>
      <c r="M133" s="322">
        <v>5534</v>
      </c>
      <c r="N133" s="322">
        <v>1605</v>
      </c>
      <c r="O133" s="322"/>
      <c r="P133" s="322"/>
      <c r="Q133" s="322"/>
      <c r="R133" s="322"/>
      <c r="S133" s="427"/>
      <c r="T133" s="64"/>
    </row>
    <row r="134" spans="1:21" ht="15" hidden="1" customHeight="1">
      <c r="A134" s="3"/>
      <c r="B134" s="705"/>
      <c r="C134" s="706"/>
      <c r="D134" s="707"/>
      <c r="E134" s="743"/>
      <c r="F134" s="744"/>
      <c r="G134" s="423" t="s">
        <v>85</v>
      </c>
      <c r="H134" s="484"/>
      <c r="I134" s="482"/>
      <c r="J134" s="424"/>
      <c r="K134" s="506"/>
      <c r="L134" s="424"/>
      <c r="M134" s="424"/>
      <c r="N134" s="424"/>
      <c r="O134" s="424"/>
      <c r="P134" s="424"/>
      <c r="Q134" s="424"/>
      <c r="R134" s="424"/>
      <c r="S134" s="426"/>
      <c r="T134" s="64"/>
    </row>
    <row r="135" spans="1:21" ht="15" hidden="1" customHeight="1">
      <c r="A135" s="3"/>
      <c r="B135" s="708"/>
      <c r="C135" s="709"/>
      <c r="D135" s="710"/>
      <c r="E135" s="743"/>
      <c r="F135" s="744"/>
      <c r="G135" s="423" t="s">
        <v>86</v>
      </c>
      <c r="H135" s="485"/>
      <c r="I135" s="461"/>
      <c r="J135" s="424"/>
      <c r="K135" s="424"/>
      <c r="L135" s="424"/>
      <c r="M135" s="424"/>
      <c r="N135" s="424"/>
      <c r="O135" s="424"/>
      <c r="P135" s="424"/>
      <c r="Q135" s="424"/>
      <c r="R135" s="424"/>
      <c r="S135" s="426"/>
      <c r="T135" s="64"/>
    </row>
    <row r="136" spans="1:21" ht="15" hidden="1" customHeight="1">
      <c r="A136" s="3"/>
      <c r="B136" s="753"/>
      <c r="C136" s="694"/>
      <c r="D136" s="695"/>
      <c r="E136" s="736"/>
      <c r="F136" s="711"/>
      <c r="G136" s="422" t="s">
        <v>85</v>
      </c>
      <c r="H136" s="454"/>
      <c r="I136" s="453"/>
      <c r="J136" s="322"/>
      <c r="K136" s="322"/>
      <c r="L136" s="322"/>
      <c r="M136" s="322"/>
      <c r="N136" s="322"/>
      <c r="O136" s="322"/>
      <c r="P136" s="322"/>
      <c r="Q136" s="322"/>
      <c r="R136" s="322"/>
      <c r="S136" s="427"/>
      <c r="T136" s="64"/>
    </row>
    <row r="137" spans="1:21" ht="15" hidden="1" customHeight="1" thickBot="1">
      <c r="A137" s="3"/>
      <c r="B137" s="754"/>
      <c r="C137" s="755"/>
      <c r="D137" s="756"/>
      <c r="E137" s="745"/>
      <c r="F137" s="746"/>
      <c r="G137" s="428" t="s">
        <v>86</v>
      </c>
      <c r="H137" s="462"/>
      <c r="I137" s="463"/>
      <c r="J137" s="429"/>
      <c r="K137" s="429"/>
      <c r="L137" s="429"/>
      <c r="M137" s="429"/>
      <c r="N137" s="429"/>
      <c r="O137" s="429"/>
      <c r="P137" s="429"/>
      <c r="Q137" s="429"/>
      <c r="R137" s="429"/>
      <c r="S137" s="430"/>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6"/>
      <c r="C141" s="3"/>
      <c r="D141" s="3"/>
      <c r="E141" s="3"/>
      <c r="F141" s="3"/>
      <c r="G141" s="2"/>
      <c r="H141" s="3"/>
      <c r="I141" s="3"/>
      <c r="J141" s="3"/>
      <c r="K141" s="3"/>
      <c r="L141" s="3"/>
      <c r="M141" s="3"/>
      <c r="N141" s="3"/>
      <c r="O141" s="3"/>
      <c r="R141" s="36"/>
      <c r="S141" s="36"/>
    </row>
    <row r="142" spans="1:21" ht="15.75" thickBot="1">
      <c r="A142" s="3"/>
      <c r="B142" s="3" t="s">
        <v>404</v>
      </c>
      <c r="C142" s="3"/>
      <c r="D142" s="3"/>
      <c r="E142" s="324" t="s">
        <v>327</v>
      </c>
      <c r="F142" s="281" t="s">
        <v>344</v>
      </c>
      <c r="G142" s="244"/>
      <c r="H142" s="387" t="str">
        <f t="shared" ref="H142:S142" si="6">C30</f>
        <v>P1</v>
      </c>
      <c r="I142" s="387" t="str">
        <f t="shared" si="6"/>
        <v>P2</v>
      </c>
      <c r="J142" s="387" t="str">
        <f t="shared" si="6"/>
        <v>P3</v>
      </c>
      <c r="K142" s="387" t="str">
        <f t="shared" si="6"/>
        <v>P4</v>
      </c>
      <c r="L142" s="387" t="str">
        <f t="shared" si="6"/>
        <v>P5</v>
      </c>
      <c r="M142" s="387" t="str">
        <f t="shared" si="6"/>
        <v>P6</v>
      </c>
      <c r="N142" s="387" t="str">
        <f t="shared" si="6"/>
        <v>P7</v>
      </c>
      <c r="O142" s="387" t="str">
        <f t="shared" si="6"/>
        <v>P8</v>
      </c>
      <c r="P142" s="387" t="str">
        <f t="shared" si="6"/>
        <v>P9</v>
      </c>
      <c r="Q142" s="387" t="str">
        <f t="shared" si="6"/>
        <v>P10</v>
      </c>
      <c r="R142" s="387" t="str">
        <f t="shared" si="6"/>
        <v>P11</v>
      </c>
      <c r="S142" s="388" t="str">
        <f t="shared" si="6"/>
        <v>P12</v>
      </c>
      <c r="T142" s="36"/>
      <c r="U142" s="36"/>
    </row>
    <row r="143" spans="1:21">
      <c r="A143" s="3"/>
      <c r="B143" s="684" t="str">
        <f>IF(ISBLANK(B118),"",(B118))</f>
        <v>Percentage of PWID that have received an HIV test during the reporting period and know their results</v>
      </c>
      <c r="C143" s="685"/>
      <c r="D143" s="686"/>
      <c r="E143" s="740" t="str">
        <f>IF(ISBLANK(E118),"",(E118))</f>
        <v>KP-3d</v>
      </c>
      <c r="F143" s="669" t="str">
        <f>IF(ISBLANK(F118),"",(F118))</f>
        <v>Yes</v>
      </c>
      <c r="G143" s="352" t="s">
        <v>85</v>
      </c>
      <c r="H143" s="407">
        <f t="shared" ref="H143:S143" si="7">H118</f>
        <v>25347</v>
      </c>
      <c r="I143" s="407">
        <f t="shared" si="7"/>
        <v>25347</v>
      </c>
      <c r="J143" s="407">
        <f t="shared" si="7"/>
        <v>6958</v>
      </c>
      <c r="K143" s="407">
        <f t="shared" si="7"/>
        <v>13916</v>
      </c>
      <c r="L143" s="407">
        <f t="shared" si="7"/>
        <v>20874</v>
      </c>
      <c r="M143" s="407">
        <f t="shared" si="7"/>
        <v>27832</v>
      </c>
      <c r="N143" s="407">
        <f t="shared" si="7"/>
        <v>7875</v>
      </c>
      <c r="O143" s="407">
        <f t="shared" si="7"/>
        <v>0</v>
      </c>
      <c r="P143" s="407">
        <f t="shared" si="7"/>
        <v>0</v>
      </c>
      <c r="Q143" s="407">
        <f t="shared" si="7"/>
        <v>0</v>
      </c>
      <c r="R143" s="407">
        <f t="shared" si="7"/>
        <v>0</v>
      </c>
      <c r="S143" s="438">
        <f t="shared" si="7"/>
        <v>0</v>
      </c>
      <c r="T143" s="36"/>
      <c r="U143" s="36"/>
    </row>
    <row r="144" spans="1:21">
      <c r="A144" s="3"/>
      <c r="B144" s="687"/>
      <c r="C144" s="688"/>
      <c r="D144" s="689"/>
      <c r="E144" s="740"/>
      <c r="F144" s="669"/>
      <c r="G144" s="128" t="s">
        <v>86</v>
      </c>
      <c r="H144" s="407">
        <f t="shared" ref="H144:K148" si="8">H119</f>
        <v>22099</v>
      </c>
      <c r="I144" s="407">
        <f t="shared" si="8"/>
        <v>28279</v>
      </c>
      <c r="J144" s="407">
        <f t="shared" si="8"/>
        <v>7219</v>
      </c>
      <c r="K144" s="407">
        <f t="shared" si="8"/>
        <v>16129</v>
      </c>
      <c r="L144" s="407">
        <f t="shared" ref="L144:S144" si="9">L119</f>
        <v>18626</v>
      </c>
      <c r="M144" s="407">
        <f t="shared" si="9"/>
        <v>26294</v>
      </c>
      <c r="N144" s="407">
        <f t="shared" si="9"/>
        <v>5762</v>
      </c>
      <c r="O144" s="407">
        <f t="shared" si="9"/>
        <v>0</v>
      </c>
      <c r="P144" s="407">
        <f t="shared" si="9"/>
        <v>0</v>
      </c>
      <c r="Q144" s="407">
        <f t="shared" si="9"/>
        <v>0</v>
      </c>
      <c r="R144" s="407">
        <f t="shared" si="9"/>
        <v>0</v>
      </c>
      <c r="S144" s="438">
        <f t="shared" si="9"/>
        <v>0</v>
      </c>
      <c r="T144" s="36"/>
      <c r="U144" s="36"/>
    </row>
    <row r="145" spans="1:21">
      <c r="A145" s="3"/>
      <c r="B145" s="690" t="str">
        <f>IF(ISBLANK(B120),"",(B120))</f>
        <v>Percentage of MSM reached with HIV prevention programs - defined package of services</v>
      </c>
      <c r="C145" s="691"/>
      <c r="D145" s="692"/>
      <c r="E145" s="757" t="str">
        <f>IF(ISBLANK(E120),"",(E120))</f>
        <v>KP-1a</v>
      </c>
      <c r="F145" s="670" t="str">
        <f>IF(ISBLANK(F120),"",(F120))</f>
        <v>Yes</v>
      </c>
      <c r="G145" s="431" t="s">
        <v>85</v>
      </c>
      <c r="H145" s="432">
        <f t="shared" si="8"/>
        <v>4250</v>
      </c>
      <c r="I145" s="432">
        <f>I120</f>
        <v>4250</v>
      </c>
      <c r="J145" s="432">
        <f t="shared" si="8"/>
        <v>1487.5</v>
      </c>
      <c r="K145" s="432">
        <f>K120</f>
        <v>2975</v>
      </c>
      <c r="L145" s="432">
        <f t="shared" ref="L145:S145" si="10">L120</f>
        <v>4462.5</v>
      </c>
      <c r="M145" s="432">
        <f t="shared" si="10"/>
        <v>5950</v>
      </c>
      <c r="N145" s="432">
        <f t="shared" si="10"/>
        <v>2125</v>
      </c>
      <c r="O145" s="432">
        <f t="shared" si="10"/>
        <v>0</v>
      </c>
      <c r="P145" s="432">
        <f t="shared" si="10"/>
        <v>0</v>
      </c>
      <c r="Q145" s="432">
        <f t="shared" si="10"/>
        <v>0</v>
      </c>
      <c r="R145" s="432">
        <f t="shared" si="10"/>
        <v>0</v>
      </c>
      <c r="S145" s="439">
        <f t="shared" si="10"/>
        <v>0</v>
      </c>
      <c r="T145" s="36"/>
      <c r="U145" s="36"/>
    </row>
    <row r="146" spans="1:21">
      <c r="A146" s="3"/>
      <c r="B146" s="690"/>
      <c r="C146" s="691"/>
      <c r="D146" s="692"/>
      <c r="E146" s="757"/>
      <c r="F146" s="670"/>
      <c r="G146" s="431" t="s">
        <v>86</v>
      </c>
      <c r="H146" s="432">
        <f t="shared" si="8"/>
        <v>3167</v>
      </c>
      <c r="I146" s="432">
        <f t="shared" si="8"/>
        <v>3826</v>
      </c>
      <c r="J146" s="432">
        <f t="shared" si="8"/>
        <v>1383</v>
      </c>
      <c r="K146" s="432">
        <f t="shared" si="8"/>
        <v>2314</v>
      </c>
      <c r="L146" s="432">
        <f t="shared" ref="L146:S146" si="11">L121</f>
        <v>3126</v>
      </c>
      <c r="M146" s="432">
        <f t="shared" si="11"/>
        <v>3846</v>
      </c>
      <c r="N146" s="432">
        <f t="shared" si="11"/>
        <v>1857</v>
      </c>
      <c r="O146" s="432">
        <f t="shared" si="11"/>
        <v>0</v>
      </c>
      <c r="P146" s="432">
        <f t="shared" si="11"/>
        <v>0</v>
      </c>
      <c r="Q146" s="432">
        <f t="shared" si="11"/>
        <v>0</v>
      </c>
      <c r="R146" s="432">
        <f t="shared" si="11"/>
        <v>0</v>
      </c>
      <c r="S146" s="439">
        <f t="shared" si="11"/>
        <v>0</v>
      </c>
      <c r="T146" s="36"/>
      <c r="U146" s="36"/>
    </row>
    <row r="147" spans="1:21">
      <c r="A147" s="3"/>
      <c r="B147" s="747" t="str">
        <f>IF(ISBLANK(B122),"",(B122))</f>
        <v xml:space="preserve">Percentage of people living with HIV currently receiving antiretroviral therapy </v>
      </c>
      <c r="C147" s="748"/>
      <c r="D147" s="749"/>
      <c r="E147" s="740" t="str">
        <f>IF(ISBLANK(E122),"",(E122))</f>
        <v>TCS-1</v>
      </c>
      <c r="F147" s="669" t="str">
        <f>IF(ISBLANK(F122),"",(F122))</f>
        <v>Yes</v>
      </c>
      <c r="G147" s="128" t="s">
        <v>85</v>
      </c>
      <c r="H147" s="407">
        <f t="shared" si="8"/>
        <v>4000</v>
      </c>
      <c r="I147" s="407">
        <f t="shared" si="8"/>
        <v>4000</v>
      </c>
      <c r="J147" s="407">
        <f t="shared" si="8"/>
        <v>4550</v>
      </c>
      <c r="K147" s="407">
        <f t="shared" si="8"/>
        <v>4550</v>
      </c>
      <c r="L147" s="407">
        <f t="shared" ref="L147:S147" si="12">L122</f>
        <v>4550</v>
      </c>
      <c r="M147" s="407">
        <f t="shared" si="12"/>
        <v>4550</v>
      </c>
      <c r="N147" s="407">
        <f t="shared" si="12"/>
        <v>5100</v>
      </c>
      <c r="O147" s="407">
        <f t="shared" si="12"/>
        <v>0</v>
      </c>
      <c r="P147" s="407">
        <f t="shared" si="12"/>
        <v>0</v>
      </c>
      <c r="Q147" s="407">
        <f t="shared" si="12"/>
        <v>0</v>
      </c>
      <c r="R147" s="407">
        <f t="shared" si="12"/>
        <v>0</v>
      </c>
      <c r="S147" s="438">
        <f t="shared" si="12"/>
        <v>0</v>
      </c>
      <c r="T147" s="36"/>
      <c r="U147" s="36"/>
    </row>
    <row r="148" spans="1:21" ht="15.75" thickBot="1">
      <c r="A148" s="3"/>
      <c r="B148" s="750"/>
      <c r="C148" s="751"/>
      <c r="D148" s="752"/>
      <c r="E148" s="741"/>
      <c r="F148" s="742"/>
      <c r="G148" s="129" t="s">
        <v>86</v>
      </c>
      <c r="H148" s="408">
        <f t="shared" si="8"/>
        <v>3518</v>
      </c>
      <c r="I148" s="408">
        <f t="shared" si="8"/>
        <v>3638</v>
      </c>
      <c r="J148" s="408">
        <f t="shared" si="8"/>
        <v>3786</v>
      </c>
      <c r="K148" s="408">
        <f t="shared" si="8"/>
        <v>3899</v>
      </c>
      <c r="L148" s="408">
        <f t="shared" ref="L148:S148" si="13">L123</f>
        <v>4100</v>
      </c>
      <c r="M148" s="408">
        <f t="shared" si="13"/>
        <v>4144</v>
      </c>
      <c r="N148" s="408">
        <f t="shared" si="13"/>
        <v>4260</v>
      </c>
      <c r="O148" s="408">
        <f t="shared" si="13"/>
        <v>0</v>
      </c>
      <c r="P148" s="408">
        <f t="shared" si="13"/>
        <v>0</v>
      </c>
      <c r="Q148" s="408">
        <f t="shared" si="13"/>
        <v>0</v>
      </c>
      <c r="R148" s="408">
        <f t="shared" si="13"/>
        <v>0</v>
      </c>
      <c r="S148" s="440">
        <f t="shared" si="13"/>
        <v>0</v>
      </c>
      <c r="T148" s="36"/>
      <c r="U148" s="36"/>
    </row>
    <row r="149" spans="1:21">
      <c r="A149" s="3"/>
      <c r="B149" s="3"/>
      <c r="C149" s="3"/>
      <c r="D149" s="3"/>
      <c r="E149" s="3"/>
      <c r="F149" s="3"/>
      <c r="G149" s="3"/>
      <c r="H149" s="3"/>
      <c r="I149" s="3"/>
      <c r="J149" s="3"/>
      <c r="K149" s="3"/>
      <c r="L149" s="3"/>
      <c r="M149" s="3"/>
      <c r="N149"/>
      <c r="O149"/>
      <c r="P149" s="36"/>
      <c r="Q149" s="36"/>
      <c r="S149" s="433"/>
    </row>
    <row r="150" spans="1:21">
      <c r="N150"/>
      <c r="O150"/>
      <c r="P150" s="36"/>
      <c r="Q150" s="36"/>
    </row>
    <row r="151" spans="1:21">
      <c r="N151"/>
      <c r="O151"/>
      <c r="P151" s="36"/>
      <c r="Q151" s="36"/>
    </row>
    <row r="152" spans="1:21">
      <c r="N152"/>
      <c r="O152"/>
      <c r="P152" s="36"/>
      <c r="Q152" s="36"/>
    </row>
  </sheetData>
  <mergeCells count="73">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E126:E127"/>
    <mergeCell ref="B126:D127"/>
    <mergeCell ref="E132:E133"/>
    <mergeCell ref="O31:O34"/>
    <mergeCell ref="E118:E119"/>
    <mergeCell ref="F118:F119"/>
    <mergeCell ref="F120:F121"/>
    <mergeCell ref="E120:E121"/>
    <mergeCell ref="F47:I47"/>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F124:F125"/>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B18:C18"/>
    <mergeCell ref="D18:F18"/>
    <mergeCell ref="A118:A123"/>
    <mergeCell ref="B29:N29"/>
    <mergeCell ref="B118:D119"/>
    <mergeCell ref="B60:D60"/>
    <mergeCell ref="F122:F123"/>
    <mergeCell ref="B120:D121"/>
    <mergeCell ref="B122:D123"/>
  </mergeCells>
  <phoneticPr fontId="30" type="noConversion"/>
  <conditionalFormatting sqref="B34 B32 C32:D33 E32 E33:N33 C31">
    <cfRule type="expression" dxfId="38" priority="3" stopIfTrue="1">
      <formula>+AND(#REF!&gt;=#REF!,#REF!&lt;=#REF!)</formula>
    </cfRule>
  </conditionalFormatting>
  <conditionalFormatting sqref="C34:N34">
    <cfRule type="expression" dxfId="37" priority="4" stopIfTrue="1">
      <formula>+AND(#REF!&gt;=#REF!,#REF!&lt;=#REF!)</formula>
    </cfRule>
  </conditionalFormatting>
  <conditionalFormatting sqref="C30:N30 C94:N94">
    <cfRule type="cellIs" dxfId="36" priority="7" stopIfTrue="1" operator="equal">
      <formula>$C$16</formula>
    </cfRule>
  </conditionalFormatting>
  <conditionalFormatting sqref="C12:D12">
    <cfRule type="cellIs" dxfId="35" priority="9" stopIfTrue="1" operator="equal">
      <formula>"C"</formula>
    </cfRule>
    <cfRule type="cellIs" dxfId="34" priority="10" stopIfTrue="1" operator="equal">
      <formula>"B2"</formula>
    </cfRule>
    <cfRule type="cellIs" dxfId="33" priority="11" stopIfTrue="1" operator="equal">
      <formula>"B1"</formula>
    </cfRule>
  </conditionalFormatting>
  <conditionalFormatting sqref="H116:S117 H142:S142">
    <cfRule type="cellIs" dxfId="32" priority="18" stopIfTrue="1" operator="equal">
      <formula>$C$16</formula>
    </cfRule>
  </conditionalFormatting>
  <conditionalFormatting sqref="F47:I47">
    <cfRule type="expression" dxfId="31" priority="19" stopIfTrue="1">
      <formula>LEFT($F$47,2)="OK"</formula>
    </cfRule>
  </conditionalFormatting>
  <conditionalFormatting sqref="G32:H32">
    <cfRule type="expression" dxfId="30" priority="1" stopIfTrue="1">
      <formula>+AND(#REF!&gt;=#REF!,#REF!&lt;=#REF!)</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C32 E96:F96 D47 E32:F3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SheetLayoutView="100" workbookViewId="0">
      <selection activeCell="E1" sqref="E1:E1048576"/>
    </sheetView>
  </sheetViews>
  <sheetFormatPr defaultColWidth="11.42578125" defaultRowHeight="15"/>
  <cols>
    <col min="1" max="1" width="21.140625" style="3" customWidth="1"/>
    <col min="2" max="2" width="12.42578125" style="3" customWidth="1"/>
    <col min="3" max="3" width="20.42578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42578125" style="3" customWidth="1"/>
    <col min="15" max="15" width="7.140625" style="3" customWidth="1"/>
    <col min="16" max="16384" width="11.42578125" style="3"/>
  </cols>
  <sheetData>
    <row r="1" spans="1:24" ht="21" customHeight="1">
      <c r="A1" s="2"/>
      <c r="B1" s="2"/>
      <c r="C1" s="2"/>
      <c r="D1" s="2"/>
      <c r="E1" s="2"/>
      <c r="F1" s="2"/>
      <c r="G1" s="273"/>
      <c r="H1" s="2"/>
      <c r="I1" s="2"/>
      <c r="J1" s="2"/>
    </row>
    <row r="2" spans="1:24" ht="25.5" customHeight="1"/>
    <row r="3" spans="1:24" ht="36">
      <c r="B3" s="758" t="str">
        <f>+"Dashboard: "&amp;" "&amp;+IF('Data Entry'!C4="Please Select","",'Data Entry'!C4&amp;" - ")&amp;+IF('Data Entry'!G6="Please Select","",'Data Entry'!G6)</f>
        <v>Dashboard:  Georgia - HIV / AIDS</v>
      </c>
      <c r="C3" s="758"/>
      <c r="D3" s="758"/>
      <c r="E3" s="758"/>
      <c r="F3" s="758"/>
      <c r="G3" s="758"/>
      <c r="H3" s="758"/>
      <c r="I3" s="758"/>
      <c r="J3" s="758"/>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6" t="s">
        <v>25</v>
      </c>
      <c r="B6" s="760" t="str">
        <f>+IF('Data Entry'!C4="Please Select","",'Data Entry'!C4)</f>
        <v>Georgia</v>
      </c>
      <c r="C6" s="760"/>
      <c r="D6" s="764" t="s">
        <v>11</v>
      </c>
      <c r="E6" s="764"/>
      <c r="F6" s="765" t="str">
        <f>+'Data Entry'!G4</f>
        <v xml:space="preserve">Sustaining and Scaling up the Effective HIV/AIDS Prevention, Treatment and Care in Georgia </v>
      </c>
      <c r="G6" s="765"/>
      <c r="H6" s="765"/>
      <c r="I6" s="765"/>
      <c r="J6" s="765"/>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77" t="s">
        <v>26</v>
      </c>
      <c r="B9" s="343" t="str">
        <f>+IF('Data Entry'!G6="Please Select","",'Data Entry'!G6)</f>
        <v>HIV / AIDS</v>
      </c>
      <c r="C9" s="224" t="s">
        <v>328</v>
      </c>
      <c r="D9" s="344" t="str">
        <f>+'Data Entry'!C6</f>
        <v>GEO-H-NCDC</v>
      </c>
      <c r="E9" s="762" t="s">
        <v>12</v>
      </c>
      <c r="F9" s="762"/>
      <c r="G9" s="345">
        <f>+IF(ISBLANK('Data Entry'!C10),"",'Data Entry'!C10)</f>
        <v>42552</v>
      </c>
      <c r="H9" s="377" t="s">
        <v>329</v>
      </c>
      <c r="I9" s="761">
        <f>+IF(ISBLANK('Data Entry'!I6),"",'Data Entry'!I6)</f>
        <v>18462163</v>
      </c>
      <c r="J9" s="761"/>
      <c r="K9" s="50"/>
      <c r="L9" s="50"/>
      <c r="M9" s="50"/>
      <c r="N9" s="50"/>
      <c r="O9" s="52"/>
      <c r="P9" s="51"/>
      <c r="Q9" s="52"/>
      <c r="R9" s="53"/>
      <c r="S9" s="17"/>
      <c r="T9" s="11"/>
      <c r="U9" s="11"/>
      <c r="V9" s="10"/>
      <c r="W9" s="10"/>
      <c r="X9" s="10"/>
    </row>
    <row r="10" spans="1:24" ht="25.5" customHeight="1">
      <c r="A10" s="377" t="s">
        <v>323</v>
      </c>
      <c r="B10" s="346" t="str">
        <f>+IF('Data Entry'!G8="Please Select","",'Data Entry'!G8)</f>
        <v>NFM</v>
      </c>
      <c r="C10" s="224" t="s">
        <v>322</v>
      </c>
      <c r="D10" s="347" t="str">
        <f>+IF('Data Entry'!I8="Please Select","",'Data Entry'!I8)</f>
        <v>N/A</v>
      </c>
      <c r="E10" s="763" t="s">
        <v>268</v>
      </c>
      <c r="F10" s="763"/>
      <c r="G10" s="759" t="str">
        <f>+'Data Entry'!C8</f>
        <v>NCDC</v>
      </c>
      <c r="H10" s="759"/>
      <c r="I10" s="759"/>
      <c r="J10" s="759"/>
      <c r="K10" s="54"/>
      <c r="L10" s="54"/>
      <c r="M10" s="50"/>
      <c r="N10" s="54"/>
      <c r="O10" s="52"/>
      <c r="P10" s="51"/>
      <c r="Q10" s="11"/>
      <c r="R10" s="53"/>
      <c r="S10" s="17"/>
      <c r="T10" s="11"/>
      <c r="U10" s="11"/>
    </row>
    <row r="11" spans="1:24" ht="25.5" customHeight="1">
      <c r="A11" s="377" t="s">
        <v>20</v>
      </c>
      <c r="B11" s="348" t="str">
        <f>+'Data Entry'!C16</f>
        <v>P7</v>
      </c>
      <c r="C11" s="329" t="s">
        <v>266</v>
      </c>
      <c r="D11" s="349">
        <f>+IF(ISBLANK('Data Entry'!E16),"",'Data Entry'!E16)</f>
        <v>43101</v>
      </c>
      <c r="E11" s="762" t="s">
        <v>21</v>
      </c>
      <c r="F11" s="762"/>
      <c r="G11" s="349">
        <f>+IF(ISBLANK('Data Entry'!G16),"",'Data Entry'!G16)</f>
        <v>43190</v>
      </c>
      <c r="H11" s="377" t="s">
        <v>28</v>
      </c>
      <c r="I11" s="766" t="str">
        <f>+IF('Data Entry'!C12="Please Select","",'Data Entry'!C12)</f>
        <v>A2</v>
      </c>
      <c r="J11" s="766"/>
      <c r="K11" s="272"/>
      <c r="L11" s="54"/>
      <c r="M11" s="50"/>
      <c r="N11" s="54"/>
      <c r="O11" s="54"/>
      <c r="P11" s="51"/>
      <c r="Q11" s="11"/>
      <c r="R11" s="53"/>
      <c r="S11" s="17"/>
      <c r="T11" s="12"/>
      <c r="U11" s="11"/>
    </row>
    <row r="12" spans="1:24" ht="25.5" customHeight="1">
      <c r="A12" s="377" t="s">
        <v>30</v>
      </c>
      <c r="B12" s="759" t="str">
        <f>+IF('Data Entry'!G10="Please Select","",'Data Entry'!G10)</f>
        <v>UNOPS</v>
      </c>
      <c r="C12" s="759"/>
      <c r="D12" s="759"/>
      <c r="E12" s="763" t="s">
        <v>289</v>
      </c>
      <c r="F12" s="763"/>
      <c r="G12" s="759" t="str">
        <f>+'Data Entry'!G12</f>
        <v xml:space="preserve">Gyongyver Jakab </v>
      </c>
      <c r="H12" s="759"/>
      <c r="I12" s="759"/>
      <c r="J12" s="759"/>
      <c r="K12" s="54"/>
      <c r="L12" s="54"/>
      <c r="M12" s="50"/>
      <c r="N12" s="54"/>
      <c r="O12" s="17"/>
      <c r="P12" s="51"/>
      <c r="Q12" s="11"/>
      <c r="R12" s="53"/>
      <c r="S12" s="17"/>
      <c r="T12" s="11"/>
      <c r="U12" s="55"/>
      <c r="V12" s="11"/>
      <c r="W12" s="12"/>
      <c r="X12" s="11"/>
    </row>
    <row r="13" spans="1:24" ht="25.5" customHeight="1">
      <c r="A13" s="377" t="s">
        <v>31</v>
      </c>
      <c r="B13" s="759" t="str">
        <f>+'Data Entry'!D18</f>
        <v>Alexander Asatiani</v>
      </c>
      <c r="C13" s="759"/>
      <c r="D13" s="759"/>
      <c r="E13" s="763" t="s">
        <v>29</v>
      </c>
      <c r="F13" s="763"/>
      <c r="G13" s="767">
        <f>+IF(ISBLANK('Data Entry'!J16),"",'Data Entry'!J16)</f>
        <v>43206</v>
      </c>
      <c r="H13" s="768"/>
      <c r="I13" s="768"/>
      <c r="J13" s="768"/>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3"/>
      <c r="D16" s="16"/>
      <c r="E16" s="378"/>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29" priority="1" stopIfTrue="1" operator="equal">
      <formula>"C"</formula>
    </cfRule>
    <cfRule type="cellIs" dxfId="28" priority="2" stopIfTrue="1" operator="equal">
      <formula>"B2"</formula>
    </cfRule>
    <cfRule type="cellIs" dxfId="2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headerFooter>
    <oddFooter>&amp;L&amp;F&amp;C&amp;A&amp;RV1.0          &amp;D</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110" zoomScaleNormal="110" zoomScalePageLayoutView="160" workbookViewId="0">
      <selection activeCell="I32" sqref="I32"/>
    </sheetView>
  </sheetViews>
  <sheetFormatPr defaultColWidth="11" defaultRowHeight="15"/>
  <cols>
    <col min="1" max="1" width="3.42578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71" t="str">
        <f>+"Dashboard:  "&amp;"  "&amp;IF(+'Data Entry'!C4="Please Select","",'Data Entry'!C4&amp;" - ")&amp;IF('Data Entry'!G6="Please Select","",'Data Entry'!G6)</f>
        <v>Dashboard:    Georgia - HIV / AIDS</v>
      </c>
      <c r="C2" s="671"/>
      <c r="D2" s="671"/>
      <c r="E2" s="671"/>
      <c r="F2" s="671"/>
      <c r="G2" s="671"/>
      <c r="H2" s="671"/>
      <c r="I2" s="671"/>
      <c r="J2" s="671"/>
      <c r="K2" s="671"/>
      <c r="L2" s="1"/>
      <c r="M2" s="1"/>
      <c r="N2" s="1"/>
      <c r="O2" s="1"/>
    </row>
    <row r="3" spans="2:15">
      <c r="B3" s="132" t="str">
        <f>+IF('Data Entry'!G8="Please Select","",'Data Entry'!G8)</f>
        <v>NFM</v>
      </c>
      <c r="C3" s="780" t="str">
        <f>+IF('Data Entry'!I8="Please Select","",'Data Entry'!I8)</f>
        <v>N/A</v>
      </c>
      <c r="D3" s="780"/>
      <c r="E3" s="779"/>
      <c r="F3" s="779"/>
      <c r="G3" s="779"/>
      <c r="H3" s="779"/>
      <c r="I3" s="777" t="str">
        <f>+'Data Entry'!B16</f>
        <v>Report Period:</v>
      </c>
      <c r="J3" s="777"/>
      <c r="K3" s="197" t="str">
        <f>+'Data Entry'!C16</f>
        <v>P7</v>
      </c>
      <c r="L3" s="83"/>
    </row>
    <row r="4" spans="2:15">
      <c r="B4" s="132" t="str">
        <f>+'Data Entry'!B12</f>
        <v>Latest Rating:</v>
      </c>
      <c r="C4" s="781" t="str">
        <f>+IF('Data Entry'!C12="Please Select","",'Data Entry'!C12)</f>
        <v>A2</v>
      </c>
      <c r="D4" s="781"/>
      <c r="E4" s="779" t="str">
        <f>+'Data Entry'!C8</f>
        <v>NCDC</v>
      </c>
      <c r="F4" s="779"/>
      <c r="G4" s="779"/>
      <c r="H4" s="779"/>
      <c r="I4" s="777" t="str">
        <f>+'Data Entry'!D16</f>
        <v>From:</v>
      </c>
      <c r="J4" s="778"/>
      <c r="K4" s="199">
        <f>+IF(ISBLANK('Data Entry'!E16),"",'Data Entry'!E16)</f>
        <v>43101</v>
      </c>
    </row>
    <row r="5" spans="2:15" ht="18.75" customHeight="1">
      <c r="B5" s="132"/>
      <c r="C5" s="132"/>
      <c r="D5" s="776" t="str">
        <f>+'Data Entry'!G4</f>
        <v xml:space="preserve">Sustaining and Scaling up the Effective HIV/AIDS Prevention, Treatment and Care in Georgia </v>
      </c>
      <c r="E5" s="776"/>
      <c r="F5" s="776"/>
      <c r="G5" s="776"/>
      <c r="H5" s="776"/>
      <c r="I5" s="776"/>
      <c r="J5" s="132" t="str">
        <f>+'Data Entry'!F16</f>
        <v>To:</v>
      </c>
      <c r="K5" s="199">
        <f>+IF(ISBLANK('Data Entry'!G16),"",'Data Entry'!G16)</f>
        <v>43190</v>
      </c>
    </row>
    <row r="6" spans="2:15" ht="18.75">
      <c r="B6" s="136"/>
      <c r="C6" s="132"/>
      <c r="D6" s="133"/>
      <c r="E6" s="782" t="s">
        <v>62</v>
      </c>
      <c r="F6" s="782"/>
      <c r="G6" s="782"/>
      <c r="H6" s="782"/>
      <c r="I6" s="3"/>
      <c r="J6" s="3"/>
      <c r="K6" s="3"/>
    </row>
    <row r="7" spans="2:15" ht="10.5" customHeight="1">
      <c r="B7" s="137"/>
      <c r="C7" s="138"/>
      <c r="D7" s="139"/>
      <c r="E7" s="140"/>
      <c r="F7" s="140"/>
      <c r="G7" s="141"/>
      <c r="H7" s="141"/>
      <c r="I7" s="135"/>
      <c r="J7" s="135"/>
      <c r="K7" s="134"/>
    </row>
    <row r="8" spans="2:15">
      <c r="B8" s="202" t="str">
        <f>+'Data Entry'!B27&amp; " - in ("&amp;'Data Entry'!D26&amp;")         "&amp;+I3&amp;" "&amp;+K3</f>
        <v>F1: Budget and disbursements by Global Fund - in ($)         Report Period: P7</v>
      </c>
      <c r="C8" s="142"/>
      <c r="D8" s="2"/>
      <c r="E8" s="2"/>
      <c r="F8" s="2"/>
      <c r="H8" s="202" t="str">
        <f>+'Data Entry'!B49&amp; " - in ("&amp;'Data Entry'!D26&amp;")         "&amp;+I3&amp;" "&amp;+K3</f>
        <v>F3: Disbursements and expenditures - in ($)         Report Period: P7</v>
      </c>
      <c r="I8" s="3"/>
      <c r="J8" s="3"/>
      <c r="K8" s="3"/>
    </row>
    <row r="9" spans="2:15">
      <c r="B9" s="353" t="s">
        <v>9</v>
      </c>
      <c r="C9" s="788"/>
      <c r="D9" s="770"/>
      <c r="E9" s="770"/>
      <c r="F9" s="771"/>
      <c r="H9" s="354" t="s">
        <v>9</v>
      </c>
      <c r="I9" s="769"/>
      <c r="J9" s="770"/>
      <c r="K9" s="77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3" t="str">
        <f>+'Data Entry'!B36&amp; " - in ("&amp;'Data Entry'!D26&amp;")  "&amp;+I3&amp;" "&amp;+K3</f>
        <v>F2: Budget and actual expenditures by Grant Objective - in ($)  Report Period: P7</v>
      </c>
      <c r="C22" s="2"/>
      <c r="D22" s="2"/>
      <c r="E22" s="2"/>
      <c r="F22" s="2"/>
      <c r="H22" s="203" t="str">
        <f>+'Data Entry'!B58&amp;"      "&amp;+I3&amp;" "&amp;+K3</f>
        <v>F4: Latest PR reporting and disbursement cycle      Report Period: P7</v>
      </c>
      <c r="J22" s="3"/>
      <c r="K22" s="3"/>
    </row>
    <row r="23" spans="1:11">
      <c r="B23" s="354" t="s">
        <v>10</v>
      </c>
      <c r="C23" s="769"/>
      <c r="D23" s="770"/>
      <c r="E23" s="770"/>
      <c r="F23" s="771"/>
      <c r="G23" s="374"/>
      <c r="H23" s="354" t="s">
        <v>9</v>
      </c>
      <c r="I23" s="769"/>
      <c r="J23" s="789"/>
      <c r="K23" s="790"/>
    </row>
    <row r="24" spans="1:11" ht="15.75" thickBot="1">
      <c r="B24" s="212"/>
      <c r="C24" s="212"/>
      <c r="D24" s="212"/>
      <c r="E24" s="212"/>
      <c r="F24" s="212"/>
      <c r="G24" s="212"/>
      <c r="H24" s="213"/>
      <c r="I24" s="213"/>
      <c r="J24" s="212"/>
      <c r="K24" s="212"/>
    </row>
    <row r="25" spans="1:11" ht="29.25" customHeight="1" thickBot="1">
      <c r="B25" s="3"/>
      <c r="C25" s="3"/>
      <c r="D25" s="3"/>
      <c r="E25" s="3"/>
      <c r="F25" s="3"/>
      <c r="G25" s="327"/>
      <c r="H25" s="783" t="s">
        <v>308</v>
      </c>
      <c r="I25" s="784"/>
      <c r="J25" s="784"/>
      <c r="K25" s="785"/>
    </row>
    <row r="26" spans="1:11" ht="24.75">
      <c r="B26" s="3"/>
      <c r="C26" s="3"/>
      <c r="D26" s="3"/>
      <c r="E26" s="3"/>
      <c r="F26" s="3"/>
      <c r="G26" s="289"/>
      <c r="H26" s="786"/>
      <c r="I26" s="787"/>
      <c r="J26" s="305" t="s">
        <v>60</v>
      </c>
      <c r="K26" s="306" t="s">
        <v>61</v>
      </c>
    </row>
    <row r="27" spans="1:11" ht="23.25" customHeight="1">
      <c r="B27" s="3"/>
      <c r="C27" s="3"/>
      <c r="D27" s="3"/>
      <c r="E27" s="3"/>
      <c r="F27" s="3"/>
      <c r="G27" s="328"/>
      <c r="H27" s="772" t="str">
        <f>'Data Entry'!B62</f>
        <v>Days taken to submit final PU/DR to LFA</v>
      </c>
      <c r="I27" s="773"/>
      <c r="J27" s="307">
        <f>+'Data Entry'!C62</f>
        <v>95</v>
      </c>
      <c r="K27" s="304" t="str">
        <f>+'Data Entry'!D62</f>
        <v>N/A</v>
      </c>
    </row>
    <row r="28" spans="1:11" ht="21" customHeight="1">
      <c r="B28" s="3"/>
      <c r="C28" s="3"/>
      <c r="D28" s="3"/>
      <c r="E28" s="3"/>
      <c r="F28" s="3"/>
      <c r="G28" s="328"/>
      <c r="H28" s="772" t="str">
        <f>'Data Entry'!B63</f>
        <v>Days taken for disbursement to reach PR</v>
      </c>
      <c r="I28" s="773"/>
      <c r="J28" s="307">
        <f>+'Data Entry'!C63</f>
        <v>45</v>
      </c>
      <c r="K28" s="304" t="str">
        <f>+'Data Entry'!D63</f>
        <v>N/A</v>
      </c>
    </row>
    <row r="29" spans="1:11" ht="21" customHeight="1" thickBot="1">
      <c r="B29" s="3"/>
      <c r="C29" s="3"/>
      <c r="D29" s="3"/>
      <c r="E29" s="3"/>
      <c r="F29" s="3"/>
      <c r="G29" s="328"/>
      <c r="H29" s="774" t="str">
        <f>'Data Entry'!B64</f>
        <v xml:space="preserve">Days taken for disbursement to reach SRs </v>
      </c>
      <c r="I29" s="775"/>
      <c r="J29" s="308">
        <f>+'Data Entry'!C64</f>
        <v>5</v>
      </c>
      <c r="K29" s="309">
        <f>+'Data Entry'!D64</f>
        <v>3</v>
      </c>
    </row>
    <row r="30" spans="1:11">
      <c r="B30" s="3"/>
      <c r="C30" s="3"/>
      <c r="D30" s="3"/>
      <c r="E30" s="3"/>
      <c r="F30" s="3"/>
      <c r="G30" s="3"/>
      <c r="H30" s="3"/>
      <c r="I30" s="3"/>
      <c r="J30" s="3"/>
      <c r="K30" s="3"/>
    </row>
    <row r="31" spans="1:11">
      <c r="B31" s="3"/>
      <c r="C31" s="15"/>
      <c r="D31" s="234"/>
      <c r="E31" s="3"/>
      <c r="F31" s="3"/>
      <c r="G31" s="3"/>
      <c r="H31" s="3"/>
      <c r="I31" s="3"/>
      <c r="J31" s="3"/>
      <c r="K31" s="3"/>
    </row>
    <row r="32" spans="1:11">
      <c r="B32" s="3"/>
      <c r="C32" s="15"/>
      <c r="D32" s="234"/>
      <c r="E32" s="3"/>
      <c r="F32" s="3"/>
      <c r="G32" s="3"/>
      <c r="H32" s="3"/>
      <c r="I32" s="3"/>
      <c r="J32" s="3"/>
      <c r="K32" s="3"/>
    </row>
    <row r="34" spans="5:5">
      <c r="E34" s="19"/>
    </row>
  </sheetData>
  <sheetProtection password="CFC9" sheet="1"/>
  <mergeCells count="18">
    <mergeCell ref="I23:K23"/>
    <mergeCell ref="C23:F23"/>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s>
  <phoneticPr fontId="30" type="noConversion"/>
  <conditionalFormatting sqref="K27:K29">
    <cfRule type="cellIs" dxfId="26" priority="4" stopIfTrue="1" operator="greaterThan">
      <formula>#REF!</formula>
    </cfRule>
    <cfRule type="cellIs" dxfId="25" priority="5" stopIfTrue="1" operator="between">
      <formula>#REF!</formula>
      <formula>1</formula>
    </cfRule>
    <cfRule type="cellIs" dxfId="24" priority="6" stopIfTrue="1" operator="equal">
      <formula>0</formula>
    </cfRule>
  </conditionalFormatting>
  <conditionalFormatting sqref="C4:D4">
    <cfRule type="cellIs" dxfId="23" priority="1" stopIfTrue="1" operator="equal">
      <formula>"C"</formula>
    </cfRule>
    <cfRule type="cellIs" dxfId="22" priority="2" stopIfTrue="1" operator="equal">
      <formula>"B2"</formula>
    </cfRule>
    <cfRule type="cellIs" dxfId="21"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headerFooter>
    <oddFooter>&amp;L&amp;F&amp;C&amp;A&amp;RV1.0          &amp;D</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opLeftCell="A19" zoomScale="130" zoomScaleNormal="130" zoomScalePageLayoutView="130" workbookViewId="0">
      <selection activeCell="L32" sqref="L32"/>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13.42578125" customWidth="1"/>
    <col min="9" max="9" width="23.42578125" customWidth="1"/>
    <col min="10" max="10" width="13.7109375" customWidth="1"/>
    <col min="11" max="11" width="13.42578125" customWidth="1"/>
    <col min="12" max="12" width="14.140625" customWidth="1"/>
    <col min="13" max="13" width="37.7109375" customWidth="1"/>
  </cols>
  <sheetData>
    <row r="1" spans="1:16" ht="28.5" customHeight="1">
      <c r="C1" s="230"/>
      <c r="E1" s="231"/>
    </row>
    <row r="2" spans="1:16" ht="27.75" customHeight="1">
      <c r="B2" s="801" t="str">
        <f>+"Dashboard:  "&amp;"  "&amp;IF(+'Data Entry'!C4="Please Select","",'Data Entry'!C4&amp;" - ")&amp;IF('Data Entry'!G6="Please Select","",'Data Entry'!G6)</f>
        <v>Dashboard:    Georgia - HIV / AIDS</v>
      </c>
      <c r="C2" s="801"/>
      <c r="D2" s="801"/>
      <c r="E2" s="801"/>
      <c r="F2" s="801"/>
      <c r="G2" s="801"/>
      <c r="H2" s="801"/>
      <c r="I2" s="801"/>
      <c r="J2" s="801"/>
      <c r="K2" s="801"/>
      <c r="L2" s="801"/>
      <c r="M2" s="26"/>
      <c r="N2" s="26"/>
      <c r="O2" s="26"/>
      <c r="P2" s="26"/>
    </row>
    <row r="3" spans="1:16">
      <c r="B3" s="24" t="str">
        <f>+IF('Data Entry'!G8="Please Select","",'Data Entry'!G8)</f>
        <v>NFM</v>
      </c>
      <c r="C3" s="800" t="str">
        <f>+IF('Data Entry'!I8="Please Select","",'Data Entry'!I8)</f>
        <v>N/A</v>
      </c>
      <c r="D3" s="800"/>
      <c r="E3" s="798"/>
      <c r="F3" s="798"/>
      <c r="G3" s="798"/>
      <c r="H3" s="798"/>
      <c r="I3" s="798"/>
      <c r="J3" s="794" t="str">
        <f>+'Data Entry'!B16</f>
        <v>Report Period:</v>
      </c>
      <c r="K3" s="794"/>
      <c r="L3" s="197" t="str">
        <f>+'Data Entry'!C16</f>
        <v>P7</v>
      </c>
    </row>
    <row r="4" spans="1:16">
      <c r="B4" s="24" t="str">
        <f>+'Data Entry'!B12</f>
        <v>Latest Rating:</v>
      </c>
      <c r="C4" s="781" t="str">
        <f>+IF('Data Entry'!C12="Please Select","",'Data Entry'!C12)</f>
        <v>A2</v>
      </c>
      <c r="D4" s="781"/>
      <c r="E4" s="798" t="str">
        <f>+'Data Entry'!C8</f>
        <v>NCDC</v>
      </c>
      <c r="F4" s="798"/>
      <c r="G4" s="798"/>
      <c r="H4" s="798"/>
      <c r="I4" s="798"/>
      <c r="J4" s="794" t="str">
        <f>+'Data Entry'!D16</f>
        <v>From:</v>
      </c>
      <c r="K4" s="795"/>
      <c r="L4" s="199">
        <f>+IF(ISBLANK('Data Entry'!E16),"",'Data Entry'!E16)</f>
        <v>43101</v>
      </c>
    </row>
    <row r="5" spans="1:16" ht="18.75" customHeight="1">
      <c r="B5" s="24"/>
      <c r="C5" s="24"/>
      <c r="D5" s="798" t="str">
        <f>+'Data Entry'!G4</f>
        <v xml:space="preserve">Sustaining and Scaling up the Effective HIV/AIDS Prevention, Treatment and Care in Georgia </v>
      </c>
      <c r="E5" s="798"/>
      <c r="F5" s="798"/>
      <c r="G5" s="798"/>
      <c r="H5" s="798"/>
      <c r="I5" s="798"/>
      <c r="J5" s="798"/>
      <c r="K5" s="24" t="str">
        <f>+'Data Entry'!F16</f>
        <v>To:</v>
      </c>
      <c r="L5" s="199">
        <f>+IF(ISBLANK('Data Entry'!G16),"",'Data Entry'!G16)</f>
        <v>43190</v>
      </c>
    </row>
    <row r="6" spans="1:16" ht="18.75">
      <c r="B6" s="23"/>
      <c r="C6" s="24"/>
      <c r="D6" s="25"/>
      <c r="E6" s="802" t="s">
        <v>69</v>
      </c>
      <c r="F6" s="802"/>
      <c r="G6" s="802"/>
      <c r="H6" s="802"/>
      <c r="I6" s="802"/>
    </row>
    <row r="7" spans="1:16">
      <c r="B7" s="375" t="str">
        <f>+'Data Entry'!B69&amp;"                "&amp;+J3&amp;" "&amp;+L3</f>
        <v>M1: Status of Conditions Precedent (CPs) and Time Bound Actions (TBAs)                Report Period: P7</v>
      </c>
      <c r="C7" s="21"/>
      <c r="H7" s="375" t="str">
        <f>+'Data Entry'!B76&amp;"                                                                             "&amp;+J3&amp;"  "&amp;+L3</f>
        <v>M2: Status of key PR management positions                                                                             Report Period:  P7</v>
      </c>
    </row>
    <row r="8" spans="1:16">
      <c r="B8" s="355" t="s">
        <v>9</v>
      </c>
      <c r="C8" s="769"/>
      <c r="D8" s="789"/>
      <c r="E8" s="789"/>
      <c r="F8" s="790"/>
      <c r="G8" s="376"/>
      <c r="H8" s="354" t="s">
        <v>9</v>
      </c>
      <c r="I8" s="769"/>
      <c r="J8" s="796"/>
      <c r="K8" s="796"/>
      <c r="L8" s="797"/>
    </row>
    <row r="9" spans="1:16">
      <c r="B9" s="19"/>
      <c r="C9" s="19"/>
      <c r="D9" s="19"/>
      <c r="E9" s="19"/>
      <c r="F9" s="19"/>
      <c r="G9" s="19"/>
      <c r="H9" s="19"/>
    </row>
    <row r="10" spans="1:16">
      <c r="A10" s="47"/>
      <c r="B10" s="19"/>
      <c r="C10" s="19"/>
      <c r="D10" s="799"/>
      <c r="E10" s="592"/>
      <c r="F10" s="592"/>
      <c r="G10" s="206"/>
      <c r="H10" s="19"/>
      <c r="N10" s="49"/>
      <c r="O10" s="49"/>
      <c r="P10" s="48"/>
    </row>
    <row r="11" spans="1:16">
      <c r="B11" s="19"/>
      <c r="C11" s="28"/>
      <c r="D11" s="799"/>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5" t="str">
        <f>+'Data Entry'!B81&amp;"                                                                                                  "&amp;+J3&amp;" "&amp;+L3</f>
        <v>M3: Contractual arrangements (SRs)                                                                                                   Report Period: P7</v>
      </c>
      <c r="H15" s="375" t="str">
        <f>+'Data Entry'!B86&amp;"                                                             "&amp;+J3&amp;" "&amp;+L3</f>
        <v>M4: Number of complete reports received on time                                                             Report Period: P7</v>
      </c>
    </row>
    <row r="16" spans="1:16">
      <c r="B16" s="355" t="s">
        <v>9</v>
      </c>
      <c r="C16" s="769"/>
      <c r="D16" s="796"/>
      <c r="E16" s="796"/>
      <c r="F16" s="797"/>
      <c r="G16" s="376"/>
      <c r="H16" s="354" t="s">
        <v>9</v>
      </c>
      <c r="I16" s="769"/>
      <c r="J16" s="789"/>
      <c r="K16" s="789"/>
      <c r="L16" s="790"/>
    </row>
    <row r="17" spans="2:13">
      <c r="B17" s="29"/>
      <c r="H17" s="30"/>
    </row>
    <row r="18" spans="2:13">
      <c r="M18" s="83"/>
    </row>
    <row r="26" spans="2:13">
      <c r="B26" s="375" t="str">
        <f>+'Data Entry'!B92</f>
        <v>M5: Budget and Procurement of health products, health equipment, medicines and pharmaceuticals</v>
      </c>
      <c r="H26" s="375" t="str">
        <f>+'Data Entry'!B105&amp;"                                                                "&amp;+J3&amp;"  "&amp;+L3</f>
        <v>M6: Difference between current and safety stock                                                                Report Period:  P7</v>
      </c>
    </row>
    <row r="27" spans="2:13">
      <c r="B27" s="353" t="s">
        <v>9</v>
      </c>
      <c r="C27" s="788"/>
      <c r="D27" s="796"/>
      <c r="E27" s="796"/>
      <c r="F27" s="797"/>
      <c r="G27" s="376"/>
      <c r="H27" s="354" t="s">
        <v>9</v>
      </c>
      <c r="I27" s="769"/>
      <c r="J27" s="789"/>
      <c r="K27" s="789"/>
      <c r="L27" s="790"/>
    </row>
    <row r="28" spans="2:13" ht="15.75" thickBot="1"/>
    <row r="29" spans="2:13" ht="55.5" customHeight="1">
      <c r="F29" s="334"/>
      <c r="G29" s="334"/>
      <c r="H29" s="218" t="s">
        <v>32</v>
      </c>
      <c r="I29" s="330" t="s">
        <v>79</v>
      </c>
      <c r="J29" s="351" t="s">
        <v>343</v>
      </c>
      <c r="K29" s="217" t="s">
        <v>331</v>
      </c>
      <c r="L29" s="331" t="s">
        <v>330</v>
      </c>
    </row>
    <row r="30" spans="2:13" ht="25.5" customHeight="1">
      <c r="F30" s="334"/>
      <c r="G30" s="334"/>
      <c r="H30" s="791" t="str">
        <f>+'Data Entry'!B108</f>
        <v>Please Select</v>
      </c>
      <c r="I30" s="332" t="str">
        <f>+'Data Entry'!C108</f>
        <v>Zidovudine/Lamivudine</v>
      </c>
      <c r="J30" s="497">
        <f>+'Data Entry'!I108</f>
        <v>9.3139377537212447</v>
      </c>
      <c r="K30" s="498">
        <f>+'Data Entry'!J108</f>
        <v>6</v>
      </c>
      <c r="L30" s="495">
        <f>J30-K30</f>
        <v>3.3139377537212447</v>
      </c>
      <c r="M30" s="494"/>
    </row>
    <row r="31" spans="2:13">
      <c r="F31" s="334"/>
      <c r="G31" s="334"/>
      <c r="H31" s="792"/>
      <c r="I31" s="332" t="str">
        <f>+'Data Entry'!C109</f>
        <v>Syringes (1ml)</v>
      </c>
      <c r="J31" s="497">
        <f>+'Data Entry'!I109</f>
        <v>4.061027027027027</v>
      </c>
      <c r="K31" s="498">
        <f>+'Data Entry'!J109</f>
        <v>3</v>
      </c>
      <c r="L31" s="529">
        <f t="shared" ref="L31:L33" si="0">J31-K31</f>
        <v>1.061027027027027</v>
      </c>
      <c r="M31" s="483" t="s">
        <v>466</v>
      </c>
    </row>
    <row r="32" spans="2:13">
      <c r="F32" s="334"/>
      <c r="G32" s="334"/>
      <c r="H32" s="792"/>
      <c r="I32" s="332" t="str">
        <f>+'Data Entry'!C110</f>
        <v>Condoms (Tanadgoma)</v>
      </c>
      <c r="J32" s="497">
        <f>+'Data Entry'!I110</f>
        <v>19.394526854747969</v>
      </c>
      <c r="K32" s="498">
        <f>+'Data Entry'!J110</f>
        <v>3</v>
      </c>
      <c r="L32" s="496">
        <f t="shared" si="0"/>
        <v>16.394526854747969</v>
      </c>
      <c r="M32" s="483"/>
    </row>
    <row r="33" spans="2:13" ht="15.75" hidden="1" thickBot="1">
      <c r="F33" s="334"/>
      <c r="G33" s="334"/>
      <c r="H33" s="793"/>
      <c r="I33" s="333" t="str">
        <f>+'Data Entry'!C111</f>
        <v>Condoms (EM)</v>
      </c>
      <c r="J33" s="499">
        <f>+'Data Entry'!I111</f>
        <v>0.90140845070422537</v>
      </c>
      <c r="K33" s="500">
        <f>+'Data Entry'!J111</f>
        <v>3</v>
      </c>
      <c r="L33" s="496">
        <f t="shared" si="0"/>
        <v>-2.0985915492957745</v>
      </c>
      <c r="M33" s="494"/>
    </row>
    <row r="34" spans="2:13" ht="24.75" customHeight="1">
      <c r="B34" s="803" t="str">
        <f>+'Data Entry'!B102</f>
        <v>* Includes only EFR category 4 and 5  (Health products and health equipment &amp; Medicines and Pharmaceuticals)</v>
      </c>
      <c r="C34" s="803"/>
      <c r="D34" s="803"/>
      <c r="E34" s="803"/>
      <c r="F34" s="19"/>
      <c r="G34" s="19"/>
      <c r="H34" s="214"/>
      <c r="I34" s="215"/>
      <c r="J34" s="216"/>
      <c r="K34" s="206"/>
      <c r="L34" s="20"/>
    </row>
    <row r="35" spans="2:13">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0" priority="1" stopIfTrue="1" operator="greaterThan">
      <formula>0</formula>
    </cfRule>
  </conditionalFormatting>
  <conditionalFormatting sqref="E12:E13">
    <cfRule type="cellIs" dxfId="19" priority="2" stopIfTrue="1" operator="greaterThan">
      <formula>0</formula>
    </cfRule>
  </conditionalFormatting>
  <conditionalFormatting sqref="F12:G13">
    <cfRule type="cellIs" dxfId="18" priority="3" stopIfTrue="1" operator="greaterThan">
      <formula>0</formula>
    </cfRule>
  </conditionalFormatting>
  <conditionalFormatting sqref="C4:D4">
    <cfRule type="cellIs" dxfId="17" priority="4" stopIfTrue="1" operator="equal">
      <formula>"C"</formula>
    </cfRule>
    <cfRule type="cellIs" dxfId="16" priority="5" stopIfTrue="1" operator="equal">
      <formula>"B2"</formula>
    </cfRule>
    <cfRule type="cellIs" dxfId="15" priority="6" stopIfTrue="1" operator="equal">
      <formula>"B1"</formula>
    </cfRule>
  </conditionalFormatting>
  <conditionalFormatting sqref="L30:L33">
    <cfRule type="cellIs" dxfId="14" priority="13" stopIfTrue="1" operator="lessThan">
      <formula>1</formula>
    </cfRule>
    <cfRule type="cellIs" dxfId="13" priority="14" stopIfTrue="1" operator="between">
      <formula>3</formula>
      <formula>17</formula>
    </cfRule>
    <cfRule type="cellIs" dxfId="12" priority="15"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24" workbookViewId="0">
      <selection activeCell="F24" sqref="F24"/>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42578125" customWidth="1"/>
    <col min="15" max="15" width="8.140625" customWidth="1"/>
    <col min="16" max="16" width="10.7109375" customWidth="1"/>
    <col min="17" max="17" width="11.7109375" customWidth="1"/>
    <col min="18" max="18" width="6.42578125" customWidth="1"/>
  </cols>
  <sheetData>
    <row r="1" spans="1:35" ht="26.25" customHeight="1">
      <c r="A1" s="3"/>
      <c r="B1" s="3"/>
      <c r="C1" s="3"/>
      <c r="D1" s="3"/>
      <c r="E1" s="3"/>
      <c r="F1" s="3"/>
      <c r="G1" s="3"/>
      <c r="H1" s="3"/>
      <c r="I1" s="3"/>
      <c r="J1" s="3"/>
      <c r="K1" s="3"/>
      <c r="L1" s="3"/>
      <c r="M1" s="3"/>
      <c r="N1" s="3"/>
      <c r="O1" s="3"/>
      <c r="P1" s="3"/>
    </row>
    <row r="2" spans="1:35" ht="21.75" customHeight="1">
      <c r="A2" s="3"/>
      <c r="B2" s="845" t="str">
        <f>+"Dashboard:  "&amp;"  "&amp;IF(+'Data Entry'!C4="Please Select","",'Data Entry'!C4&amp;" - ")&amp;IF('Data Entry'!G6="Please Select","",'Data Entry'!G6)</f>
        <v>Dashboard:    Georgia - HIV / AIDS</v>
      </c>
      <c r="C2" s="845"/>
      <c r="D2" s="845"/>
      <c r="E2" s="845"/>
      <c r="F2" s="845"/>
      <c r="G2" s="845"/>
      <c r="H2" s="845"/>
      <c r="I2" s="845"/>
      <c r="J2" s="845"/>
      <c r="K2" s="845"/>
      <c r="L2" s="845"/>
      <c r="M2" s="845"/>
      <c r="N2" s="845"/>
      <c r="O2" s="845"/>
      <c r="P2" s="845"/>
      <c r="Q2" s="845"/>
    </row>
    <row r="3" spans="1:35" ht="18.75">
      <c r="A3" s="3"/>
      <c r="B3" s="132" t="str">
        <f>+IF('Data Entry'!G8="Please Select","",'Data Entry'!G8)</f>
        <v>NFM</v>
      </c>
      <c r="C3" s="780" t="str">
        <f>+IF('Data Entry'!I8="Please Select","",'Data Entry'!I8)</f>
        <v>N/A</v>
      </c>
      <c r="D3" s="780"/>
      <c r="E3" s="779"/>
      <c r="F3" s="779"/>
      <c r="G3" s="779"/>
      <c r="H3" s="779"/>
      <c r="I3" s="847"/>
      <c r="J3" s="847"/>
      <c r="K3" s="847"/>
      <c r="L3" s="3"/>
      <c r="M3" s="3"/>
      <c r="O3" s="777" t="str">
        <f>+'Data Entry'!B16</f>
        <v>Report Period:</v>
      </c>
      <c r="P3" s="777"/>
      <c r="Q3" s="198" t="str">
        <f>+'Data Entry'!C16</f>
        <v>P7</v>
      </c>
    </row>
    <row r="4" spans="1:35" ht="12" customHeight="1">
      <c r="A4" s="3"/>
      <c r="B4" s="132" t="str">
        <f>+'Data Entry'!B12</f>
        <v>Latest Rating:</v>
      </c>
      <c r="C4" s="848" t="str">
        <f>+IF('Data Entry'!C12="Please Select","",'Data Entry'!C12)</f>
        <v>A2</v>
      </c>
      <c r="D4" s="848"/>
      <c r="E4" s="779" t="str">
        <f>+'Data Entry'!C8</f>
        <v>NCDC</v>
      </c>
      <c r="F4" s="779"/>
      <c r="G4" s="779"/>
      <c r="H4" s="779"/>
      <c r="I4" s="779"/>
      <c r="J4" s="779"/>
      <c r="K4" s="779"/>
      <c r="L4" s="779"/>
      <c r="M4" s="3"/>
      <c r="O4" s="336"/>
      <c r="P4" s="132" t="str">
        <f>+'Data Entry'!D16</f>
        <v>From:</v>
      </c>
      <c r="Q4" s="337">
        <f>+IF(ISBLANK('Data Entry'!E16),"",'Data Entry'!E16)</f>
        <v>43101</v>
      </c>
      <c r="Y4" s="71"/>
      <c r="Z4" s="71"/>
      <c r="AA4" s="71"/>
      <c r="AB4" s="71"/>
      <c r="AC4" s="71"/>
    </row>
    <row r="5" spans="1:35" ht="15.75" customHeight="1">
      <c r="A5" s="3"/>
      <c r="B5" s="132"/>
      <c r="C5" s="132"/>
      <c r="D5" s="779" t="str">
        <f>+'Data Entry'!G4</f>
        <v xml:space="preserve">Sustaining and Scaling up the Effective HIV/AIDS Prevention, Treatment and Care in Georgia </v>
      </c>
      <c r="E5" s="779"/>
      <c r="F5" s="779"/>
      <c r="G5" s="779"/>
      <c r="H5" s="779"/>
      <c r="I5" s="779"/>
      <c r="J5" s="779"/>
      <c r="K5" s="779"/>
      <c r="L5" s="779"/>
      <c r="M5" s="779"/>
      <c r="N5" s="779"/>
      <c r="P5" s="132" t="str">
        <f>+'Data Entry'!F16</f>
        <v>To:</v>
      </c>
      <c r="Q5" s="337">
        <f>+IF(ISBLANK('Data Entry'!G16),"",'Data Entry'!G16)</f>
        <v>43190</v>
      </c>
      <c r="S5" s="225"/>
      <c r="T5" s="225"/>
      <c r="U5" s="225"/>
      <c r="V5" s="225"/>
      <c r="W5" s="225"/>
      <c r="X5" s="225"/>
      <c r="Y5" s="71"/>
      <c r="Z5" s="71"/>
      <c r="AA5" s="71" t="s">
        <v>42</v>
      </c>
      <c r="AB5" s="71"/>
      <c r="AC5" s="71" t="s">
        <v>264</v>
      </c>
      <c r="AD5" s="225"/>
      <c r="AE5" s="225"/>
      <c r="AF5" s="225"/>
      <c r="AG5" s="225"/>
      <c r="AH5" s="225"/>
      <c r="AI5" s="225"/>
    </row>
    <row r="6" spans="1:35" ht="15.75" customHeight="1">
      <c r="A6" s="3"/>
      <c r="B6" s="132"/>
      <c r="C6" s="132"/>
      <c r="D6" s="223"/>
      <c r="E6" s="223"/>
      <c r="F6" s="846" t="s">
        <v>392</v>
      </c>
      <c r="G6" s="846"/>
      <c r="H6" s="846"/>
      <c r="I6" s="846"/>
      <c r="J6" s="846"/>
      <c r="K6" s="846"/>
      <c r="L6" s="223"/>
      <c r="M6" s="3"/>
      <c r="N6" s="3"/>
      <c r="O6" s="200"/>
      <c r="P6" s="258"/>
      <c r="S6" s="225"/>
      <c r="T6" s="225"/>
      <c r="U6" s="225"/>
      <c r="V6" s="225"/>
      <c r="W6" s="225"/>
      <c r="X6" s="225"/>
      <c r="Y6" s="71"/>
      <c r="Z6" s="71"/>
      <c r="AA6" s="71"/>
      <c r="AB6" s="71"/>
      <c r="AC6" s="71"/>
      <c r="AD6" s="225"/>
      <c r="AE6" s="225"/>
      <c r="AF6" s="225"/>
      <c r="AG6" s="225"/>
      <c r="AH6" s="225"/>
      <c r="AI6" s="225"/>
    </row>
    <row r="7" spans="1:35" ht="3" customHeight="1">
      <c r="A7" s="3"/>
      <c r="B7" s="132"/>
      <c r="C7" s="132"/>
      <c r="D7" s="223"/>
      <c r="E7" s="223"/>
      <c r="F7" s="223"/>
      <c r="G7" s="223"/>
      <c r="H7" s="223"/>
      <c r="I7" s="223"/>
      <c r="J7" s="223"/>
      <c r="K7" s="223"/>
      <c r="L7" s="223"/>
      <c r="M7" s="3"/>
      <c r="N7" s="3"/>
      <c r="O7" s="200"/>
      <c r="P7" s="199"/>
      <c r="Q7" s="199"/>
      <c r="S7" s="225"/>
      <c r="T7" s="225"/>
      <c r="U7" s="225"/>
      <c r="V7" s="225"/>
      <c r="W7" s="225"/>
      <c r="X7" s="225"/>
      <c r="Y7" s="71"/>
      <c r="Z7" s="71"/>
      <c r="AA7" s="71"/>
      <c r="AB7" s="71"/>
      <c r="AC7" s="71"/>
      <c r="AD7" s="225"/>
      <c r="AE7" s="225"/>
      <c r="AF7" s="225"/>
      <c r="AG7" s="225"/>
      <c r="AH7" s="225"/>
      <c r="AI7" s="225"/>
    </row>
    <row r="8" spans="1:35" ht="18.75" customHeight="1">
      <c r="A8" s="3"/>
      <c r="B8" s="808" t="str">
        <f>+'Data Entry'!B118</f>
        <v>Percentage of PWID that have received an HIV test during the reporting period and know their results</v>
      </c>
      <c r="C8" s="808"/>
      <c r="D8" s="808"/>
      <c r="E8" s="808"/>
      <c r="F8" s="808" t="str">
        <f>+'Data Entry'!B120</f>
        <v>Percentage of MSM reached with HIV prevention programs - defined package of services</v>
      </c>
      <c r="G8" s="808"/>
      <c r="H8" s="808"/>
      <c r="I8" s="808"/>
      <c r="J8" s="808"/>
      <c r="K8" s="808"/>
      <c r="L8" s="808" t="str">
        <f>+'Data Entry'!B122</f>
        <v xml:space="preserve">Percentage of people living with HIV currently receiving antiretroviral therapy </v>
      </c>
      <c r="M8" s="808"/>
      <c r="N8" s="808"/>
      <c r="O8" s="808"/>
      <c r="P8" s="808"/>
      <c r="Q8" s="808"/>
      <c r="S8" s="225"/>
      <c r="T8" s="225"/>
      <c r="U8" s="225"/>
      <c r="V8" s="225"/>
      <c r="W8" s="225"/>
      <c r="X8" s="225"/>
      <c r="Y8" s="71"/>
      <c r="Z8" s="71"/>
      <c r="AA8" s="71"/>
      <c r="AB8" s="71"/>
      <c r="AC8" s="71"/>
      <c r="AD8" s="225"/>
      <c r="AE8" s="225"/>
      <c r="AF8" s="225"/>
      <c r="AG8" s="225"/>
      <c r="AH8" s="225"/>
      <c r="AI8" s="225"/>
    </row>
    <row r="9" spans="1:35" ht="24" customHeight="1">
      <c r="A9" s="3"/>
      <c r="B9" s="441" t="s">
        <v>410</v>
      </c>
      <c r="C9" s="805"/>
      <c r="D9" s="809"/>
      <c r="E9" s="810"/>
      <c r="F9" s="441" t="s">
        <v>411</v>
      </c>
      <c r="G9" s="805"/>
      <c r="H9" s="811"/>
      <c r="I9" s="811"/>
      <c r="J9" s="811"/>
      <c r="K9" s="812"/>
      <c r="L9" s="441" t="s">
        <v>412</v>
      </c>
      <c r="M9" s="805"/>
      <c r="N9" s="806"/>
      <c r="O9" s="806"/>
      <c r="P9" s="806"/>
      <c r="Q9" s="807"/>
      <c r="S9" s="225"/>
      <c r="T9" s="225"/>
      <c r="U9" s="225"/>
      <c r="V9" s="225"/>
      <c r="W9" s="225"/>
      <c r="X9" s="225"/>
      <c r="Y9" s="225"/>
      <c r="Z9" s="225"/>
      <c r="AA9" s="225"/>
      <c r="AB9" s="225"/>
      <c r="AC9" s="225"/>
      <c r="AD9" s="225"/>
      <c r="AE9" s="225"/>
      <c r="AF9" s="225"/>
      <c r="AG9" s="225"/>
      <c r="AH9" s="225"/>
      <c r="AI9" s="225"/>
    </row>
    <row r="10" spans="1:35" ht="18.75" customHeight="1">
      <c r="A10" s="3"/>
      <c r="B10" s="132"/>
      <c r="C10" s="132"/>
      <c r="D10" s="223"/>
      <c r="E10" s="223"/>
      <c r="F10" s="223"/>
      <c r="G10" s="223"/>
      <c r="H10" s="223"/>
      <c r="I10" s="223"/>
      <c r="J10" s="223"/>
      <c r="K10" s="223"/>
      <c r="L10" s="223"/>
      <c r="M10" s="3"/>
      <c r="N10" s="3"/>
      <c r="O10" s="200"/>
      <c r="P10" s="199"/>
      <c r="S10" s="225"/>
      <c r="T10" s="225"/>
      <c r="U10" s="225"/>
      <c r="V10" s="225"/>
      <c r="W10" s="225"/>
      <c r="X10" s="225"/>
      <c r="Y10" s="225"/>
      <c r="Z10" s="225"/>
      <c r="AA10" s="225"/>
      <c r="AB10" s="225"/>
      <c r="AC10" s="225"/>
      <c r="AD10" s="225"/>
      <c r="AE10" s="225"/>
      <c r="AF10" s="225"/>
      <c r="AG10" s="225"/>
      <c r="AH10" s="225"/>
      <c r="AI10" s="225"/>
    </row>
    <row r="11" spans="1:35" ht="18.75" customHeight="1">
      <c r="A11" s="3"/>
      <c r="B11" s="132"/>
      <c r="C11" s="132"/>
      <c r="D11" s="223"/>
      <c r="E11" s="223"/>
      <c r="F11" s="223"/>
      <c r="G11" s="223"/>
      <c r="H11" s="223"/>
      <c r="I11" s="223"/>
      <c r="J11" s="223"/>
      <c r="K11" s="223"/>
      <c r="L11" s="223"/>
      <c r="M11" s="3"/>
      <c r="N11" s="3"/>
      <c r="O11" s="200"/>
      <c r="P11" s="199"/>
      <c r="S11" s="225"/>
      <c r="T11" s="225"/>
      <c r="U11" s="225"/>
      <c r="V11" s="225"/>
      <c r="W11" s="225"/>
      <c r="X11" s="225"/>
      <c r="Y11" s="225"/>
      <c r="Z11" s="225"/>
      <c r="AA11" s="225"/>
      <c r="AB11" s="225"/>
      <c r="AC11" s="225"/>
      <c r="AD11" s="225"/>
      <c r="AE11" s="225"/>
      <c r="AF11" s="225"/>
      <c r="AG11" s="225"/>
      <c r="AH11" s="225"/>
      <c r="AI11" s="225"/>
    </row>
    <row r="12" spans="1:35" ht="18.75" customHeight="1">
      <c r="A12" s="3"/>
      <c r="B12" s="132"/>
      <c r="C12" s="132"/>
      <c r="D12" s="223"/>
      <c r="E12" s="223"/>
      <c r="F12" s="223"/>
      <c r="G12" s="223"/>
      <c r="H12" s="223"/>
      <c r="I12" s="223"/>
      <c r="J12" s="223"/>
      <c r="K12" s="223"/>
      <c r="L12" s="223"/>
      <c r="M12" s="3"/>
      <c r="N12" s="3"/>
      <c r="O12" s="200"/>
      <c r="P12" s="199"/>
      <c r="S12" s="225"/>
      <c r="T12" s="225"/>
      <c r="U12" s="225"/>
      <c r="V12" s="225"/>
      <c r="W12" s="225"/>
      <c r="X12" s="225"/>
      <c r="Y12" s="225"/>
      <c r="Z12" s="225"/>
      <c r="AA12" s="225"/>
      <c r="AB12" s="225"/>
      <c r="AC12" s="225"/>
      <c r="AD12" s="225"/>
      <c r="AE12" s="225"/>
      <c r="AF12" s="225"/>
      <c r="AG12" s="225"/>
      <c r="AH12" s="225"/>
      <c r="AI12" s="225"/>
    </row>
    <row r="13" spans="1:35" ht="18.75" customHeight="1">
      <c r="A13" s="3"/>
      <c r="B13" s="132"/>
      <c r="C13" s="132"/>
      <c r="D13" s="223"/>
      <c r="E13" s="223"/>
      <c r="F13" s="223"/>
      <c r="G13" s="223"/>
      <c r="H13" s="223"/>
      <c r="I13" s="223"/>
      <c r="J13" s="223"/>
      <c r="K13" s="223"/>
      <c r="L13" s="223"/>
      <c r="M13" s="3"/>
      <c r="N13" s="3"/>
      <c r="O13" s="200"/>
      <c r="P13" s="199"/>
      <c r="S13" s="225"/>
      <c r="T13" s="225"/>
      <c r="U13" s="225"/>
      <c r="V13" s="225"/>
      <c r="W13" s="225"/>
      <c r="X13" s="225"/>
      <c r="Y13" s="225"/>
      <c r="Z13" s="225"/>
      <c r="AA13" s="225"/>
      <c r="AB13" s="225"/>
      <c r="AC13" s="225"/>
      <c r="AD13" s="225"/>
      <c r="AE13" s="225"/>
      <c r="AF13" s="225"/>
      <c r="AG13" s="225"/>
      <c r="AH13" s="225"/>
      <c r="AI13" s="225"/>
    </row>
    <row r="14" spans="1:35" ht="18.75" customHeight="1">
      <c r="A14" s="3"/>
      <c r="B14" s="132"/>
      <c r="C14" s="132"/>
      <c r="D14" s="223"/>
      <c r="E14" s="223"/>
      <c r="F14" s="223"/>
      <c r="G14" s="223"/>
      <c r="H14" s="223"/>
      <c r="I14" s="223"/>
      <c r="J14" s="223"/>
      <c r="K14" s="223"/>
      <c r="L14" s="223"/>
      <c r="M14" s="3"/>
      <c r="N14" s="3"/>
      <c r="O14" s="200"/>
      <c r="P14" s="199"/>
      <c r="S14" s="225"/>
      <c r="T14" s="225"/>
      <c r="U14" s="225"/>
      <c r="V14" s="225"/>
      <c r="W14" s="225"/>
      <c r="X14" s="225"/>
      <c r="Y14" s="225"/>
      <c r="Z14" s="225"/>
      <c r="AA14" s="225"/>
      <c r="AB14" s="225"/>
      <c r="AC14" s="225"/>
      <c r="AD14" s="225"/>
      <c r="AE14" s="225"/>
      <c r="AF14" s="225"/>
      <c r="AG14" s="225"/>
      <c r="AH14" s="225"/>
      <c r="AI14" s="225"/>
    </row>
    <row r="15" spans="1:35" ht="18.75" customHeight="1">
      <c r="A15" s="3"/>
      <c r="B15" s="132"/>
      <c r="C15" s="132"/>
      <c r="D15" s="223"/>
      <c r="E15" s="223"/>
      <c r="F15" s="223"/>
      <c r="G15" s="223"/>
      <c r="H15" s="223"/>
      <c r="I15" s="223"/>
      <c r="J15" s="223"/>
      <c r="K15" s="223"/>
      <c r="L15" s="223"/>
      <c r="M15" s="3"/>
      <c r="N15" s="3"/>
      <c r="O15" s="200"/>
      <c r="P15" s="199"/>
      <c r="S15" s="225"/>
      <c r="T15" s="225"/>
      <c r="U15" s="225"/>
      <c r="V15" s="225"/>
      <c r="W15" s="225"/>
      <c r="X15" s="225"/>
      <c r="Y15" s="225"/>
      <c r="Z15" s="225"/>
      <c r="AA15" s="225"/>
      <c r="AB15" s="225"/>
      <c r="AC15" s="225"/>
      <c r="AD15" s="225"/>
      <c r="AE15" s="225"/>
      <c r="AF15" s="225"/>
      <c r="AG15" s="225"/>
      <c r="AH15" s="225"/>
      <c r="AI15" s="225"/>
    </row>
    <row r="16" spans="1:35" ht="18.75" customHeight="1">
      <c r="A16" s="3"/>
      <c r="B16" s="132"/>
      <c r="C16" s="132"/>
      <c r="D16" s="223"/>
      <c r="E16" s="223"/>
      <c r="F16" s="223"/>
      <c r="G16" s="223"/>
      <c r="H16" s="223"/>
      <c r="I16" s="223"/>
      <c r="J16" s="223"/>
      <c r="K16" s="223"/>
      <c r="L16" s="223"/>
      <c r="M16" s="3"/>
      <c r="N16" s="3"/>
      <c r="O16" s="200"/>
      <c r="P16" s="199"/>
      <c r="S16" s="225"/>
      <c r="T16" s="225"/>
      <c r="U16" s="225"/>
      <c r="V16" s="225"/>
      <c r="W16" s="225"/>
      <c r="X16" s="225"/>
      <c r="Y16" s="225"/>
      <c r="Z16" s="225"/>
      <c r="AA16" s="225"/>
      <c r="AB16" s="225"/>
      <c r="AC16" s="225"/>
      <c r="AD16" s="225"/>
      <c r="AE16" s="225"/>
      <c r="AF16" s="225"/>
      <c r="AG16" s="225"/>
      <c r="AH16" s="225"/>
      <c r="AI16" s="225"/>
    </row>
    <row r="17" spans="1:35" ht="17.25" customHeight="1">
      <c r="A17" s="3"/>
      <c r="B17" s="132"/>
      <c r="C17" s="132"/>
      <c r="D17" s="223"/>
      <c r="E17" s="223"/>
      <c r="F17" s="223"/>
      <c r="G17" s="223"/>
      <c r="H17" s="223"/>
      <c r="I17" s="223"/>
      <c r="J17" s="223"/>
      <c r="K17" s="223"/>
      <c r="L17" s="223"/>
      <c r="M17" s="3"/>
      <c r="N17" s="3"/>
      <c r="O17" s="200"/>
      <c r="P17" s="199"/>
      <c r="S17" s="225"/>
      <c r="T17" s="225"/>
      <c r="U17" s="225"/>
      <c r="V17" s="225"/>
      <c r="W17" s="225"/>
      <c r="X17" s="225"/>
      <c r="Y17" s="225"/>
      <c r="Z17" s="225"/>
      <c r="AA17" s="225"/>
      <c r="AB17" s="225"/>
      <c r="AC17" s="225"/>
      <c r="AD17" s="225"/>
      <c r="AE17" s="225"/>
      <c r="AF17" s="225"/>
      <c r="AG17" s="225"/>
      <c r="AH17" s="225"/>
      <c r="AI17" s="225"/>
    </row>
    <row r="18" spans="1:35" ht="6" customHeight="1">
      <c r="A18" s="3"/>
      <c r="B18" s="136"/>
      <c r="C18" s="132"/>
      <c r="D18" s="133"/>
      <c r="E18" s="818"/>
      <c r="F18" s="818"/>
      <c r="G18" s="818"/>
      <c r="H18" s="818"/>
      <c r="I18" s="818"/>
      <c r="J18" s="818"/>
      <c r="K18" s="818"/>
      <c r="L18" s="3"/>
      <c r="M18" s="3"/>
      <c r="N18" s="3"/>
      <c r="O18" s="3"/>
      <c r="P18" s="3"/>
      <c r="S18" s="225"/>
      <c r="T18" s="225"/>
      <c r="U18" s="225"/>
      <c r="V18" s="225"/>
      <c r="W18" s="225"/>
      <c r="X18" s="225"/>
      <c r="Y18" s="225"/>
      <c r="Z18" s="225"/>
      <c r="AA18" s="225"/>
      <c r="AB18" s="225"/>
      <c r="AC18" s="225"/>
      <c r="AD18" s="225"/>
      <c r="AE18" s="225"/>
      <c r="AF18" s="225"/>
      <c r="AG18" s="225"/>
      <c r="AH18" s="225"/>
      <c r="AI18" s="225"/>
    </row>
    <row r="19" spans="1:35" ht="24" customHeight="1">
      <c r="A19" s="3"/>
      <c r="B19" s="819" t="s">
        <v>88</v>
      </c>
      <c r="C19" s="819"/>
      <c r="D19" s="819"/>
      <c r="E19" s="143" t="s">
        <v>85</v>
      </c>
      <c r="F19" s="143" t="s">
        <v>89</v>
      </c>
      <c r="G19" s="814" t="s">
        <v>332</v>
      </c>
      <c r="H19" s="815"/>
      <c r="I19" s="816" t="s">
        <v>333</v>
      </c>
      <c r="J19" s="817"/>
      <c r="K19" s="335" t="s">
        <v>334</v>
      </c>
      <c r="L19" s="820" t="s">
        <v>92</v>
      </c>
      <c r="M19" s="821"/>
      <c r="N19" s="821"/>
      <c r="O19" s="821"/>
      <c r="P19" s="821"/>
      <c r="Q19" s="822"/>
      <c r="S19" s="65" t="s">
        <v>90</v>
      </c>
      <c r="T19" s="66">
        <v>0</v>
      </c>
      <c r="U19" s="67">
        <v>0.3</v>
      </c>
      <c r="V19" s="67">
        <v>0.6</v>
      </c>
      <c r="W19" s="67">
        <v>0.9</v>
      </c>
      <c r="X19" s="67">
        <v>1</v>
      </c>
      <c r="Y19" s="71"/>
      <c r="Z19" s="71"/>
      <c r="AA19" s="65" t="s">
        <v>90</v>
      </c>
      <c r="AB19" s="66">
        <v>0</v>
      </c>
      <c r="AC19" s="67">
        <v>0.2</v>
      </c>
      <c r="AD19" s="67">
        <v>0.4</v>
      </c>
      <c r="AE19" s="67">
        <v>0.6</v>
      </c>
      <c r="AF19" s="67">
        <v>0.8</v>
      </c>
      <c r="AG19" s="71"/>
      <c r="AH19" s="71"/>
      <c r="AI19" s="71"/>
    </row>
    <row r="20" spans="1:35" ht="76.5" customHeight="1">
      <c r="A20" s="3"/>
      <c r="B20" s="813" t="str">
        <f>+'Data Entry'!B118</f>
        <v>Percentage of PWID that have received an HIV test during the reporting period and know their results</v>
      </c>
      <c r="C20" s="813"/>
      <c r="D20" s="813"/>
      <c r="E20" s="466">
        <f ca="1">OFFSET('Data Entry'!$G$117,1,RIGHT('Data Entry'!$C$16,LEN('Data Entry'!$C$16)-1),1,1)</f>
        <v>7875</v>
      </c>
      <c r="F20" s="466">
        <f ca="1">OFFSET('Data Entry'!$G$117,2,RIGHT('Data Entry'!$C$16,LEN('Data Entry'!$C$16)-1),1,1)</f>
        <v>5762</v>
      </c>
      <c r="G20" s="836">
        <f t="shared" ref="G20:G27" ca="1" si="0">+IF(ISERROR(F20/E20),0,F20/E20)</f>
        <v>0.73168253968253971</v>
      </c>
      <c r="H20" s="837"/>
      <c r="I20" s="837"/>
      <c r="J20" s="837"/>
      <c r="K20" s="838"/>
      <c r="L20" s="825"/>
      <c r="M20" s="826"/>
      <c r="N20" s="826"/>
      <c r="O20" s="826"/>
      <c r="P20" s="826"/>
      <c r="Q20" s="827"/>
      <c r="S20" s="65" t="s">
        <v>91</v>
      </c>
      <c r="T20" s="68">
        <v>0.3</v>
      </c>
      <c r="U20" s="67">
        <v>0.6</v>
      </c>
      <c r="V20" s="67">
        <v>0.9</v>
      </c>
      <c r="W20" s="67">
        <v>1</v>
      </c>
      <c r="X20" s="67">
        <v>2</v>
      </c>
      <c r="Y20" s="71"/>
      <c r="Z20" s="71"/>
      <c r="AA20" s="65" t="s">
        <v>91</v>
      </c>
      <c r="AB20" s="68">
        <v>0.2</v>
      </c>
      <c r="AC20" s="67">
        <v>0.4</v>
      </c>
      <c r="AD20" s="67">
        <v>0.6</v>
      </c>
      <c r="AE20" s="67">
        <v>0.8</v>
      </c>
      <c r="AF20" s="67">
        <v>1</v>
      </c>
      <c r="AG20" s="71"/>
      <c r="AH20" s="71"/>
      <c r="AI20" s="71"/>
    </row>
    <row r="21" spans="1:35" ht="92.25" customHeight="1">
      <c r="A21" s="3"/>
      <c r="B21" s="813" t="str">
        <f>+'Data Entry'!B120</f>
        <v>Percentage of MSM reached with HIV prevention programs - defined package of services</v>
      </c>
      <c r="C21" s="813"/>
      <c r="D21" s="813"/>
      <c r="E21" s="466">
        <f ca="1">OFFSET('Data Entry'!$G$117,3,RIGHT('Data Entry'!$C$16,LEN('Data Entry'!$C$16)-1),1,1)</f>
        <v>2125</v>
      </c>
      <c r="F21" s="466">
        <f ca="1">OFFSET('Data Entry'!$G$117,4,RIGHT('Data Entry'!$C$16,LEN('Data Entry'!$C$16)-1),1,1)</f>
        <v>1857</v>
      </c>
      <c r="G21" s="836">
        <f t="shared" ca="1" si="0"/>
        <v>0.87388235294117644</v>
      </c>
      <c r="H21" s="837"/>
      <c r="I21" s="837"/>
      <c r="J21" s="837"/>
      <c r="K21" s="838"/>
      <c r="L21" s="825"/>
      <c r="M21" s="826"/>
      <c r="N21" s="826"/>
      <c r="O21" s="826"/>
      <c r="P21" s="826"/>
      <c r="Q21" s="827"/>
      <c r="S21" s="69"/>
      <c r="T21" s="70" t="str">
        <f>"de "&amp;T19&amp;" a "&amp;T20</f>
        <v>de 0 a 0.3</v>
      </c>
      <c r="U21" s="70" t="str">
        <f>"de "&amp;U19&amp;" a "&amp;U20</f>
        <v>de 0.3 a 0.6</v>
      </c>
      <c r="V21" s="70" t="str">
        <f>"de "&amp;V19&amp;" a "&amp;V20</f>
        <v>de 0.6 a 0.9</v>
      </c>
      <c r="W21" s="70"/>
      <c r="X21" s="70"/>
      <c r="Y21" s="71"/>
      <c r="Z21" s="71"/>
      <c r="AA21" s="69"/>
      <c r="AB21" s="70"/>
      <c r="AC21" s="70"/>
      <c r="AD21" s="70" t="str">
        <f>"de "&amp;AD19&amp;" a "&amp;AD20</f>
        <v>de 0.4 a 0.6</v>
      </c>
      <c r="AE21" s="70" t="str">
        <f>"de "&amp;AE19&amp;" a "&amp;AE20</f>
        <v>de 0.6 a 0.8</v>
      </c>
      <c r="AF21" s="70" t="str">
        <f>"de "&amp;AF19&amp;" a "&amp;AF20</f>
        <v>de 0.8 a 1</v>
      </c>
      <c r="AG21" s="71"/>
      <c r="AH21" s="71"/>
      <c r="AI21" s="71"/>
    </row>
    <row r="22" spans="1:35" ht="60.75" customHeight="1">
      <c r="A22" s="3"/>
      <c r="B22" s="813" t="str">
        <f>+'Data Entry'!B122</f>
        <v xml:space="preserve">Percentage of people living with HIV currently receiving antiretroviral therapy </v>
      </c>
      <c r="C22" s="813"/>
      <c r="D22" s="813"/>
      <c r="E22" s="466">
        <f ca="1">OFFSET('Data Entry'!$G$117,5,RIGHT('Data Entry'!$C$16,LEN('Data Entry'!$C$16)-1),1,1)</f>
        <v>5100</v>
      </c>
      <c r="F22" s="466">
        <f ca="1">OFFSET('Data Entry'!$G$117,6,RIGHT('Data Entry'!$C$16,LEN('Data Entry'!$C$16)-1),1,1)</f>
        <v>4260</v>
      </c>
      <c r="G22" s="836">
        <f t="shared" ca="1" si="0"/>
        <v>0.83529411764705885</v>
      </c>
      <c r="H22" s="837"/>
      <c r="I22" s="837"/>
      <c r="J22" s="837"/>
      <c r="K22" s="838"/>
      <c r="L22" s="825"/>
      <c r="M22" s="826"/>
      <c r="N22" s="826"/>
      <c r="O22" s="826"/>
      <c r="P22" s="826"/>
      <c r="Q22" s="827"/>
      <c r="S22" s="69"/>
      <c r="T22" s="67" t="e">
        <f t="shared" ref="T22:W33" si="1">IF($K20&gt;T$19,IF($K20&lt;=T$20,$K20,NA()),NA())</f>
        <v>#N/A</v>
      </c>
      <c r="U22" s="67" t="e">
        <f t="shared" si="1"/>
        <v>#N/A</v>
      </c>
      <c r="V22" s="67" t="e">
        <f t="shared" si="1"/>
        <v>#N/A</v>
      </c>
      <c r="W22" s="67"/>
      <c r="X22" s="67"/>
      <c r="Y22" s="71"/>
      <c r="Z22" s="196"/>
      <c r="AA22" s="67"/>
      <c r="AB22" s="67"/>
      <c r="AC22" s="67"/>
      <c r="AD22" s="67" t="e">
        <f t="shared" ref="AD22:AF24" si="2">IF($AA22&gt;AD$19,IF($AA22&lt;=AD$20,$AA22,NA()),NA())</f>
        <v>#N/A</v>
      </c>
      <c r="AE22" s="67" t="e">
        <f t="shared" si="2"/>
        <v>#N/A</v>
      </c>
      <c r="AF22" s="67" t="e">
        <f t="shared" si="2"/>
        <v>#N/A</v>
      </c>
      <c r="AG22" s="71"/>
      <c r="AH22" s="71"/>
      <c r="AI22" s="71"/>
    </row>
    <row r="23" spans="1:35" ht="72.75" customHeight="1">
      <c r="A23" s="3"/>
      <c r="B23" s="833" t="str">
        <f>+'Data Entry'!B124</f>
        <v>Percentage of PWID reached with HIV prevention programs - defined package of services</v>
      </c>
      <c r="C23" s="834"/>
      <c r="D23" s="835"/>
      <c r="E23" s="466">
        <f ca="1">OFFSET('Data Entry'!$G$117,7,RIGHT('Data Entry'!$C$16,LEN('Data Entry'!$C$16)-1),1,1)</f>
        <v>8793.75</v>
      </c>
      <c r="F23" s="466">
        <f ca="1">OFFSET('Data Entry'!$G$117,8,RIGHT('Data Entry'!$C$16,LEN('Data Entry'!$C$16)-1),1,1)</f>
        <v>14112</v>
      </c>
      <c r="G23" s="836">
        <f t="shared" ca="1" si="0"/>
        <v>1.604776119402985</v>
      </c>
      <c r="H23" s="837"/>
      <c r="I23" s="837"/>
      <c r="J23" s="837"/>
      <c r="K23" s="838"/>
      <c r="L23" s="829"/>
      <c r="M23" s="830"/>
      <c r="N23" s="830"/>
      <c r="O23" s="830"/>
      <c r="P23" s="830"/>
      <c r="Q23" s="831"/>
      <c r="S23" s="69"/>
      <c r="T23" s="67" t="e">
        <f t="shared" si="1"/>
        <v>#N/A</v>
      </c>
      <c r="U23" s="67" t="e">
        <f t="shared" si="1"/>
        <v>#N/A</v>
      </c>
      <c r="V23" s="67" t="e">
        <f t="shared" si="1"/>
        <v>#N/A</v>
      </c>
      <c r="W23" s="67"/>
      <c r="X23" s="67"/>
      <c r="Y23" s="71"/>
      <c r="Z23" s="196"/>
      <c r="AA23" s="67"/>
      <c r="AB23" s="67"/>
      <c r="AC23" s="67"/>
      <c r="AD23" s="67" t="e">
        <f t="shared" si="2"/>
        <v>#N/A</v>
      </c>
      <c r="AE23" s="67" t="e">
        <f t="shared" si="2"/>
        <v>#N/A</v>
      </c>
      <c r="AF23" s="67" t="e">
        <f t="shared" si="2"/>
        <v>#N/A</v>
      </c>
      <c r="AG23" s="71"/>
      <c r="AH23" s="71"/>
      <c r="AI23" s="71"/>
    </row>
    <row r="24" spans="1:35" ht="81.75" customHeight="1">
      <c r="A24" s="3"/>
      <c r="B24" s="813" t="str">
        <f>+'Data Entry'!B126</f>
        <v>Percentage of MSM that have received an HIV test during the reporting period and know their results</v>
      </c>
      <c r="C24" s="813"/>
      <c r="D24" s="813"/>
      <c r="E24" s="466">
        <f ca="1">OFFSET('Data Entry'!$G$117,9,RIGHT('Data Entry'!$C$16,LEN('Data Entry'!$C$16)-1),1,1)</f>
        <v>1700</v>
      </c>
      <c r="F24" s="466">
        <f ca="1">OFFSET('Data Entry'!$G$117,10,RIGHT('Data Entry'!$C$16,LEN('Data Entry'!$C$16)-1),1,1)</f>
        <v>925</v>
      </c>
      <c r="G24" s="839">
        <f t="shared" ca="1" si="0"/>
        <v>0.54411764705882348</v>
      </c>
      <c r="H24" s="840"/>
      <c r="I24" s="840"/>
      <c r="J24" s="840"/>
      <c r="K24" s="841"/>
      <c r="L24" s="825"/>
      <c r="M24" s="826"/>
      <c r="N24" s="826"/>
      <c r="O24" s="826"/>
      <c r="P24" s="826"/>
      <c r="Q24" s="827"/>
      <c r="S24" s="69"/>
      <c r="T24" s="67" t="e">
        <f t="shared" si="1"/>
        <v>#N/A</v>
      </c>
      <c r="U24" s="67" t="e">
        <f t="shared" si="1"/>
        <v>#N/A</v>
      </c>
      <c r="V24" s="67" t="e">
        <f t="shared" si="1"/>
        <v>#N/A</v>
      </c>
      <c r="W24" s="67"/>
      <c r="X24" s="67"/>
      <c r="Y24" s="71"/>
      <c r="Z24" s="196"/>
      <c r="AA24" s="67"/>
      <c r="AB24" s="67"/>
      <c r="AC24" s="67"/>
      <c r="AD24" s="67" t="e">
        <f t="shared" si="2"/>
        <v>#N/A</v>
      </c>
      <c r="AE24" s="67" t="e">
        <f t="shared" si="2"/>
        <v>#N/A</v>
      </c>
      <c r="AF24" s="67" t="e">
        <f t="shared" si="2"/>
        <v>#N/A</v>
      </c>
      <c r="AG24" s="71"/>
      <c r="AH24" s="71"/>
      <c r="AI24" s="71"/>
    </row>
    <row r="25" spans="1:35" ht="51" customHeight="1">
      <c r="A25" s="3"/>
      <c r="B25" s="813" t="str">
        <f>+'Data Entry'!B128</f>
        <v>Percentage of sex workers reached with HIV prevention programs - defined package of services</v>
      </c>
      <c r="C25" s="813"/>
      <c r="D25" s="813"/>
      <c r="E25" s="466">
        <f ca="1">OFFSET('Data Entry'!$G$117,11,RIGHT('Data Entry'!$C$16,LEN('Data Entry'!$C$16)-1),1,1)</f>
        <v>1076.5</v>
      </c>
      <c r="F25" s="466">
        <f ca="1">OFFSET('Data Entry'!$G$117,12,RIGHT('Data Entry'!$C$16,LEN('Data Entry'!$C$16)-1),1,1)</f>
        <v>1593</v>
      </c>
      <c r="G25" s="836">
        <f t="shared" ca="1" si="0"/>
        <v>1.479795633999071</v>
      </c>
      <c r="H25" s="837"/>
      <c r="I25" s="837"/>
      <c r="J25" s="837"/>
      <c r="K25" s="838"/>
      <c r="L25" s="825"/>
      <c r="M25" s="826"/>
      <c r="N25" s="826"/>
      <c r="O25" s="826"/>
      <c r="P25" s="826"/>
      <c r="Q25" s="827"/>
      <c r="S25" s="69"/>
      <c r="T25" s="67" t="e">
        <f t="shared" si="1"/>
        <v>#N/A</v>
      </c>
      <c r="U25" s="67" t="e">
        <f t="shared" si="1"/>
        <v>#N/A</v>
      </c>
      <c r="V25" s="67" t="e">
        <f t="shared" si="1"/>
        <v>#N/A</v>
      </c>
      <c r="W25" s="67"/>
      <c r="X25" s="67"/>
      <c r="Y25" s="71"/>
      <c r="Z25" s="71"/>
      <c r="AA25" s="71"/>
      <c r="AB25" s="71"/>
      <c r="AC25" s="71"/>
      <c r="AD25" s="71"/>
      <c r="AE25" s="71"/>
      <c r="AF25" s="71"/>
      <c r="AG25" s="71"/>
      <c r="AH25" s="71"/>
      <c r="AI25" s="71"/>
    </row>
    <row r="26" spans="1:35" ht="58.5" customHeight="1">
      <c r="A26" s="3"/>
      <c r="B26" s="813" t="str">
        <f>+'Data Entry'!B130</f>
        <v>Percentage of sex workers that have received an HIV test during the reporting period and know their results</v>
      </c>
      <c r="C26" s="813"/>
      <c r="D26" s="813"/>
      <c r="E26" s="466">
        <f ca="1">OFFSET('Data Entry'!$G$117,13,RIGHT('Data Entry'!$C$16,LEN('Data Entry'!$C$16)-1),1,1)</f>
        <v>897.25</v>
      </c>
      <c r="F26" s="466">
        <f ca="1">OFFSET('Data Entry'!$G$117,14,RIGHT('Data Entry'!$C$16,LEN('Data Entry'!$C$16)-1),1,1)</f>
        <v>681</v>
      </c>
      <c r="G26" s="836">
        <f t="shared" ca="1" si="0"/>
        <v>0.75898578991362498</v>
      </c>
      <c r="H26" s="837"/>
      <c r="I26" s="837"/>
      <c r="J26" s="837"/>
      <c r="K26" s="838"/>
      <c r="L26" s="825"/>
      <c r="M26" s="826"/>
      <c r="N26" s="826"/>
      <c r="O26" s="826"/>
      <c r="P26" s="826"/>
      <c r="Q26" s="827"/>
      <c r="S26" s="69"/>
      <c r="T26" s="67" t="e">
        <f t="shared" si="1"/>
        <v>#N/A</v>
      </c>
      <c r="U26" s="67" t="e">
        <f t="shared" si="1"/>
        <v>#N/A</v>
      </c>
      <c r="V26" s="67" t="e">
        <f t="shared" si="1"/>
        <v>#N/A</v>
      </c>
      <c r="W26" s="67" t="e">
        <f t="shared" si="1"/>
        <v>#N/A</v>
      </c>
      <c r="X26" s="67" t="e">
        <f t="shared" ref="X26:X33" si="3">IF($K24&gt;X$19,IF($K24&lt;=X$20,1,NA()),NA())</f>
        <v>#N/A</v>
      </c>
      <c r="Y26" s="71"/>
      <c r="Z26" s="71"/>
      <c r="AA26" s="71"/>
      <c r="AB26" s="71"/>
      <c r="AC26" s="71"/>
      <c r="AD26" s="71"/>
      <c r="AE26" s="71"/>
      <c r="AF26" s="71"/>
      <c r="AG26" s="71"/>
      <c r="AH26" s="71"/>
      <c r="AI26" s="71"/>
    </row>
    <row r="27" spans="1:35" ht="61.5" customHeight="1">
      <c r="A27" s="3"/>
      <c r="B27" s="813" t="str">
        <f>+'Data Entry'!B132</f>
        <v>Percentage of other vulnerable populations (prisoners) that have received an HIV test during the reporting period and know their results</v>
      </c>
      <c r="C27" s="813"/>
      <c r="D27" s="813"/>
      <c r="E27" s="466">
        <f ca="1">OFFSET('Data Entry'!$G$117,15,RIGHT('Data Entry'!$C$16,LEN('Data Entry'!$C$16)-1),1,1)</f>
        <v>1625</v>
      </c>
      <c r="F27" s="466">
        <f ca="1">OFFSET('Data Entry'!$G$117,16,RIGHT('Data Entry'!$C$16,LEN('Data Entry'!$C$16)-1),1,1)</f>
        <v>1605</v>
      </c>
      <c r="G27" s="836">
        <f t="shared" ca="1" si="0"/>
        <v>0.98769230769230765</v>
      </c>
      <c r="H27" s="837"/>
      <c r="I27" s="837"/>
      <c r="J27" s="837"/>
      <c r="K27" s="838"/>
      <c r="L27" s="825"/>
      <c r="M27" s="826"/>
      <c r="N27" s="826"/>
      <c r="O27" s="826"/>
      <c r="P27" s="826"/>
      <c r="Q27" s="827"/>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84.75" hidden="1" customHeight="1">
      <c r="A28" s="507"/>
      <c r="B28" s="844" t="s">
        <v>460</v>
      </c>
      <c r="C28" s="844"/>
      <c r="D28" s="844"/>
      <c r="E28" s="493"/>
      <c r="F28" s="493"/>
      <c r="G28" s="804" t="e">
        <f>F28/E28</f>
        <v>#DIV/0!</v>
      </c>
      <c r="H28" s="804"/>
      <c r="I28" s="804"/>
      <c r="J28" s="804"/>
      <c r="K28" s="804"/>
      <c r="L28" s="828"/>
      <c r="M28" s="828"/>
      <c r="N28" s="828"/>
      <c r="O28" s="828"/>
      <c r="P28" s="828"/>
      <c r="Q28" s="828"/>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9.5" customHeight="1">
      <c r="A29" s="3"/>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42"/>
      <c r="C31" s="842"/>
      <c r="D31" s="842"/>
      <c r="E31" s="843"/>
      <c r="F31" s="823"/>
      <c r="G31" s="824"/>
      <c r="H31" s="824"/>
      <c r="I31" s="824"/>
      <c r="J31" s="824"/>
      <c r="K31" s="843"/>
      <c r="L31" s="823"/>
      <c r="M31" s="824"/>
      <c r="N31" s="824"/>
      <c r="O31" s="824"/>
      <c r="P31" s="824"/>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6"/>
      <c r="C32" s="226"/>
      <c r="D32" s="226"/>
      <c r="E32" s="226"/>
      <c r="F32" s="226"/>
      <c r="G32" s="226"/>
      <c r="H32" s="227"/>
      <c r="I32" s="226"/>
      <c r="J32" s="226"/>
      <c r="K32" s="226"/>
      <c r="L32" s="226"/>
      <c r="M32" s="226"/>
      <c r="N32" s="226"/>
      <c r="O32" s="226"/>
      <c r="P32" s="226"/>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832"/>
      <c r="C33" s="832"/>
      <c r="D33" s="832"/>
      <c r="E33" s="832"/>
      <c r="F33" s="832"/>
      <c r="G33" s="832"/>
      <c r="H33" s="832"/>
      <c r="I33" s="832"/>
      <c r="J33" s="832"/>
      <c r="K33" s="832"/>
      <c r="L33" s="226"/>
      <c r="M33" s="226"/>
      <c r="N33" s="226"/>
      <c r="O33" s="226"/>
      <c r="P33" s="226"/>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832"/>
      <c r="C34" s="832"/>
      <c r="D34" s="832"/>
      <c r="E34" s="832"/>
      <c r="F34" s="832"/>
      <c r="G34" s="832"/>
      <c r="H34" s="832"/>
      <c r="I34" s="832"/>
      <c r="J34" s="832"/>
      <c r="K34" s="832"/>
      <c r="L34" s="226"/>
      <c r="M34" s="226"/>
      <c r="N34" s="226"/>
      <c r="O34" s="226"/>
      <c r="P34" s="226"/>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4"/>
      <c r="J36" s="145"/>
      <c r="K36" s="145"/>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6"/>
      <c r="J37" s="147"/>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48"/>
      <c r="J38" s="147"/>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6"/>
      <c r="J39" s="147"/>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2">
    <mergeCell ref="G20:K20"/>
    <mergeCell ref="G21:K21"/>
    <mergeCell ref="G22:K22"/>
    <mergeCell ref="B2:Q2"/>
    <mergeCell ref="O3:P3"/>
    <mergeCell ref="D5:N5"/>
    <mergeCell ref="L8:Q8"/>
    <mergeCell ref="F6:K6"/>
    <mergeCell ref="E3:K3"/>
    <mergeCell ref="C4:D4"/>
    <mergeCell ref="B33:D34"/>
    <mergeCell ref="E33:G34"/>
    <mergeCell ref="H33:K34"/>
    <mergeCell ref="B23:D23"/>
    <mergeCell ref="B24:D24"/>
    <mergeCell ref="B25:D25"/>
    <mergeCell ref="B26:D26"/>
    <mergeCell ref="G23:K23"/>
    <mergeCell ref="G24:K24"/>
    <mergeCell ref="G25:K25"/>
    <mergeCell ref="B31:E31"/>
    <mergeCell ref="F31:K31"/>
    <mergeCell ref="B27:D27"/>
    <mergeCell ref="B28:D28"/>
    <mergeCell ref="G26:K26"/>
    <mergeCell ref="G27:K27"/>
    <mergeCell ref="L31:P31"/>
    <mergeCell ref="L20:Q20"/>
    <mergeCell ref="L21:Q21"/>
    <mergeCell ref="L22:Q22"/>
    <mergeCell ref="L28:Q28"/>
    <mergeCell ref="L23:Q23"/>
    <mergeCell ref="L24:Q24"/>
    <mergeCell ref="L25:Q25"/>
    <mergeCell ref="L26:Q26"/>
    <mergeCell ref="L27:Q27"/>
    <mergeCell ref="G28:K28"/>
    <mergeCell ref="M9:Q9"/>
    <mergeCell ref="C3:D3"/>
    <mergeCell ref="E4:L4"/>
    <mergeCell ref="B8:E8"/>
    <mergeCell ref="F8:K8"/>
    <mergeCell ref="C9:E9"/>
    <mergeCell ref="G9:K9"/>
    <mergeCell ref="B22:D22"/>
    <mergeCell ref="G19:H19"/>
    <mergeCell ref="I19:J19"/>
    <mergeCell ref="E18:K18"/>
    <mergeCell ref="B19:D19"/>
    <mergeCell ref="B20:D20"/>
    <mergeCell ref="B21:D21"/>
    <mergeCell ref="L19:Q19"/>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8">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B27" zoomScale="130" zoomScaleNormal="130" zoomScalePageLayoutView="130" workbookViewId="0">
      <selection activeCell="D40" sqref="D40:G40"/>
    </sheetView>
  </sheetViews>
  <sheetFormatPr defaultColWidth="11.42578125" defaultRowHeight="11.25"/>
  <cols>
    <col min="1" max="1" width="1.140625" style="31" customWidth="1"/>
    <col min="2" max="2" width="19.28515625" style="31" customWidth="1"/>
    <col min="3" max="3" width="1.140625" style="31" customWidth="1"/>
    <col min="4" max="4" width="17.140625" style="31" customWidth="1"/>
    <col min="5" max="5" width="17.42578125" style="31" customWidth="1"/>
    <col min="6" max="6" width="9.7109375" style="31" customWidth="1"/>
    <col min="7" max="7" width="13" style="31" customWidth="1"/>
    <col min="8" max="8" width="4.28515625" style="31" customWidth="1"/>
    <col min="9" max="9" width="15.85546875" style="31" customWidth="1"/>
    <col min="10" max="10" width="3.42578125" style="31" customWidth="1"/>
    <col min="11" max="11" width="7.42578125" style="32" customWidth="1"/>
    <col min="12" max="12" width="14.28515625" style="31" customWidth="1"/>
    <col min="13" max="13" width="12" style="31" customWidth="1"/>
    <col min="14" max="14" width="5.42578125" style="31" customWidth="1"/>
    <col min="15" max="15" width="2.42578125" style="31" customWidth="1"/>
    <col min="16" max="16384" width="11.42578125" style="31"/>
  </cols>
  <sheetData>
    <row r="1" spans="1:15" ht="38.25" customHeight="1">
      <c r="A1" s="150"/>
      <c r="B1" s="150"/>
      <c r="C1" s="150"/>
      <c r="D1" s="150"/>
      <c r="E1" s="150"/>
      <c r="F1" s="150"/>
      <c r="G1" s="150"/>
      <c r="H1" s="150"/>
      <c r="I1" s="150"/>
      <c r="J1" s="150"/>
      <c r="K1" s="151"/>
      <c r="L1" s="150"/>
      <c r="M1" s="150"/>
      <c r="N1" s="150"/>
    </row>
    <row r="2" spans="1:15" customFormat="1" ht="27.75" customHeight="1">
      <c r="A2" s="3"/>
      <c r="B2" s="845" t="str">
        <f>+"Dashboard:  "&amp;"  "&amp;IF(+'Data Entry'!C4="Please Select","",'Data Entry'!C4&amp;" - ")&amp;IF('Data Entry'!G6="Please Select","",'Data Entry'!G6)</f>
        <v>Dashboard:    Georgia - HIV / AIDS</v>
      </c>
      <c r="C2" s="845"/>
      <c r="D2" s="845"/>
      <c r="E2" s="845"/>
      <c r="F2" s="845"/>
      <c r="G2" s="845"/>
      <c r="H2" s="845"/>
      <c r="I2" s="845"/>
      <c r="J2" s="845"/>
      <c r="K2" s="845"/>
      <c r="L2" s="845"/>
      <c r="M2" s="845"/>
      <c r="N2" s="845"/>
      <c r="O2" s="73"/>
    </row>
    <row r="3" spans="1:15" customFormat="1" ht="18.75">
      <c r="A3" s="3"/>
      <c r="B3" s="132" t="str">
        <f>+IF('Data Entry'!G8="Please Select","",'Data Entry'!G8)</f>
        <v>NFM</v>
      </c>
      <c r="C3" s="780" t="str">
        <f>+IF('Data Entry'!I8="Please Select","",'Data Entry'!I8)</f>
        <v>N/A</v>
      </c>
      <c r="D3" s="780"/>
      <c r="E3" s="847"/>
      <c r="F3" s="847"/>
      <c r="G3" s="847"/>
      <c r="H3" s="847"/>
      <c r="I3" s="847"/>
      <c r="J3" s="847"/>
      <c r="K3" s="847"/>
      <c r="L3" s="132" t="str">
        <f>+'Data Entry'!B16</f>
        <v>Report Period:</v>
      </c>
      <c r="M3" s="198" t="str">
        <f>+'Data Entry'!C16</f>
        <v>P7</v>
      </c>
      <c r="N3" s="198"/>
      <c r="O3" s="31"/>
    </row>
    <row r="4" spans="1:15" customFormat="1" ht="15">
      <c r="A4" s="3"/>
      <c r="B4" s="132" t="str">
        <f>+'Data Entry'!B12</f>
        <v>Latest Rating:</v>
      </c>
      <c r="C4" s="848" t="str">
        <f>+IF('Data Entry'!C12="Please Select","",'Data Entry'!C12)</f>
        <v>A2</v>
      </c>
      <c r="D4" s="848"/>
      <c r="E4" s="779" t="str">
        <f>+'Data Entry'!C8</f>
        <v>NCDC</v>
      </c>
      <c r="F4" s="779"/>
      <c r="G4" s="779"/>
      <c r="H4" s="779"/>
      <c r="I4" s="779"/>
      <c r="J4" s="779"/>
      <c r="K4" s="779"/>
      <c r="L4" s="132" t="str">
        <f>+'Data Entry'!D16</f>
        <v>From:</v>
      </c>
      <c r="M4" s="199">
        <f>+IF(ISBLANK('Data Entry'!E16),"",'Data Entry'!E16)</f>
        <v>43101</v>
      </c>
      <c r="N4" s="199"/>
      <c r="O4" s="31"/>
    </row>
    <row r="5" spans="1:15" customFormat="1" ht="18.75" customHeight="1">
      <c r="A5" s="3"/>
      <c r="B5" s="132"/>
      <c r="C5" s="132"/>
      <c r="D5" s="133"/>
      <c r="E5" s="779" t="str">
        <f>+'Data Entry'!G4</f>
        <v xml:space="preserve">Sustaining and Scaling up the Effective HIV/AIDS Prevention, Treatment and Care in Georgia </v>
      </c>
      <c r="F5" s="779"/>
      <c r="G5" s="779"/>
      <c r="H5" s="779"/>
      <c r="I5" s="779"/>
      <c r="J5" s="779"/>
      <c r="K5" s="779"/>
      <c r="L5" s="132" t="str">
        <f>+'Data Entry'!F16</f>
        <v>To:</v>
      </c>
      <c r="M5" s="199">
        <f>+IF(ISBLANK('Data Entry'!G16),"",'Data Entry'!G16)</f>
        <v>43190</v>
      </c>
      <c r="N5" s="199"/>
    </row>
    <row r="6" spans="1:15" customFormat="1" ht="22.5" customHeight="1">
      <c r="A6" s="3"/>
      <c r="B6" s="137"/>
      <c r="C6" s="138"/>
      <c r="D6" s="139"/>
      <c r="E6" s="884" t="s">
        <v>315</v>
      </c>
      <c r="F6" s="884"/>
      <c r="G6" s="884"/>
      <c r="H6" s="884"/>
      <c r="I6" s="884"/>
      <c r="J6" s="884"/>
      <c r="K6" s="884"/>
      <c r="L6" s="2"/>
      <c r="M6" s="2"/>
      <c r="N6" s="2"/>
    </row>
    <row r="7" spans="1:15" s="33" customFormat="1" ht="4.5" customHeight="1">
      <c r="A7" s="152"/>
      <c r="B7" s="153"/>
      <c r="C7" s="153"/>
      <c r="D7" s="153"/>
      <c r="E7" s="153"/>
      <c r="F7" s="153"/>
      <c r="G7" s="153"/>
      <c r="H7" s="153"/>
      <c r="I7" s="153"/>
      <c r="J7" s="153"/>
      <c r="K7" s="153"/>
      <c r="L7" s="154"/>
      <c r="M7" s="154"/>
      <c r="N7" s="155"/>
    </row>
    <row r="8" spans="1:15" s="33" customFormat="1" ht="21" customHeight="1" thickBot="1">
      <c r="A8" s="152"/>
      <c r="B8" s="880" t="s">
        <v>98</v>
      </c>
      <c r="C8" s="880"/>
      <c r="D8" s="880"/>
      <c r="E8" s="880"/>
      <c r="F8" s="880"/>
      <c r="G8" s="880"/>
      <c r="H8" s="880"/>
      <c r="I8" s="880"/>
      <c r="J8" s="880"/>
      <c r="K8" s="880"/>
      <c r="L8" s="880"/>
      <c r="M8" s="880"/>
      <c r="N8" s="880"/>
    </row>
    <row r="9" spans="1:15" s="33" customFormat="1" ht="3.75" customHeight="1" thickBot="1">
      <c r="A9" s="152"/>
      <c r="B9" s="153"/>
      <c r="C9" s="153"/>
      <c r="D9" s="153"/>
      <c r="E9" s="153"/>
      <c r="F9" s="153"/>
      <c r="G9" s="153"/>
      <c r="H9" s="153"/>
      <c r="I9" s="153"/>
      <c r="J9" s="153"/>
      <c r="K9" s="153"/>
      <c r="L9" s="154"/>
      <c r="M9" s="154"/>
      <c r="N9" s="155"/>
    </row>
    <row r="10" spans="1:15" s="34" customFormat="1" ht="25.5" customHeight="1" thickBot="1">
      <c r="A10" s="156"/>
      <c r="B10" s="852" t="s">
        <v>93</v>
      </c>
      <c r="C10" s="903"/>
      <c r="D10" s="894" t="s">
        <v>97</v>
      </c>
      <c r="E10" s="895"/>
      <c r="F10" s="895"/>
      <c r="G10" s="896"/>
      <c r="H10" s="159"/>
      <c r="I10" s="894" t="s">
        <v>315</v>
      </c>
      <c r="J10" s="895"/>
      <c r="K10" s="895"/>
      <c r="L10" s="895"/>
      <c r="M10" s="895"/>
      <c r="N10" s="896"/>
    </row>
    <row r="11" spans="1:15" s="34" customFormat="1" ht="28.5" customHeight="1">
      <c r="A11" s="156"/>
      <c r="B11" s="412" t="s">
        <v>101</v>
      </c>
      <c r="C11" s="176"/>
      <c r="D11" s="869" t="str">
        <f>IF(ISBLANK(Finance!C9),"",(Finance!C9))</f>
        <v/>
      </c>
      <c r="E11" s="869"/>
      <c r="F11" s="869"/>
      <c r="G11" s="870"/>
      <c r="H11" s="182"/>
      <c r="I11" s="885"/>
      <c r="J11" s="886"/>
      <c r="K11" s="886"/>
      <c r="L11" s="886"/>
      <c r="M11" s="886"/>
      <c r="N11" s="887"/>
    </row>
    <row r="12" spans="1:15" s="34" customFormat="1" ht="27.75" customHeight="1">
      <c r="A12" s="156"/>
      <c r="B12" s="413" t="s">
        <v>102</v>
      </c>
      <c r="C12" s="177"/>
      <c r="D12" s="869" t="str">
        <f>IF(ISBLANK(Finance!C23),"",(Finance!C23))</f>
        <v/>
      </c>
      <c r="E12" s="869"/>
      <c r="F12" s="869"/>
      <c r="G12" s="870"/>
      <c r="H12" s="182"/>
      <c r="I12" s="881"/>
      <c r="J12" s="882"/>
      <c r="K12" s="882"/>
      <c r="L12" s="882"/>
      <c r="M12" s="882"/>
      <c r="N12" s="883"/>
    </row>
    <row r="13" spans="1:15" s="34" customFormat="1" ht="26.25" customHeight="1">
      <c r="A13" s="156"/>
      <c r="B13" s="413" t="s">
        <v>103</v>
      </c>
      <c r="C13" s="177"/>
      <c r="D13" s="869" t="str">
        <f>IF(ISBLANK(Finance!I9),"",(Finance!I9))</f>
        <v/>
      </c>
      <c r="E13" s="869"/>
      <c r="F13" s="869"/>
      <c r="G13" s="870"/>
      <c r="H13" s="182"/>
      <c r="I13" s="881"/>
      <c r="J13" s="882"/>
      <c r="K13" s="882"/>
      <c r="L13" s="882"/>
      <c r="M13" s="882"/>
      <c r="N13" s="883"/>
    </row>
    <row r="14" spans="1:15" s="34" customFormat="1" ht="28.5" customHeight="1" thickBot="1">
      <c r="A14" s="156"/>
      <c r="B14" s="414" t="s">
        <v>104</v>
      </c>
      <c r="C14" s="178"/>
      <c r="D14" s="907" t="str">
        <f>IF(ISBLANK(Finance!I23),"",(Finance!I23))</f>
        <v/>
      </c>
      <c r="E14" s="907"/>
      <c r="F14" s="907"/>
      <c r="G14" s="908"/>
      <c r="H14" s="182"/>
      <c r="I14" s="904"/>
      <c r="J14" s="905"/>
      <c r="K14" s="905"/>
      <c r="L14" s="905"/>
      <c r="M14" s="905"/>
      <c r="N14" s="906"/>
    </row>
    <row r="15" spans="1:15" s="34" customFormat="1" ht="4.5" customHeight="1">
      <c r="A15" s="156"/>
      <c r="B15" s="179"/>
      <c r="C15" s="180"/>
      <c r="D15" s="181"/>
      <c r="E15" s="181"/>
      <c r="F15" s="181"/>
      <c r="G15" s="181"/>
      <c r="H15" s="182"/>
      <c r="I15" s="183"/>
      <c r="J15" s="183"/>
      <c r="K15" s="183"/>
      <c r="L15" s="183"/>
      <c r="M15" s="183"/>
      <c r="N15" s="183"/>
      <c r="O15" s="75"/>
    </row>
    <row r="16" spans="1:15" s="33" customFormat="1" ht="21" customHeight="1" thickBot="1">
      <c r="A16" s="152"/>
      <c r="B16" s="880" t="s">
        <v>100</v>
      </c>
      <c r="C16" s="880"/>
      <c r="D16" s="880"/>
      <c r="E16" s="880"/>
      <c r="F16" s="880"/>
      <c r="G16" s="880"/>
      <c r="H16" s="880"/>
      <c r="I16" s="880"/>
      <c r="J16" s="880"/>
      <c r="K16" s="880"/>
      <c r="L16" s="880"/>
      <c r="M16" s="880"/>
      <c r="N16" s="880"/>
    </row>
    <row r="17" spans="1:15" s="34" customFormat="1" ht="3.75" customHeight="1" thickBot="1">
      <c r="A17" s="156"/>
      <c r="B17" s="165"/>
      <c r="C17" s="166"/>
      <c r="D17" s="167"/>
      <c r="E17" s="168"/>
      <c r="F17" s="169"/>
      <c r="G17" s="169"/>
      <c r="H17" s="170"/>
      <c r="I17" s="171"/>
      <c r="J17" s="172"/>
      <c r="K17" s="161"/>
      <c r="L17" s="162"/>
      <c r="M17" s="163"/>
      <c r="N17" s="164"/>
    </row>
    <row r="18" spans="1:15" s="34" customFormat="1" ht="22.5" customHeight="1" thickBot="1">
      <c r="A18" s="156"/>
      <c r="B18" s="903" t="s">
        <v>94</v>
      </c>
      <c r="C18" s="853"/>
      <c r="D18" s="891" t="s">
        <v>97</v>
      </c>
      <c r="E18" s="892"/>
      <c r="F18" s="892"/>
      <c r="G18" s="893"/>
      <c r="H18" s="159"/>
      <c r="I18" s="888" t="s">
        <v>315</v>
      </c>
      <c r="J18" s="889"/>
      <c r="K18" s="889"/>
      <c r="L18" s="889"/>
      <c r="M18" s="890"/>
      <c r="N18" s="890"/>
    </row>
    <row r="19" spans="1:15" s="34" customFormat="1" ht="21.75" customHeight="1">
      <c r="A19" s="156"/>
      <c r="B19" s="415" t="s">
        <v>109</v>
      </c>
      <c r="C19" s="184"/>
      <c r="D19" s="871" t="str">
        <f>IF(ISBLANK(Management!C8),"",(Management!C8))</f>
        <v/>
      </c>
      <c r="E19" s="871"/>
      <c r="F19" s="871"/>
      <c r="G19" s="872"/>
      <c r="H19" s="185"/>
      <c r="I19" s="897"/>
      <c r="J19" s="898"/>
      <c r="K19" s="898"/>
      <c r="L19" s="898"/>
      <c r="M19" s="898"/>
      <c r="N19" s="899"/>
    </row>
    <row r="20" spans="1:15" ht="24.75" customHeight="1">
      <c r="A20" s="150"/>
      <c r="B20" s="416" t="s">
        <v>110</v>
      </c>
      <c r="C20" s="186"/>
      <c r="D20" s="869" t="str">
        <f>IF(ISBLANK(Management!I8),"",(Management!I8))</f>
        <v/>
      </c>
      <c r="E20" s="869" t="e">
        <f>+'Data Entry'!D73/'Data Entry'!G73</f>
        <v>#DIV/0!</v>
      </c>
      <c r="F20" s="869" t="e">
        <f>+('Data Entry'!E73+'Data Entry'!F73)/'Data Entry'!G73</f>
        <v>#DIV/0!</v>
      </c>
      <c r="G20" s="873"/>
      <c r="H20" s="185"/>
      <c r="I20" s="854"/>
      <c r="J20" s="855"/>
      <c r="K20" s="855"/>
      <c r="L20" s="855"/>
      <c r="M20" s="855"/>
      <c r="N20" s="856"/>
      <c r="O20" s="35"/>
    </row>
    <row r="21" spans="1:15" ht="29.25" customHeight="1">
      <c r="A21" s="150"/>
      <c r="B21" s="417" t="s">
        <v>111</v>
      </c>
      <c r="C21" s="186"/>
      <c r="D21" s="869" t="str">
        <f>IF(ISBLANK(Management!C16),"",(Management!C16))</f>
        <v/>
      </c>
      <c r="E21" s="869"/>
      <c r="F21" s="869"/>
      <c r="G21" s="873"/>
      <c r="H21" s="185"/>
      <c r="I21" s="854"/>
      <c r="J21" s="855"/>
      <c r="K21" s="855"/>
      <c r="L21" s="855"/>
      <c r="M21" s="855"/>
      <c r="N21" s="856"/>
      <c r="O21" s="35"/>
    </row>
    <row r="22" spans="1:15" ht="26.25" customHeight="1">
      <c r="A22" s="150"/>
      <c r="B22" s="417" t="s">
        <v>112</v>
      </c>
      <c r="C22" s="186"/>
      <c r="D22" s="869" t="str">
        <f>IF(ISBLANK(Management!I16),"",(Management!I16))</f>
        <v/>
      </c>
      <c r="E22" s="869"/>
      <c r="F22" s="869"/>
      <c r="G22" s="873"/>
      <c r="H22" s="185"/>
      <c r="I22" s="854"/>
      <c r="J22" s="855"/>
      <c r="K22" s="855"/>
      <c r="L22" s="855"/>
      <c r="M22" s="855"/>
      <c r="N22" s="856"/>
      <c r="O22" s="35"/>
    </row>
    <row r="23" spans="1:15" ht="24.75" customHeight="1">
      <c r="A23" s="150"/>
      <c r="B23" s="417" t="s">
        <v>113</v>
      </c>
      <c r="C23" s="186"/>
      <c r="D23" s="869" t="str">
        <f>IF(ISBLANK(Management!C27),"",(Management!C27))</f>
        <v/>
      </c>
      <c r="E23" s="869"/>
      <c r="F23" s="869"/>
      <c r="G23" s="873"/>
      <c r="H23" s="185"/>
      <c r="I23" s="854"/>
      <c r="J23" s="855"/>
      <c r="K23" s="855"/>
      <c r="L23" s="855"/>
      <c r="M23" s="855"/>
      <c r="N23" s="856"/>
      <c r="O23" s="35"/>
    </row>
    <row r="24" spans="1:15" ht="27" customHeight="1" thickBot="1">
      <c r="A24" s="150"/>
      <c r="B24" s="418" t="s">
        <v>115</v>
      </c>
      <c r="C24" s="187"/>
      <c r="D24" s="875" t="str">
        <f>IF(ISBLANK(Management!I27),"",(Management!I27))</f>
        <v/>
      </c>
      <c r="E24" s="875"/>
      <c r="F24" s="875"/>
      <c r="G24" s="876"/>
      <c r="H24" s="185"/>
      <c r="I24" s="900"/>
      <c r="J24" s="901"/>
      <c r="K24" s="901"/>
      <c r="L24" s="901"/>
      <c r="M24" s="901"/>
      <c r="N24" s="902"/>
      <c r="O24" s="35"/>
    </row>
    <row r="25" spans="1:15" ht="4.5" customHeight="1">
      <c r="A25" s="152"/>
      <c r="B25" s="157"/>
      <c r="C25" s="158"/>
      <c r="D25" s="173"/>
      <c r="E25" s="174"/>
      <c r="F25" s="175"/>
      <c r="G25" s="175"/>
      <c r="H25" s="159"/>
      <c r="I25" s="174"/>
      <c r="J25" s="160"/>
      <c r="K25" s="161"/>
      <c r="L25" s="162"/>
      <c r="M25" s="163"/>
      <c r="N25" s="164"/>
      <c r="O25" s="35"/>
    </row>
    <row r="26" spans="1:15" s="33" customFormat="1" ht="21" customHeight="1" thickBot="1">
      <c r="A26" s="152"/>
      <c r="B26" s="880" t="s">
        <v>99</v>
      </c>
      <c r="C26" s="880"/>
      <c r="D26" s="880"/>
      <c r="E26" s="880"/>
      <c r="F26" s="880"/>
      <c r="G26" s="880"/>
      <c r="H26" s="880"/>
      <c r="I26" s="880"/>
      <c r="J26" s="880"/>
      <c r="K26" s="880"/>
      <c r="L26" s="880"/>
      <c r="M26" s="880"/>
      <c r="N26" s="880"/>
    </row>
    <row r="27" spans="1:15" ht="3.75" customHeight="1" thickBot="1">
      <c r="A27" s="152"/>
      <c r="B27" s="157"/>
      <c r="C27" s="158"/>
      <c r="D27" s="173"/>
      <c r="E27" s="174"/>
      <c r="F27" s="175"/>
      <c r="G27" s="175"/>
      <c r="H27" s="159"/>
      <c r="I27" s="174"/>
      <c r="J27" s="160"/>
      <c r="K27" s="161"/>
      <c r="L27" s="162"/>
      <c r="M27" s="163"/>
      <c r="N27" s="164"/>
      <c r="O27" s="35"/>
    </row>
    <row r="28" spans="1:15" ht="21.75" customHeight="1" thickBot="1">
      <c r="A28" s="150"/>
      <c r="B28" s="852" t="s">
        <v>7</v>
      </c>
      <c r="C28" s="853"/>
      <c r="D28" s="860" t="s">
        <v>97</v>
      </c>
      <c r="E28" s="861"/>
      <c r="F28" s="861"/>
      <c r="G28" s="862"/>
      <c r="H28" s="159"/>
      <c r="I28" s="860" t="s">
        <v>315</v>
      </c>
      <c r="J28" s="861"/>
      <c r="K28" s="861"/>
      <c r="L28" s="861"/>
      <c r="M28" s="861"/>
      <c r="N28" s="862"/>
      <c r="O28" s="35"/>
    </row>
    <row r="29" spans="1:15" ht="29.25" customHeight="1">
      <c r="A29" s="150"/>
      <c r="B29" s="419" t="s">
        <v>316</v>
      </c>
      <c r="C29" s="188"/>
      <c r="D29" s="863" t="str">
        <f>IF(ISBLANK(Programmatic!C9),"",(Programmatic!C9))</f>
        <v/>
      </c>
      <c r="E29" s="864"/>
      <c r="F29" s="864"/>
      <c r="G29" s="865"/>
      <c r="H29" s="185"/>
      <c r="I29" s="877"/>
      <c r="J29" s="878"/>
      <c r="K29" s="878"/>
      <c r="L29" s="878"/>
      <c r="M29" s="878"/>
      <c r="N29" s="879"/>
      <c r="O29" s="35"/>
    </row>
    <row r="30" spans="1:15" ht="21.75" customHeight="1">
      <c r="A30" s="150"/>
      <c r="B30" s="420" t="s">
        <v>317</v>
      </c>
      <c r="C30" s="189"/>
      <c r="D30" s="874" t="str">
        <f>IF(ISBLANK(Programmatic!G9),"",(Programmatic!G9))</f>
        <v/>
      </c>
      <c r="E30" s="858"/>
      <c r="F30" s="858"/>
      <c r="G30" s="859"/>
      <c r="H30" s="185"/>
      <c r="I30" s="849"/>
      <c r="J30" s="850"/>
      <c r="K30" s="850"/>
      <c r="L30" s="850"/>
      <c r="M30" s="850"/>
      <c r="N30" s="851"/>
      <c r="O30" s="35"/>
    </row>
    <row r="31" spans="1:15" ht="21.75" customHeight="1">
      <c r="A31" s="150"/>
      <c r="B31" s="420" t="s">
        <v>318</v>
      </c>
      <c r="C31" s="189"/>
      <c r="D31" s="874" t="str">
        <f>IF(ISBLANK(Programmatic!M9),"",(Programmatic!M9))</f>
        <v/>
      </c>
      <c r="E31" s="858"/>
      <c r="F31" s="858"/>
      <c r="G31" s="859"/>
      <c r="H31" s="185"/>
      <c r="I31" s="849"/>
      <c r="J31" s="850"/>
      <c r="K31" s="850"/>
      <c r="L31" s="850"/>
      <c r="M31" s="850"/>
      <c r="N31" s="851"/>
      <c r="O31" s="35"/>
    </row>
    <row r="32" spans="1:15" ht="21.75" customHeight="1">
      <c r="A32" s="150"/>
      <c r="B32" s="421" t="s">
        <v>105</v>
      </c>
      <c r="C32" s="189"/>
      <c r="D32" s="857" t="str">
        <f>IF(ISBLANK(Programmatic!L20),"",(Programmatic!L20))</f>
        <v/>
      </c>
      <c r="E32" s="858"/>
      <c r="F32" s="858"/>
      <c r="G32" s="859"/>
      <c r="H32" s="185"/>
      <c r="I32" s="849"/>
      <c r="J32" s="850"/>
      <c r="K32" s="850"/>
      <c r="L32" s="850"/>
      <c r="M32" s="850"/>
      <c r="N32" s="851"/>
      <c r="O32" s="35"/>
    </row>
    <row r="33" spans="1:15" ht="27" customHeight="1">
      <c r="A33" s="150"/>
      <c r="B33" s="421" t="s">
        <v>106</v>
      </c>
      <c r="C33" s="189"/>
      <c r="D33" s="857" t="str">
        <f>IF(ISBLANK(Programmatic!L21),"",(Programmatic!L21))</f>
        <v/>
      </c>
      <c r="E33" s="858"/>
      <c r="F33" s="858"/>
      <c r="G33" s="859"/>
      <c r="H33" s="185"/>
      <c r="I33" s="849"/>
      <c r="J33" s="850"/>
      <c r="K33" s="850"/>
      <c r="L33" s="850"/>
      <c r="M33" s="850"/>
      <c r="N33" s="851"/>
      <c r="O33" s="35"/>
    </row>
    <row r="34" spans="1:15" ht="21.75" customHeight="1">
      <c r="A34" s="150"/>
      <c r="B34" s="421" t="s">
        <v>107</v>
      </c>
      <c r="C34" s="189"/>
      <c r="D34" s="857" t="str">
        <f>IF(ISBLANK(Programmatic!L22),"",(Programmatic!L22))</f>
        <v/>
      </c>
      <c r="E34" s="858"/>
      <c r="F34" s="858"/>
      <c r="G34" s="859"/>
      <c r="H34" s="185"/>
      <c r="I34" s="849"/>
      <c r="J34" s="850"/>
      <c r="K34" s="850"/>
      <c r="L34" s="850"/>
      <c r="M34" s="850"/>
      <c r="N34" s="851"/>
      <c r="O34" s="35"/>
    </row>
    <row r="35" spans="1:15" ht="21.75" customHeight="1">
      <c r="A35" s="150"/>
      <c r="B35" s="421" t="s">
        <v>108</v>
      </c>
      <c r="C35" s="232"/>
      <c r="D35" s="857" t="str">
        <f>IF(ISBLANK(Programmatic!L23),"",(Programmatic!L23))</f>
        <v/>
      </c>
      <c r="E35" s="858"/>
      <c r="F35" s="858"/>
      <c r="G35" s="859"/>
      <c r="H35" s="185"/>
      <c r="I35" s="849"/>
      <c r="J35" s="850"/>
      <c r="K35" s="850"/>
      <c r="L35" s="850"/>
      <c r="M35" s="850"/>
      <c r="N35" s="851"/>
      <c r="O35" s="35"/>
    </row>
    <row r="36" spans="1:15" ht="21.75" customHeight="1">
      <c r="A36" s="150"/>
      <c r="B36" s="421" t="s">
        <v>120</v>
      </c>
      <c r="C36" s="232"/>
      <c r="D36" s="857" t="str">
        <f>IF(ISBLANK(Programmatic!L24),"",(Programmatic!L24))</f>
        <v/>
      </c>
      <c r="E36" s="858"/>
      <c r="F36" s="858"/>
      <c r="G36" s="859"/>
      <c r="H36" s="185"/>
      <c r="I36" s="849"/>
      <c r="J36" s="850"/>
      <c r="K36" s="850"/>
      <c r="L36" s="850"/>
      <c r="M36" s="850"/>
      <c r="N36" s="851"/>
      <c r="O36" s="35"/>
    </row>
    <row r="37" spans="1:15" ht="21.75" customHeight="1">
      <c r="A37" s="150"/>
      <c r="B37" s="421" t="s">
        <v>121</v>
      </c>
      <c r="C37" s="232"/>
      <c r="D37" s="857" t="str">
        <f>IF(ISBLANK(Programmatic!L25),"",(Programmatic!L25))</f>
        <v/>
      </c>
      <c r="E37" s="858"/>
      <c r="F37" s="858"/>
      <c r="G37" s="859"/>
      <c r="H37" s="185"/>
      <c r="I37" s="849"/>
      <c r="J37" s="850"/>
      <c r="K37" s="850"/>
      <c r="L37" s="850"/>
      <c r="M37" s="850"/>
      <c r="N37" s="851"/>
      <c r="O37" s="35"/>
    </row>
    <row r="38" spans="1:15" ht="21.75" customHeight="1">
      <c r="A38" s="150"/>
      <c r="B38" s="421" t="s">
        <v>122</v>
      </c>
      <c r="C38" s="232"/>
      <c r="D38" s="857" t="str">
        <f>IF(ISBLANK(Programmatic!L26),"",(Programmatic!L26))</f>
        <v/>
      </c>
      <c r="E38" s="858"/>
      <c r="F38" s="858"/>
      <c r="G38" s="859"/>
      <c r="H38" s="185"/>
      <c r="I38" s="849"/>
      <c r="J38" s="850"/>
      <c r="K38" s="850"/>
      <c r="L38" s="850"/>
      <c r="M38" s="850"/>
      <c r="N38" s="851"/>
      <c r="O38" s="35"/>
    </row>
    <row r="39" spans="1:15" ht="21.75" customHeight="1">
      <c r="A39" s="150"/>
      <c r="B39" s="421" t="s">
        <v>123</v>
      </c>
      <c r="C39" s="232"/>
      <c r="D39" s="857" t="str">
        <f>IF(ISBLANK(Programmatic!L27),"",(Programmatic!L27))</f>
        <v/>
      </c>
      <c r="E39" s="858"/>
      <c r="F39" s="858"/>
      <c r="G39" s="859"/>
      <c r="H39" s="185"/>
      <c r="I39" s="849"/>
      <c r="J39" s="850"/>
      <c r="K39" s="850"/>
      <c r="L39" s="850"/>
      <c r="M39" s="850"/>
      <c r="N39" s="851"/>
      <c r="O39" s="35"/>
    </row>
    <row r="40" spans="1:15" ht="21.75" customHeight="1">
      <c r="A40" s="150"/>
      <c r="B40" s="421" t="s">
        <v>124</v>
      </c>
      <c r="C40" s="232"/>
      <c r="D40" s="857" t="str">
        <f>IF(ISBLANK(Programmatic!L28),"",(Programmatic!L28))</f>
        <v/>
      </c>
      <c r="E40" s="858"/>
      <c r="F40" s="858"/>
      <c r="G40" s="859"/>
      <c r="H40" s="185"/>
      <c r="I40" s="849"/>
      <c r="J40" s="850"/>
      <c r="K40" s="850"/>
      <c r="L40" s="850"/>
      <c r="M40" s="850"/>
      <c r="N40" s="851"/>
      <c r="O40" s="35"/>
    </row>
    <row r="41" spans="1:15" ht="21.75" customHeight="1" thickBot="1">
      <c r="A41" s="150"/>
      <c r="B41" s="421" t="s">
        <v>125</v>
      </c>
      <c r="C41" s="190"/>
      <c r="D41" s="857" t="str">
        <f>IF(ISBLANK(Programmatic!L29),"",(Programmatic!L29))</f>
        <v/>
      </c>
      <c r="E41" s="858"/>
      <c r="F41" s="858"/>
      <c r="G41" s="859"/>
      <c r="H41" s="185"/>
      <c r="I41" s="866"/>
      <c r="J41" s="867"/>
      <c r="K41" s="867"/>
      <c r="L41" s="867"/>
      <c r="M41" s="867"/>
      <c r="N41" s="868"/>
      <c r="O41" s="35"/>
    </row>
    <row r="42" spans="1:15" ht="14.25">
      <c r="A42" s="150"/>
      <c r="B42" s="191"/>
      <c r="C42" s="191"/>
      <c r="D42" s="192"/>
      <c r="E42" s="150"/>
      <c r="F42" s="191"/>
      <c r="G42" s="191"/>
      <c r="H42" s="150"/>
      <c r="I42" s="193"/>
      <c r="J42" s="150"/>
      <c r="K42" s="194"/>
      <c r="L42" s="194"/>
      <c r="M42" s="194"/>
      <c r="N42" s="194"/>
      <c r="O42" s="35"/>
    </row>
  </sheetData>
  <sheetProtection password="CFC9" sheet="1"/>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I32:N32"/>
    <mergeCell ref="D22:G22"/>
    <mergeCell ref="I11:N11"/>
    <mergeCell ref="I18:N18"/>
    <mergeCell ref="D18:G18"/>
    <mergeCell ref="D20:G20"/>
    <mergeCell ref="I21:N21"/>
    <mergeCell ref="B2:N2"/>
    <mergeCell ref="E5:K5"/>
    <mergeCell ref="E6:K6"/>
    <mergeCell ref="E3:K3"/>
    <mergeCell ref="C4:D4"/>
    <mergeCell ref="E4:K4"/>
    <mergeCell ref="C3:D3"/>
    <mergeCell ref="B26:N26"/>
    <mergeCell ref="D23:G23"/>
    <mergeCell ref="D12:G12"/>
    <mergeCell ref="I12:N12"/>
    <mergeCell ref="I22:N22"/>
    <mergeCell ref="I35:N35"/>
    <mergeCell ref="D13:G13"/>
    <mergeCell ref="I37:N37"/>
    <mergeCell ref="D38:G38"/>
    <mergeCell ref="D37:G37"/>
    <mergeCell ref="D19:G19"/>
    <mergeCell ref="D21:G21"/>
    <mergeCell ref="D36:G36"/>
    <mergeCell ref="D30:G30"/>
    <mergeCell ref="D31:G31"/>
    <mergeCell ref="D24:G24"/>
    <mergeCell ref="D33:G33"/>
    <mergeCell ref="I29:N29"/>
    <mergeCell ref="I33:N33"/>
    <mergeCell ref="I30:N30"/>
    <mergeCell ref="I31:N31"/>
    <mergeCell ref="I36:N36"/>
    <mergeCell ref="B28:C28"/>
    <mergeCell ref="I38:N38"/>
    <mergeCell ref="I23:N23"/>
    <mergeCell ref="D41:G41"/>
    <mergeCell ref="I28:N28"/>
    <mergeCell ref="D40:G40"/>
    <mergeCell ref="D34:G34"/>
    <mergeCell ref="D29:G29"/>
    <mergeCell ref="D28:G28"/>
    <mergeCell ref="I34:N34"/>
    <mergeCell ref="D35:G35"/>
    <mergeCell ref="D32:G32"/>
    <mergeCell ref="D39:G39"/>
    <mergeCell ref="I40:N40"/>
    <mergeCell ref="I41:N41"/>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headerFooter>
    <oddFooter>&amp;L&amp;F&amp;C&amp;A&amp;RV1.0          &amp;D</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tabSelected="1" topLeftCell="A8" zoomScale="95" zoomScaleNormal="95" zoomScaleSheetLayoutView="100" zoomScalePageLayoutView="95" workbookViewId="0">
      <selection activeCell="B14" sqref="B14:E15"/>
    </sheetView>
  </sheetViews>
  <sheetFormatPr defaultColWidth="11" defaultRowHeight="15"/>
  <cols>
    <col min="1" max="1" width="4.140625" customWidth="1"/>
    <col min="2" max="2" width="14.42578125" customWidth="1"/>
    <col min="3" max="3" width="12.42578125" customWidth="1"/>
    <col min="4" max="4" width="11.42578125" customWidth="1"/>
    <col min="5" max="5" width="19" customWidth="1"/>
    <col min="6" max="6" width="1.42578125" customWidth="1"/>
    <col min="7" max="7" width="11.42578125" customWidth="1"/>
    <col min="8" max="8" width="9.42578125" customWidth="1"/>
    <col min="9" max="9" width="11.42578125" customWidth="1"/>
    <col min="10" max="10" width="12.42578125" customWidth="1"/>
    <col min="11" max="11" width="10.42578125" customWidth="1"/>
    <col min="12" max="12" width="9.7109375" customWidth="1"/>
  </cols>
  <sheetData>
    <row r="1" spans="1:13" ht="30.75" customHeight="1"/>
    <row r="2" spans="1:13" ht="27.75" customHeight="1">
      <c r="B2" s="801" t="str">
        <f>+"Dashboard:  "&amp;"  "&amp;IF(+'Data Entry'!C4="Please Select","",'Data Entry'!C4&amp;" - ")&amp;IF('Data Entry'!G6="Please Select","",'Data Entry'!G6)</f>
        <v>Dashboard:    Georgia - HIV / AIDS</v>
      </c>
      <c r="C2" s="801"/>
      <c r="D2" s="801"/>
      <c r="E2" s="801"/>
      <c r="F2" s="801"/>
      <c r="G2" s="801"/>
      <c r="H2" s="801"/>
      <c r="I2" s="801"/>
      <c r="J2" s="801"/>
      <c r="K2" s="801"/>
      <c r="L2" s="801"/>
    </row>
    <row r="3" spans="1:13">
      <c r="B3" s="24" t="str">
        <f>+IF('Data Entry'!G8="Please Select","",'Data Entry'!G8)</f>
        <v>NFM</v>
      </c>
      <c r="C3" s="800" t="str">
        <f>+IF('Data Entry'!I8="Please Select","",'Data Entry'!I8)</f>
        <v>N/A</v>
      </c>
      <c r="D3" s="800"/>
      <c r="E3" s="798"/>
      <c r="F3" s="798"/>
      <c r="G3" s="798"/>
      <c r="H3" s="798"/>
      <c r="I3" s="798"/>
      <c r="J3" s="794" t="str">
        <f>+'Data Entry'!B16</f>
        <v>Report Period:</v>
      </c>
      <c r="K3" s="794"/>
      <c r="L3" s="198" t="str">
        <f>+'Data Entry'!C16</f>
        <v>P7</v>
      </c>
      <c r="M3" s="85"/>
    </row>
    <row r="4" spans="1:13">
      <c r="B4" s="24" t="str">
        <f>+'Data Entry'!B12</f>
        <v>Latest Rating:</v>
      </c>
      <c r="C4" s="921" t="str">
        <f>+IF('Data Entry'!C12="Please Select","",'Data Entry'!C12)</f>
        <v>A2</v>
      </c>
      <c r="D4" s="921"/>
      <c r="E4" s="798" t="str">
        <f>+'Data Entry'!C8</f>
        <v>NCDC</v>
      </c>
      <c r="F4" s="798"/>
      <c r="G4" s="798"/>
      <c r="H4" s="798"/>
      <c r="I4" s="798"/>
      <c r="J4" s="794" t="str">
        <f>+'Data Entry'!D16</f>
        <v>From:</v>
      </c>
      <c r="K4" s="795"/>
      <c r="L4" s="199">
        <f>+IF(ISBLANK('Data Entry'!E16),"",'Data Entry'!E16)</f>
        <v>43101</v>
      </c>
    </row>
    <row r="5" spans="1:13" ht="18.75" customHeight="1">
      <c r="B5" s="24"/>
      <c r="C5" s="24"/>
      <c r="D5" s="798" t="str">
        <f>+'Data Entry'!G4</f>
        <v xml:space="preserve">Sustaining and Scaling up the Effective HIV/AIDS Prevention, Treatment and Care in Georgia </v>
      </c>
      <c r="E5" s="798"/>
      <c r="F5" s="798"/>
      <c r="G5" s="798"/>
      <c r="H5" s="798"/>
      <c r="I5" s="798"/>
      <c r="J5" s="798"/>
      <c r="K5" s="24" t="str">
        <f>+'Data Entry'!F16</f>
        <v>To:</v>
      </c>
      <c r="L5" s="199">
        <f>+IF(ISBLANK('Data Entry'!G16),"",'Data Entry'!G16)</f>
        <v>43190</v>
      </c>
    </row>
    <row r="6" spans="1:13" ht="18.75">
      <c r="B6" s="23"/>
      <c r="C6" s="24"/>
      <c r="D6" s="25"/>
      <c r="E6" s="802" t="s">
        <v>371</v>
      </c>
      <c r="F6" s="802"/>
      <c r="G6" s="802"/>
      <c r="H6" s="802"/>
      <c r="I6" s="802"/>
    </row>
    <row r="7" spans="1:13" ht="18.75">
      <c r="E7" s="72"/>
      <c r="F7" s="72"/>
      <c r="G7" s="72"/>
      <c r="H7" s="72"/>
      <c r="I7" s="72"/>
    </row>
    <row r="8" spans="1:13" s="33" customFormat="1" ht="21" customHeight="1" thickBot="1">
      <c r="B8" s="76" t="s">
        <v>95</v>
      </c>
      <c r="C8" s="76"/>
      <c r="D8" s="76"/>
      <c r="E8" s="76"/>
      <c r="F8" s="76"/>
      <c r="G8" s="76"/>
      <c r="H8" s="76"/>
      <c r="I8" s="76"/>
      <c r="J8" s="76"/>
      <c r="K8" s="76"/>
      <c r="L8" s="76"/>
    </row>
    <row r="9" spans="1:13" ht="6" customHeight="1">
      <c r="B9" s="74"/>
    </row>
    <row r="10" spans="1:13">
      <c r="B10" s="940"/>
      <c r="C10" s="941"/>
      <c r="D10" s="941"/>
      <c r="E10" s="941"/>
      <c r="F10" s="941"/>
      <c r="G10" s="941"/>
      <c r="H10" s="941"/>
      <c r="I10" s="941"/>
      <c r="J10" s="941"/>
      <c r="K10" s="941"/>
      <c r="L10" s="942"/>
    </row>
    <row r="11" spans="1:13">
      <c r="B11" s="943"/>
      <c r="C11" s="944"/>
      <c r="D11" s="944"/>
      <c r="E11" s="944"/>
      <c r="F11" s="944"/>
      <c r="G11" s="944"/>
      <c r="H11" s="944"/>
      <c r="I11" s="944"/>
      <c r="J11" s="944"/>
      <c r="K11" s="944"/>
      <c r="L11" s="945"/>
    </row>
    <row r="12" spans="1:13" ht="15.75" thickBot="1"/>
    <row r="13" spans="1:13" ht="26.25" customHeight="1" thickBot="1">
      <c r="B13" s="936" t="s">
        <v>305</v>
      </c>
      <c r="C13" s="937"/>
      <c r="D13" s="937"/>
      <c r="E13" s="938"/>
      <c r="F13" s="77"/>
      <c r="G13" s="952" t="s">
        <v>128</v>
      </c>
      <c r="H13" s="915"/>
      <c r="I13" s="915"/>
      <c r="J13" s="78" t="s">
        <v>96</v>
      </c>
      <c r="K13" s="915" t="s">
        <v>292</v>
      </c>
      <c r="L13" s="916"/>
    </row>
    <row r="14" spans="1:13">
      <c r="A14" s="928" t="s">
        <v>306</v>
      </c>
      <c r="B14" s="932" t="s">
        <v>467</v>
      </c>
      <c r="C14" s="932"/>
      <c r="D14" s="932"/>
      <c r="E14" s="933"/>
      <c r="F14" s="46"/>
      <c r="G14" s="934"/>
      <c r="H14" s="922"/>
      <c r="I14" s="922"/>
      <c r="J14" s="931"/>
      <c r="K14" s="922"/>
      <c r="L14" s="923"/>
    </row>
    <row r="15" spans="1:13">
      <c r="A15" s="929"/>
      <c r="B15" s="932"/>
      <c r="C15" s="932"/>
      <c r="D15" s="932"/>
      <c r="E15" s="933"/>
      <c r="F15" s="46"/>
      <c r="G15" s="935"/>
      <c r="H15" s="917"/>
      <c r="I15" s="917"/>
      <c r="J15" s="917"/>
      <c r="K15" s="917"/>
      <c r="L15" s="918"/>
    </row>
    <row r="16" spans="1:13">
      <c r="A16" s="929"/>
      <c r="B16" s="932"/>
      <c r="C16" s="932"/>
      <c r="D16" s="932"/>
      <c r="E16" s="933"/>
      <c r="F16" s="46"/>
      <c r="G16" s="939"/>
      <c r="H16" s="917"/>
      <c r="I16" s="917"/>
      <c r="J16" s="917"/>
      <c r="K16" s="917"/>
      <c r="L16" s="918"/>
    </row>
    <row r="17" spans="1:12">
      <c r="A17" s="929"/>
      <c r="B17" s="932"/>
      <c r="C17" s="932"/>
      <c r="D17" s="932"/>
      <c r="E17" s="933"/>
      <c r="F17" s="46"/>
      <c r="G17" s="935"/>
      <c r="H17" s="917"/>
      <c r="I17" s="917"/>
      <c r="J17" s="917"/>
      <c r="K17" s="917"/>
      <c r="L17" s="918"/>
    </row>
    <row r="18" spans="1:12">
      <c r="A18" s="929"/>
      <c r="B18" s="932"/>
      <c r="C18" s="932"/>
      <c r="D18" s="932"/>
      <c r="E18" s="933"/>
      <c r="F18" s="46"/>
      <c r="G18" s="946"/>
      <c r="H18" s="947"/>
      <c r="I18" s="948"/>
      <c r="J18" s="917"/>
      <c r="K18" s="917"/>
      <c r="L18" s="918"/>
    </row>
    <row r="19" spans="1:12" ht="30.75" customHeight="1">
      <c r="A19" s="929"/>
      <c r="B19" s="932"/>
      <c r="C19" s="932"/>
      <c r="D19" s="932"/>
      <c r="E19" s="933"/>
      <c r="F19" s="46"/>
      <c r="G19" s="949"/>
      <c r="H19" s="950"/>
      <c r="I19" s="951"/>
      <c r="J19" s="917"/>
      <c r="K19" s="917"/>
      <c r="L19" s="918"/>
    </row>
    <row r="20" spans="1:12">
      <c r="A20" s="929"/>
      <c r="B20" s="932"/>
      <c r="C20" s="932"/>
      <c r="D20" s="932"/>
      <c r="E20" s="933"/>
      <c r="F20" s="46"/>
      <c r="G20" s="935"/>
      <c r="H20" s="917"/>
      <c r="I20" s="917"/>
      <c r="J20" s="917"/>
      <c r="K20" s="917"/>
      <c r="L20" s="918"/>
    </row>
    <row r="21" spans="1:12">
      <c r="A21" s="929"/>
      <c r="B21" s="932"/>
      <c r="C21" s="932"/>
      <c r="D21" s="932"/>
      <c r="E21" s="933"/>
      <c r="F21" s="46"/>
      <c r="G21" s="935"/>
      <c r="H21" s="917"/>
      <c r="I21" s="917"/>
      <c r="J21" s="917"/>
      <c r="K21" s="917"/>
      <c r="L21" s="918"/>
    </row>
    <row r="22" spans="1:12">
      <c r="A22" s="929"/>
      <c r="B22" s="932"/>
      <c r="C22" s="932"/>
      <c r="D22" s="932"/>
      <c r="E22" s="933"/>
      <c r="F22" s="46"/>
      <c r="G22" s="935"/>
      <c r="H22" s="917"/>
      <c r="I22" s="917"/>
      <c r="J22" s="917"/>
      <c r="K22" s="917"/>
      <c r="L22" s="918"/>
    </row>
    <row r="23" spans="1:12">
      <c r="A23" s="929"/>
      <c r="B23" s="932"/>
      <c r="C23" s="932"/>
      <c r="D23" s="932"/>
      <c r="E23" s="933"/>
      <c r="F23" s="46"/>
      <c r="G23" s="935"/>
      <c r="H23" s="917"/>
      <c r="I23" s="917"/>
      <c r="J23" s="917"/>
      <c r="K23" s="917"/>
      <c r="L23" s="918"/>
    </row>
    <row r="24" spans="1:12">
      <c r="A24" s="929"/>
      <c r="B24" s="932"/>
      <c r="C24" s="932"/>
      <c r="D24" s="932"/>
      <c r="E24" s="933"/>
      <c r="F24" s="46"/>
      <c r="G24" s="939"/>
      <c r="H24" s="917"/>
      <c r="I24" s="917"/>
      <c r="J24" s="917"/>
      <c r="K24" s="917"/>
      <c r="L24" s="918"/>
    </row>
    <row r="25" spans="1:12" ht="15.75" thickBot="1">
      <c r="A25" s="930"/>
      <c r="B25" s="963"/>
      <c r="C25" s="963"/>
      <c r="D25" s="963"/>
      <c r="E25" s="964"/>
      <c r="F25" s="46"/>
      <c r="G25" s="954"/>
      <c r="H25" s="919"/>
      <c r="I25" s="919"/>
      <c r="J25" s="919"/>
      <c r="K25" s="919"/>
      <c r="L25" s="920"/>
    </row>
    <row r="27" spans="1:12" ht="18.75">
      <c r="E27" s="953" t="s">
        <v>335</v>
      </c>
      <c r="F27" s="953"/>
      <c r="G27" s="953"/>
      <c r="H27" s="953"/>
      <c r="I27" s="953"/>
    </row>
    <row r="28" spans="1:12" ht="6" customHeight="1">
      <c r="E28" s="72"/>
      <c r="F28" s="72"/>
      <c r="G28" s="72"/>
      <c r="H28" s="72"/>
      <c r="I28" s="72"/>
    </row>
    <row r="29" spans="1:12" s="33" customFormat="1" ht="21" customHeight="1" thickBot="1">
      <c r="B29" s="76" t="s">
        <v>95</v>
      </c>
      <c r="C29" s="76"/>
      <c r="D29" s="76"/>
      <c r="E29" s="76"/>
      <c r="F29" s="76"/>
      <c r="G29" s="76"/>
      <c r="H29" s="76"/>
      <c r="I29" s="76"/>
      <c r="J29" s="76"/>
      <c r="K29" s="76"/>
      <c r="L29" s="76"/>
    </row>
    <row r="30" spans="1:12" ht="6" customHeight="1" thickBot="1">
      <c r="B30" s="74"/>
    </row>
    <row r="31" spans="1:12" ht="21.75" customHeight="1" thickBot="1">
      <c r="B31" s="936" t="s">
        <v>128</v>
      </c>
      <c r="C31" s="937"/>
      <c r="D31" s="937"/>
      <c r="E31" s="938"/>
      <c r="F31" s="77"/>
      <c r="G31" s="952" t="s">
        <v>320</v>
      </c>
      <c r="H31" s="915"/>
      <c r="I31" s="915"/>
      <c r="J31" s="78" t="s">
        <v>294</v>
      </c>
      <c r="K31" s="915" t="s">
        <v>292</v>
      </c>
      <c r="L31" s="916"/>
    </row>
    <row r="32" spans="1:12" ht="14.25" customHeight="1">
      <c r="A32" s="928" t="s">
        <v>307</v>
      </c>
      <c r="B32" s="955"/>
      <c r="C32" s="956"/>
      <c r="D32" s="956"/>
      <c r="E32" s="957"/>
      <c r="F32" s="46"/>
      <c r="G32" s="965"/>
      <c r="H32" s="913"/>
      <c r="I32" s="913"/>
      <c r="J32" s="913"/>
      <c r="K32" s="913"/>
      <c r="L32" s="914"/>
    </row>
    <row r="33" spans="1:12" ht="16.5" customHeight="1">
      <c r="A33" s="929"/>
      <c r="B33" s="949"/>
      <c r="C33" s="950"/>
      <c r="D33" s="950"/>
      <c r="E33" s="958"/>
      <c r="F33" s="46"/>
      <c r="G33" s="924"/>
      <c r="H33" s="909"/>
      <c r="I33" s="909"/>
      <c r="J33" s="909"/>
      <c r="K33" s="909"/>
      <c r="L33" s="910"/>
    </row>
    <row r="34" spans="1:12">
      <c r="A34" s="929"/>
      <c r="B34" s="925" t="str">
        <f>IF(Recommendations!I43="","",Recommendations!I43)</f>
        <v/>
      </c>
      <c r="C34" s="926"/>
      <c r="D34" s="926"/>
      <c r="E34" s="927"/>
      <c r="F34" s="46"/>
      <c r="G34" s="924"/>
      <c r="H34" s="909"/>
      <c r="I34" s="909"/>
      <c r="J34" s="909"/>
      <c r="K34" s="909"/>
      <c r="L34" s="910"/>
    </row>
    <row r="35" spans="1:12">
      <c r="A35" s="929"/>
      <c r="B35" s="925"/>
      <c r="C35" s="926"/>
      <c r="D35" s="926"/>
      <c r="E35" s="927"/>
      <c r="F35" s="46"/>
      <c r="G35" s="924"/>
      <c r="H35" s="909"/>
      <c r="I35" s="909"/>
      <c r="J35" s="909"/>
      <c r="K35" s="909"/>
      <c r="L35" s="910"/>
    </row>
    <row r="36" spans="1:12">
      <c r="A36" s="929"/>
      <c r="B36" s="925" t="str">
        <f>+IF(Recommendations!I53="","",Recommendations!I53)</f>
        <v/>
      </c>
      <c r="C36" s="926"/>
      <c r="D36" s="926"/>
      <c r="E36" s="927"/>
      <c r="F36" s="46"/>
      <c r="G36" s="924"/>
      <c r="H36" s="909"/>
      <c r="I36" s="909"/>
      <c r="J36" s="909"/>
      <c r="K36" s="909"/>
      <c r="L36" s="910"/>
    </row>
    <row r="37" spans="1:12">
      <c r="A37" s="929"/>
      <c r="B37" s="925"/>
      <c r="C37" s="926"/>
      <c r="D37" s="926"/>
      <c r="E37" s="927"/>
      <c r="F37" s="46"/>
      <c r="G37" s="924"/>
      <c r="H37" s="909"/>
      <c r="I37" s="909"/>
      <c r="J37" s="909"/>
      <c r="K37" s="909"/>
      <c r="L37" s="910"/>
    </row>
    <row r="38" spans="1:12">
      <c r="A38" s="929"/>
      <c r="B38" s="925"/>
      <c r="C38" s="926"/>
      <c r="D38" s="926"/>
      <c r="E38" s="927"/>
      <c r="F38" s="46"/>
      <c r="G38" s="924"/>
      <c r="H38" s="909"/>
      <c r="I38" s="909"/>
      <c r="J38" s="909"/>
      <c r="K38" s="909"/>
      <c r="L38" s="910"/>
    </row>
    <row r="39" spans="1:12">
      <c r="A39" s="929"/>
      <c r="B39" s="925"/>
      <c r="C39" s="926"/>
      <c r="D39" s="926"/>
      <c r="E39" s="927"/>
      <c r="F39" s="46"/>
      <c r="G39" s="924"/>
      <c r="H39" s="909"/>
      <c r="I39" s="909"/>
      <c r="J39" s="909"/>
      <c r="K39" s="909"/>
      <c r="L39" s="910"/>
    </row>
    <row r="40" spans="1:12">
      <c r="A40" s="929"/>
      <c r="B40" s="925"/>
      <c r="C40" s="926"/>
      <c r="D40" s="926"/>
      <c r="E40" s="927"/>
      <c r="F40" s="46"/>
      <c r="G40" s="924"/>
      <c r="H40" s="909"/>
      <c r="I40" s="909"/>
      <c r="J40" s="909"/>
      <c r="K40" s="909"/>
      <c r="L40" s="910"/>
    </row>
    <row r="41" spans="1:12">
      <c r="A41" s="929"/>
      <c r="B41" s="925"/>
      <c r="C41" s="926"/>
      <c r="D41" s="926"/>
      <c r="E41" s="927"/>
      <c r="F41" s="46"/>
      <c r="G41" s="924"/>
      <c r="H41" s="909"/>
      <c r="I41" s="909"/>
      <c r="J41" s="909"/>
      <c r="K41" s="909"/>
      <c r="L41" s="910"/>
    </row>
    <row r="42" spans="1:12">
      <c r="A42" s="929"/>
      <c r="B42" s="925"/>
      <c r="C42" s="926"/>
      <c r="D42" s="926"/>
      <c r="E42" s="927"/>
      <c r="F42" s="46"/>
      <c r="G42" s="924"/>
      <c r="H42" s="909"/>
      <c r="I42" s="909"/>
      <c r="J42" s="909"/>
      <c r="K42" s="909"/>
      <c r="L42" s="910"/>
    </row>
    <row r="43" spans="1:12" ht="15.75" thickBot="1">
      <c r="A43" s="930"/>
      <c r="B43" s="959"/>
      <c r="C43" s="960"/>
      <c r="D43" s="960"/>
      <c r="E43" s="961"/>
      <c r="F43" s="46"/>
      <c r="G43" s="962"/>
      <c r="H43" s="911"/>
      <c r="I43" s="911"/>
      <c r="J43" s="911"/>
      <c r="K43" s="911"/>
      <c r="L43" s="912"/>
    </row>
  </sheetData>
  <sheetProtection password="CFC9" sheet="1"/>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headerFooter>
    <oddFooter>&amp;L&amp;F&amp;C&amp;A&amp;RV1.0          &amp;D</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2.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Menu</vt:lpstr>
      <vt:lpstr>List of Indicators</vt:lpstr>
      <vt:lpstr>Data Entry</vt:lpstr>
      <vt:lpstr>Grant Detail</vt:lpstr>
      <vt:lpstr>Finance</vt:lpstr>
      <vt:lpstr>Management</vt:lpstr>
      <vt:lpstr>Programmatic</vt:lpstr>
      <vt:lpstr>Recommendations</vt:lpstr>
      <vt:lpstr>Actions</vt:lpstr>
      <vt:lpstr>Setup</vt:lpstr>
      <vt:lpstr>Component</vt:lpstr>
      <vt:lpstr>Countries</vt:lpstr>
      <vt:lpstr>Currency</vt:lpstr>
      <vt:lpstr>LFA</vt:lpstr>
      <vt:lpstr>Medicaments</vt:lpstr>
      <vt:lpstr>PERIOD</vt:lpstr>
      <vt:lpstr>Phase</vt:lpstr>
      <vt:lpstr>Actions!Print_Area</vt:lpstr>
      <vt:lpstr>Finance!Print_Area</vt:lpstr>
      <vt:lpstr>Management!Print_Area</vt:lpstr>
      <vt:lpstr>Programmatic!Print_Area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Natia Khonelidze</cp:lastModifiedBy>
  <cp:lastPrinted>2009-11-06T15:57:56Z</cp:lastPrinted>
  <dcterms:created xsi:type="dcterms:W3CDTF">2008-11-20T16:06:13Z</dcterms:created>
  <dcterms:modified xsi:type="dcterms:W3CDTF">2018-08-02T17:24:40Z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846336</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y fmtid="{D5CDD505-2E9C-101B-9397-08002B2CF9AE}" pid="23" name="Nr">
    <vt:lpwstr/>
  </property>
  <property fmtid="{D5CDD505-2E9C-101B-9397-08002B2CF9AE}" pid="24" name="PublishingExpirationDate">
    <vt:lpwstr/>
  </property>
  <property fmtid="{D5CDD505-2E9C-101B-9397-08002B2CF9AE}" pid="25" name="PublishingStartDate">
    <vt:lpwstr/>
  </property>
</Properties>
</file>