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bookViews>
    <workbookView xWindow="0" yWindow="0" windowWidth="19420" windowHeight="11020" tabRatio="721" activeTab="8"/>
  </bookViews>
  <sheets>
    <sheet name="Menu" sheetId="1" r:id="rId1"/>
    <sheet name="List of Indicators" sheetId="45" r:id="rId2"/>
    <sheet name="Data Entry" sheetId="29" r:id="rId3"/>
    <sheet name="Grant Detail" sheetId="27" r:id="rId4"/>
    <sheet name="Finance" sheetId="30" r:id="rId5"/>
    <sheet name="Management" sheetId="35" r:id="rId6"/>
    <sheet name="Programmatic" sheetId="37" r:id="rId7"/>
    <sheet name="Recommendations" sheetId="42" r:id="rId8"/>
    <sheet name="Actions" sheetId="39" r:id="rId9"/>
    <sheet name="Setup" sheetId="32" state="hidden" r:id="rId10"/>
  </sheet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Actions!$A$1:$L$43</definedName>
    <definedName name="_xlnm.Print_Area" localSheetId="4">Finance!$A$2:$K$31</definedName>
    <definedName name="_xlnm.Print_Area" localSheetId="5">Management!$A$1:$L$34</definedName>
    <definedName name="_xlnm.Print_Area" localSheetId="6">Programmatic!$A$1:$Q$29</definedName>
    <definedName name="PrintA">Actions!$A$2:$L$34</definedName>
    <definedName name="PrintDataF">'Data Entry'!$B$25:$J$65</definedName>
    <definedName name="PrintDataM">'Data Entry'!$B$67:$H$111</definedName>
    <definedName name="PrintF">Finance!$A$2:$K$31</definedName>
    <definedName name="PrintGD">'Grant Detail'!$A$2:$J$13</definedName>
    <definedName name="PrintM" localSheetId="8">Actions!$A$2:$L$6</definedName>
    <definedName name="PrintM">Management!$A$2:$L$36</definedName>
    <definedName name="PrintP">Programmatic!$A$2:$P$30</definedName>
    <definedName name="PrintR">Recommendations!$A$2:$N$41</definedName>
    <definedName name="Rating">Setup!$G$9:$G$14</definedName>
    <definedName name="Round">Setup!$D$9:$D$21</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D52" i="29" l="1"/>
  <c r="K96" i="29"/>
  <c r="D55" i="29"/>
  <c r="D39" i="29" l="1"/>
  <c r="C55" i="29"/>
  <c r="C54" i="29"/>
  <c r="C53" i="29"/>
  <c r="D43" i="29"/>
  <c r="D40" i="29"/>
  <c r="D42" i="29"/>
  <c r="D41" i="29" l="1"/>
  <c r="C39" i="29"/>
  <c r="C43" i="29"/>
  <c r="C42" i="29"/>
  <c r="C41" i="29"/>
  <c r="C40" i="29"/>
  <c r="J96" i="29" l="1"/>
  <c r="J32" i="29" l="1"/>
  <c r="I97" i="29" l="1"/>
  <c r="I32" i="29" l="1"/>
  <c r="C52" i="29" s="1"/>
  <c r="H96" i="29" l="1"/>
  <c r="E55" i="29"/>
  <c r="C47" i="29"/>
  <c r="E108" i="29"/>
  <c r="G108" i="29" s="1"/>
  <c r="I108" i="29" s="1"/>
  <c r="K108" i="29" s="1"/>
  <c r="L30" i="35" s="1"/>
  <c r="E109" i="29"/>
  <c r="G109" i="29" s="1"/>
  <c r="I109" i="29" s="1"/>
  <c r="E110" i="29"/>
  <c r="G110" i="29"/>
  <c r="I110" i="29" s="1"/>
  <c r="E111" i="29"/>
  <c r="G111" i="29" s="1"/>
  <c r="I111" i="29" s="1"/>
  <c r="G31" i="29"/>
  <c r="F31" i="29"/>
  <c r="E31" i="29"/>
  <c r="E32" i="29"/>
  <c r="D31" i="29"/>
  <c r="D32" i="29"/>
  <c r="C31" i="29"/>
  <c r="C33" i="29" s="1"/>
  <c r="C34" i="29"/>
  <c r="F96" i="29"/>
  <c r="D47" i="29"/>
  <c r="E52" i="29"/>
  <c r="E97" i="29"/>
  <c r="E20" i="37"/>
  <c r="B22" i="45"/>
  <c r="F29" i="37"/>
  <c r="F28" i="37"/>
  <c r="F27" i="37"/>
  <c r="F26" i="37"/>
  <c r="F25" i="37"/>
  <c r="E29" i="37"/>
  <c r="E28" i="37"/>
  <c r="E27" i="37"/>
  <c r="E26" i="37"/>
  <c r="E25" i="37"/>
  <c r="F24" i="37"/>
  <c r="E24" i="37"/>
  <c r="F23" i="37"/>
  <c r="E23" i="37"/>
  <c r="F22" i="37"/>
  <c r="E22" i="37"/>
  <c r="F21" i="37"/>
  <c r="E21" i="37"/>
  <c r="F20" i="37"/>
  <c r="B2" i="45"/>
  <c r="B2" i="39"/>
  <c r="B2" i="42"/>
  <c r="B2" i="37"/>
  <c r="B2" i="35"/>
  <c r="K5" i="30"/>
  <c r="K4" i="30"/>
  <c r="L5" i="35"/>
  <c r="L4" i="35"/>
  <c r="Q5" i="37"/>
  <c r="Q4" i="37"/>
  <c r="M5" i="42"/>
  <c r="M4" i="42"/>
  <c r="L5" i="39"/>
  <c r="L4" i="39"/>
  <c r="C4" i="39"/>
  <c r="C3" i="39"/>
  <c r="B3" i="39"/>
  <c r="C4" i="42"/>
  <c r="C3" i="42"/>
  <c r="B3" i="42"/>
  <c r="C4" i="37"/>
  <c r="C3" i="37"/>
  <c r="B3" i="37"/>
  <c r="C4" i="35"/>
  <c r="C3" i="35"/>
  <c r="B3" i="35"/>
  <c r="C4" i="30"/>
  <c r="C3" i="30"/>
  <c r="B3" i="30"/>
  <c r="B2" i="30"/>
  <c r="I9" i="27"/>
  <c r="G9" i="27"/>
  <c r="G13" i="27"/>
  <c r="G11" i="27"/>
  <c r="D11" i="27"/>
  <c r="B12" i="27"/>
  <c r="I11" i="27"/>
  <c r="D10" i="27"/>
  <c r="B10" i="27"/>
  <c r="B9" i="27"/>
  <c r="B6" i="27"/>
  <c r="B3" i="27"/>
  <c r="B2" i="1" s="1"/>
  <c r="B4" i="1"/>
  <c r="E90" i="29"/>
  <c r="E89" i="29"/>
  <c r="D11" i="42"/>
  <c r="J3" i="35"/>
  <c r="L3" i="35"/>
  <c r="B7" i="35" s="1"/>
  <c r="I3" i="30"/>
  <c r="K3" i="30"/>
  <c r="D33" i="42"/>
  <c r="D34" i="42"/>
  <c r="D35" i="42"/>
  <c r="D36" i="42"/>
  <c r="D37" i="42"/>
  <c r="D38" i="42"/>
  <c r="D39" i="42"/>
  <c r="D40" i="42"/>
  <c r="D41" i="42"/>
  <c r="D32" i="42"/>
  <c r="D31" i="42"/>
  <c r="D30" i="42"/>
  <c r="D29" i="42"/>
  <c r="K30" i="35"/>
  <c r="K31" i="35"/>
  <c r="K32" i="35"/>
  <c r="K33" i="35"/>
  <c r="L144" i="29"/>
  <c r="M144" i="29"/>
  <c r="N144" i="29"/>
  <c r="O144" i="29"/>
  <c r="P144" i="29"/>
  <c r="Q144" i="29"/>
  <c r="R144" i="29"/>
  <c r="S144" i="29"/>
  <c r="L145" i="29"/>
  <c r="M145" i="29"/>
  <c r="N145" i="29"/>
  <c r="O145" i="29"/>
  <c r="P145" i="29"/>
  <c r="Q145" i="29"/>
  <c r="R145" i="29"/>
  <c r="S145" i="29"/>
  <c r="L146" i="29"/>
  <c r="M146" i="29"/>
  <c r="N146" i="29"/>
  <c r="O146" i="29"/>
  <c r="P146" i="29"/>
  <c r="Q146" i="29"/>
  <c r="R146" i="29"/>
  <c r="S146" i="29"/>
  <c r="L147" i="29"/>
  <c r="M147" i="29"/>
  <c r="N147" i="29"/>
  <c r="O147" i="29"/>
  <c r="P147" i="29"/>
  <c r="Q147" i="29"/>
  <c r="R147" i="29"/>
  <c r="S147" i="29"/>
  <c r="L148" i="29"/>
  <c r="M148" i="29"/>
  <c r="N148" i="29"/>
  <c r="O148" i="29"/>
  <c r="P148" i="29"/>
  <c r="Q148" i="29"/>
  <c r="R148" i="29"/>
  <c r="S148" i="29"/>
  <c r="M143" i="29"/>
  <c r="N143" i="29"/>
  <c r="O143" i="29"/>
  <c r="P143" i="29"/>
  <c r="Q143" i="29"/>
  <c r="R143" i="29"/>
  <c r="S143" i="29"/>
  <c r="F145" i="29"/>
  <c r="F147" i="29"/>
  <c r="F143" i="29"/>
  <c r="E145" i="29"/>
  <c r="E147" i="29"/>
  <c r="E143" i="29"/>
  <c r="B145" i="29"/>
  <c r="B147" i="29"/>
  <c r="B143" i="29"/>
  <c r="B32" i="29"/>
  <c r="D38" i="29"/>
  <c r="C38" i="29"/>
  <c r="L33" i="29"/>
  <c r="L35" i="29" s="1"/>
  <c r="M33" i="29"/>
  <c r="Q51" i="29" s="1"/>
  <c r="N33" i="29"/>
  <c r="N35" i="29" s="1"/>
  <c r="L34" i="29"/>
  <c r="M34" i="29"/>
  <c r="N34" i="29"/>
  <c r="B31" i="29"/>
  <c r="E51" i="29"/>
  <c r="H29" i="30"/>
  <c r="H28" i="30"/>
  <c r="H27" i="30"/>
  <c r="D24" i="42"/>
  <c r="D23" i="42"/>
  <c r="D22" i="42"/>
  <c r="D21" i="42"/>
  <c r="D20" i="42"/>
  <c r="D19" i="42"/>
  <c r="D14" i="42"/>
  <c r="D13" i="42"/>
  <c r="D12" i="42"/>
  <c r="B25" i="45"/>
  <c r="B23" i="45"/>
  <c r="B21" i="45"/>
  <c r="B20" i="45"/>
  <c r="B19" i="45"/>
  <c r="B11" i="45"/>
  <c r="B10" i="45"/>
  <c r="B9" i="45"/>
  <c r="B8" i="45"/>
  <c r="B4" i="37"/>
  <c r="B4" i="35"/>
  <c r="B4" i="30"/>
  <c r="G73" i="29"/>
  <c r="E20" i="42" s="1"/>
  <c r="G12" i="27"/>
  <c r="H4" i="1"/>
  <c r="K148" i="29"/>
  <c r="K147" i="29"/>
  <c r="K146" i="29"/>
  <c r="K145" i="29"/>
  <c r="K144" i="29"/>
  <c r="K143" i="29"/>
  <c r="C98" i="29"/>
  <c r="D98" i="29" s="1"/>
  <c r="E98" i="29" s="1"/>
  <c r="F98" i="29" s="1"/>
  <c r="G98" i="29" s="1"/>
  <c r="H98" i="29" s="1"/>
  <c r="I98" i="29" s="1"/>
  <c r="J98" i="29" s="1"/>
  <c r="K98" i="29" s="1"/>
  <c r="L98" i="29" s="1"/>
  <c r="M98" i="29" s="1"/>
  <c r="N98" i="29" s="1"/>
  <c r="K27" i="30"/>
  <c r="J27" i="30"/>
  <c r="K28" i="30"/>
  <c r="J28" i="30"/>
  <c r="K29" i="30"/>
  <c r="J29" i="30"/>
  <c r="E53" i="29"/>
  <c r="B4" i="39"/>
  <c r="D5" i="39"/>
  <c r="E4" i="39"/>
  <c r="K5" i="39"/>
  <c r="J4" i="39"/>
  <c r="L3" i="39"/>
  <c r="J3" i="39"/>
  <c r="L5" i="42"/>
  <c r="L4" i="42"/>
  <c r="E5" i="42"/>
  <c r="E4" i="42"/>
  <c r="B4" i="42"/>
  <c r="M3" i="42"/>
  <c r="L3" i="42"/>
  <c r="E4" i="37"/>
  <c r="Q3" i="37"/>
  <c r="H30" i="35"/>
  <c r="I33" i="35"/>
  <c r="I32" i="35"/>
  <c r="I31" i="35"/>
  <c r="I30" i="35"/>
  <c r="B26" i="35"/>
  <c r="B13" i="27"/>
  <c r="B11" i="27"/>
  <c r="G10" i="27"/>
  <c r="D9" i="27"/>
  <c r="F6" i="27"/>
  <c r="B3" i="32"/>
  <c r="C100" i="29"/>
  <c r="D100" i="29" s="1"/>
  <c r="E100" i="29" s="1"/>
  <c r="F100" i="29" s="1"/>
  <c r="G100" i="29" s="1"/>
  <c r="H100" i="29" s="1"/>
  <c r="I100" i="29" s="1"/>
  <c r="J100" i="29" s="1"/>
  <c r="K100" i="29" s="1"/>
  <c r="L100" i="29" s="1"/>
  <c r="M100" i="29" s="1"/>
  <c r="N100" i="29" s="1"/>
  <c r="C99" i="29"/>
  <c r="D99" i="29" s="1"/>
  <c r="E99" i="29" s="1"/>
  <c r="F99" i="29" s="1"/>
  <c r="G99" i="29" s="1"/>
  <c r="H99" i="29" s="1"/>
  <c r="I99" i="29" s="1"/>
  <c r="J99" i="29" s="1"/>
  <c r="K99" i="29" s="1"/>
  <c r="L99" i="29" s="1"/>
  <c r="M99" i="29" s="1"/>
  <c r="N99" i="29" s="1"/>
  <c r="E79" i="29"/>
  <c r="D5" i="35"/>
  <c r="E4" i="35"/>
  <c r="K5" i="35"/>
  <c r="J4" i="35"/>
  <c r="D5" i="37"/>
  <c r="P5" i="37"/>
  <c r="P4" i="37"/>
  <c r="O3" i="37"/>
  <c r="J5" i="30"/>
  <c r="D5" i="30"/>
  <c r="I4" i="30"/>
  <c r="E4" i="30"/>
  <c r="L8" i="37"/>
  <c r="F8" i="37"/>
  <c r="B8" i="37"/>
  <c r="L143" i="29"/>
  <c r="J148" i="29"/>
  <c r="J147" i="29"/>
  <c r="J146" i="29"/>
  <c r="J145" i="29"/>
  <c r="J144" i="29"/>
  <c r="J143" i="29"/>
  <c r="I148" i="29"/>
  <c r="I147" i="29"/>
  <c r="I146" i="29"/>
  <c r="I145" i="29"/>
  <c r="I144" i="29"/>
  <c r="I143" i="29"/>
  <c r="H148" i="29"/>
  <c r="H147" i="29"/>
  <c r="H146" i="29"/>
  <c r="H145" i="29"/>
  <c r="H144" i="29"/>
  <c r="H143" i="29"/>
  <c r="B26" i="37"/>
  <c r="B25" i="37"/>
  <c r="B24" i="37"/>
  <c r="B23" i="37"/>
  <c r="S142" i="29"/>
  <c r="R142" i="29"/>
  <c r="Q142" i="29"/>
  <c r="P142" i="29"/>
  <c r="O142" i="29"/>
  <c r="B22" i="37"/>
  <c r="B21" i="37"/>
  <c r="B20" i="37"/>
  <c r="B27" i="37"/>
  <c r="N142" i="29"/>
  <c r="M142" i="29"/>
  <c r="L142" i="29"/>
  <c r="K142" i="29"/>
  <c r="J142" i="29"/>
  <c r="I142" i="29"/>
  <c r="H142" i="29"/>
  <c r="B36" i="39"/>
  <c r="B34" i="39"/>
  <c r="E54" i="29"/>
  <c r="B34" i="35"/>
  <c r="Z24" i="37"/>
  <c r="AA24" i="37"/>
  <c r="AF24" i="37" s="1"/>
  <c r="Z23" i="37"/>
  <c r="AA23" i="37" s="1"/>
  <c r="Z22" i="37"/>
  <c r="AA22" i="37"/>
  <c r="AF22" i="37" s="1"/>
  <c r="AF21" i="37"/>
  <c r="AE21" i="37"/>
  <c r="AD21" i="37"/>
  <c r="AC21" i="37"/>
  <c r="AB21" i="37"/>
  <c r="T21" i="37"/>
  <c r="U21" i="37"/>
  <c r="V21" i="37"/>
  <c r="W21" i="37"/>
  <c r="X21" i="37"/>
  <c r="T22" i="37"/>
  <c r="U22" i="37"/>
  <c r="V22" i="37"/>
  <c r="W22" i="37"/>
  <c r="X22" i="37"/>
  <c r="T23" i="37"/>
  <c r="U23" i="37"/>
  <c r="V23" i="37"/>
  <c r="W23" i="37"/>
  <c r="X23" i="37"/>
  <c r="T24" i="37"/>
  <c r="U24" i="37"/>
  <c r="V24" i="37"/>
  <c r="W24" i="37"/>
  <c r="X24" i="37"/>
  <c r="T25" i="37"/>
  <c r="U25" i="37"/>
  <c r="V25" i="37"/>
  <c r="W25" i="37"/>
  <c r="X25" i="37"/>
  <c r="U28" i="37"/>
  <c r="T26" i="37"/>
  <c r="U26" i="37"/>
  <c r="V26" i="37"/>
  <c r="W26" i="37"/>
  <c r="X26" i="37"/>
  <c r="T29" i="37"/>
  <c r="T27" i="37"/>
  <c r="U27" i="37"/>
  <c r="V27" i="37"/>
  <c r="W27" i="37"/>
  <c r="X27" i="37"/>
  <c r="B28" i="37"/>
  <c r="T28" i="37"/>
  <c r="V28" i="37"/>
  <c r="X28" i="37"/>
  <c r="B29" i="37"/>
  <c r="T31" i="37"/>
  <c r="U29" i="37"/>
  <c r="W29" i="37"/>
  <c r="T30" i="37"/>
  <c r="U30" i="37"/>
  <c r="V30" i="37"/>
  <c r="W30" i="37"/>
  <c r="X30" i="37"/>
  <c r="U31" i="37"/>
  <c r="W31" i="37"/>
  <c r="T32" i="37"/>
  <c r="U32" i="37"/>
  <c r="V32" i="37"/>
  <c r="W32" i="37"/>
  <c r="X32" i="37"/>
  <c r="T33" i="37"/>
  <c r="U33" i="37"/>
  <c r="V33" i="37"/>
  <c r="W33" i="37"/>
  <c r="X33" i="37"/>
  <c r="X31" i="37"/>
  <c r="V31" i="37"/>
  <c r="X29" i="37"/>
  <c r="V29" i="37"/>
  <c r="W28" i="37"/>
  <c r="B8" i="30"/>
  <c r="AE24" i="37"/>
  <c r="H26" i="35"/>
  <c r="F20" i="42"/>
  <c r="K110" i="29" l="1"/>
  <c r="L32" i="35" s="1"/>
  <c r="J32" i="35"/>
  <c r="AD23" i="37"/>
  <c r="AF23" i="37"/>
  <c r="AB23" i="37"/>
  <c r="AC23" i="37"/>
  <c r="AE23" i="37"/>
  <c r="AE22" i="37"/>
  <c r="B22" i="30"/>
  <c r="D34" i="29"/>
  <c r="E34" i="29" s="1"/>
  <c r="AD22" i="37"/>
  <c r="AB24" i="37"/>
  <c r="H22" i="30"/>
  <c r="H8" i="30"/>
  <c r="G20" i="37"/>
  <c r="G28" i="37"/>
  <c r="G21" i="37"/>
  <c r="G23" i="37"/>
  <c r="G25" i="37"/>
  <c r="G29" i="37"/>
  <c r="G26" i="37"/>
  <c r="G22" i="37"/>
  <c r="G24" i="37"/>
  <c r="G27" i="37"/>
  <c r="D33" i="29"/>
  <c r="J31" i="35"/>
  <c r="K109" i="29"/>
  <c r="L31" i="35" s="1"/>
  <c r="C35" i="29"/>
  <c r="R29" i="29"/>
  <c r="K111" i="29"/>
  <c r="L33" i="35" s="1"/>
  <c r="J33" i="35"/>
  <c r="J30" i="35"/>
  <c r="H7" i="35"/>
  <c r="M35" i="29"/>
  <c r="AC22" i="37"/>
  <c r="AC24" i="37"/>
  <c r="H15" i="35"/>
  <c r="AB22" i="37"/>
  <c r="AD24" i="37"/>
  <c r="B15" i="35"/>
  <c r="F34" i="29"/>
  <c r="G34" i="29" s="1"/>
  <c r="H34" i="29" s="1"/>
  <c r="I34" i="29" s="1"/>
  <c r="J34" i="29" s="1"/>
  <c r="K34" i="29" s="1"/>
  <c r="R30" i="29" l="1"/>
  <c r="E33" i="29"/>
  <c r="D35" i="29"/>
  <c r="E35" i="29" l="1"/>
  <c r="R31" i="29"/>
  <c r="F33" i="29"/>
  <c r="F35" i="29" l="1"/>
  <c r="R32" i="29"/>
  <c r="G33" i="29"/>
  <c r="H33" i="29" l="1"/>
  <c r="R33" i="29"/>
  <c r="G35" i="29"/>
  <c r="I33" i="29" l="1"/>
  <c r="J33" i="29" s="1"/>
  <c r="R34" i="29"/>
  <c r="H35" i="29"/>
  <c r="I35" i="29" l="1"/>
  <c r="R35" i="29"/>
  <c r="K33" i="29" l="1"/>
  <c r="F47" i="29" s="1"/>
  <c r="J35" i="29"/>
  <c r="R49" i="29"/>
  <c r="R50" i="29" l="1"/>
  <c r="K35" i="29"/>
  <c r="O31" i="29" s="1"/>
</calcChain>
</file>

<file path=xl/comments1.xml><?xml version="1.0" encoding="utf-8"?>
<comments xmlns="http://schemas.openxmlformats.org/spreadsheetml/2006/main">
  <authors>
    <author>mgleixner</author>
    <author>molszak</author>
  </authors>
  <commentList>
    <comment ref="B30" authorId="0">
      <text>
        <r>
          <rPr>
            <sz val="8"/>
            <color indexed="81"/>
            <rFont val="Tahoma"/>
            <family val="2"/>
            <charset val="204"/>
          </rPr>
          <t>To define your periods (eg. P1, P2, P3 etc or P9, P10, P11 etc) you need to unprotect the cells.</t>
        </r>
      </text>
    </comment>
    <comment ref="B72" authorId="1">
      <text>
        <r>
          <rPr>
            <b/>
            <sz val="8"/>
            <color indexed="81"/>
            <rFont val="Tahoma"/>
            <family val="2"/>
          </rPr>
          <t xml:space="preserve">If data are not available, do not enter zeros; rather, leave the cells in the table blank. </t>
        </r>
      </text>
    </comment>
    <comment ref="B73" authorId="1">
      <text>
        <r>
          <rPr>
            <b/>
            <sz val="8"/>
            <color indexed="81"/>
            <rFont val="Tahoma"/>
            <family val="2"/>
          </rPr>
          <t>If data are not available, do not enter zeros; rather, leave the cells in this table blank.</t>
        </r>
      </text>
    </comment>
    <comment ref="B79" authorId="0">
      <text>
        <r>
          <rPr>
            <sz val="8"/>
            <color indexed="81"/>
            <rFont val="Tahoma"/>
            <family val="2"/>
            <charset val="204"/>
          </rPr>
          <t xml:space="preserve">If data are not available, do not enter zeros; rather, leave the cells in this table blank. </t>
        </r>
      </text>
    </comment>
    <comment ref="B94" authorId="0">
      <text>
        <r>
          <rPr>
            <sz val="8"/>
            <color indexed="81"/>
            <rFont val="Tahoma"/>
            <family val="2"/>
            <charset val="204"/>
          </rPr>
          <t>To define your periods (eg. P1, P2, P3 etc or P9, P10, P11 etc) you need to unprotect the cells.</t>
        </r>
      </text>
    </comment>
  </commentList>
</comments>
</file>

<file path=xl/sharedStrings.xml><?xml version="1.0" encoding="utf-8"?>
<sst xmlns="http://schemas.openxmlformats.org/spreadsheetml/2006/main" count="599" uniqueCount="448">
  <si>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</si>
  <si>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Days taken to submit final PU/DR to LFA</t>
  </si>
  <si>
    <t>Information reporting period</t>
  </si>
  <si>
    <t>Enter the data based on the colour-coded cells</t>
  </si>
  <si>
    <t>% Cumulative</t>
  </si>
  <si>
    <t>Obligations cumulative</t>
  </si>
  <si>
    <t>Expenditures cumulative</t>
  </si>
  <si>
    <t>Programmatic</t>
  </si>
  <si>
    <t>To:</t>
  </si>
  <si>
    <t>Comments:</t>
  </si>
  <si>
    <t xml:space="preserve">Comments: </t>
  </si>
  <si>
    <t>Time Bound Actions (TBAs)</t>
  </si>
  <si>
    <t>Title of the Grant:</t>
  </si>
  <si>
    <t>Start Date:</t>
  </si>
  <si>
    <t>€</t>
  </si>
  <si>
    <t>Round 9</t>
  </si>
  <si>
    <t>Phase 2</t>
  </si>
  <si>
    <t>Round 1</t>
  </si>
  <si>
    <t>Phase 1</t>
  </si>
  <si>
    <t>$</t>
  </si>
  <si>
    <t>Round 2</t>
  </si>
  <si>
    <t>Report Period:</t>
  </si>
  <si>
    <t>to:</t>
  </si>
  <si>
    <t>Round 3</t>
  </si>
  <si>
    <t>RCC</t>
  </si>
  <si>
    <t>Round 4</t>
  </si>
  <si>
    <t>Country:</t>
  </si>
  <si>
    <t>Component:</t>
  </si>
  <si>
    <t>HIV / AIDS</t>
  </si>
  <si>
    <t>Latest Rating:</t>
  </si>
  <si>
    <t>Report preparation date:</t>
  </si>
  <si>
    <t>Local Fund Agent:</t>
  </si>
  <si>
    <t>Prepared by:</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</si>
  <si>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</si>
  <si>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</si>
  <si>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</si>
  <si>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</si>
  <si>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</si>
  <si>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</si>
  <si>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</si>
  <si>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</si>
  <si>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</si>
  <si>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</si>
  <si>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</si>
  <si>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</si>
  <si>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</si>
  <si>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</si>
  <si>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</si>
  <si>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</si>
  <si>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</si>
  <si>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</si>
  <si>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</si>
  <si>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</si>
  <si>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</si>
  <si>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</si>
  <si>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</si>
  <si>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</si>
  <si>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</si>
  <si>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</si>
  <si>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</si>
  <si>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Disbursement</t>
  </si>
  <si>
    <t>Expected (days)</t>
  </si>
  <si>
    <t>Actual (days)</t>
  </si>
  <si>
    <t>Financial Indicators</t>
  </si>
  <si>
    <t>Planned</t>
  </si>
  <si>
    <t>Vacant</t>
  </si>
  <si>
    <t>#  Expected</t>
  </si>
  <si>
    <t># Received</t>
  </si>
  <si>
    <t>Assessed</t>
  </si>
  <si>
    <t>Signed</t>
  </si>
  <si>
    <t>Management Indicators</t>
  </si>
  <si>
    <t>NVP</t>
  </si>
  <si>
    <t>3TC</t>
  </si>
  <si>
    <t>D4T</t>
  </si>
  <si>
    <t>AZT</t>
  </si>
  <si>
    <t>DDI</t>
  </si>
  <si>
    <t>EFV</t>
  </si>
  <si>
    <t>AS/MQ</t>
  </si>
  <si>
    <t>AS/LF</t>
  </si>
  <si>
    <t>AS/AQ</t>
  </si>
  <si>
    <t>Products</t>
  </si>
  <si>
    <t>Peru</t>
  </si>
  <si>
    <t>Filled</t>
  </si>
  <si>
    <t>Approved</t>
  </si>
  <si>
    <t>HIVAIDS / TB</t>
  </si>
  <si>
    <t>HSS</t>
  </si>
  <si>
    <t>Target</t>
  </si>
  <si>
    <t xml:space="preserve">Achieved </t>
  </si>
  <si>
    <t>Medicaments</t>
  </si>
  <si>
    <t>Indicators</t>
  </si>
  <si>
    <t>Achieved</t>
  </si>
  <si>
    <t>min</t>
  </si>
  <si>
    <t>max</t>
  </si>
  <si>
    <t>Comments</t>
  </si>
  <si>
    <t xml:space="preserve">Financial </t>
  </si>
  <si>
    <t>Management</t>
  </si>
  <si>
    <t>What is the overall status of this grant implementation?</t>
  </si>
  <si>
    <t>Due Date</t>
  </si>
  <si>
    <t>Summary Comments</t>
  </si>
  <si>
    <t>Are all funds reaching implementation levels and being spent according to budget?</t>
  </si>
  <si>
    <t>Are technical targets being achieved?</t>
  </si>
  <si>
    <t>Are procurement and hiring on schedule?</t>
  </si>
  <si>
    <t>F1</t>
  </si>
  <si>
    <t>F2</t>
  </si>
  <si>
    <t>F3</t>
  </si>
  <si>
    <t>F4</t>
  </si>
  <si>
    <t>P1</t>
  </si>
  <si>
    <t>P2</t>
  </si>
  <si>
    <t>P3</t>
  </si>
  <si>
    <t>P4</t>
  </si>
  <si>
    <t>M1</t>
  </si>
  <si>
    <t>M2</t>
  </si>
  <si>
    <t>M3</t>
  </si>
  <si>
    <t>M4</t>
  </si>
  <si>
    <t>M5</t>
  </si>
  <si>
    <t>Yes</t>
  </si>
  <si>
    <t>M6</t>
  </si>
  <si>
    <t>Grant No.:</t>
  </si>
  <si>
    <t>Fulfilled</t>
  </si>
  <si>
    <t>Not fulfilled, and past the deadline</t>
  </si>
  <si>
    <t>Receiving Funding</t>
  </si>
  <si>
    <t>P5</t>
  </si>
  <si>
    <t>P6</t>
  </si>
  <si>
    <t>P7</t>
  </si>
  <si>
    <t>P8</t>
  </si>
  <si>
    <t>P9</t>
  </si>
  <si>
    <t>P10</t>
  </si>
  <si>
    <t>P11</t>
  </si>
  <si>
    <t>SRs</t>
  </si>
  <si>
    <t>CCM Decision</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</si>
  <si>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</si>
  <si>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</si>
  <si>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</si>
  <si>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</si>
  <si>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</si>
  <si>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</si>
  <si>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</si>
  <si>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</si>
  <si>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</si>
  <si>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</si>
  <si>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</si>
  <si>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</si>
  <si>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</si>
  <si>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</si>
  <si>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</si>
  <si>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</si>
  <si>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</si>
  <si>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</si>
  <si>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</si>
  <si>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</si>
  <si>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</si>
  <si>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</si>
  <si>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</si>
  <si>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</si>
  <si>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</si>
  <si>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</si>
  <si>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</si>
  <si>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</si>
  <si>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</si>
  <si>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</si>
  <si>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</si>
  <si>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</si>
  <si>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</si>
  <si>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</si>
  <si>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</si>
  <si>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</si>
  <si>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</si>
  <si>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</si>
  <si>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</si>
  <si>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</si>
  <si>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</si>
  <si>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</si>
  <si>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</si>
  <si>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</si>
  <si>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</si>
  <si>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</si>
  <si>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</si>
  <si>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</si>
  <si>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</si>
  <si>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</si>
  <si>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</si>
  <si>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</si>
  <si>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</si>
  <si>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</si>
  <si>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</si>
  <si>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</si>
  <si>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</si>
  <si>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</si>
  <si>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</si>
  <si>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</si>
  <si>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</si>
  <si>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</si>
  <si>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</si>
  <si>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</si>
  <si>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</si>
  <si>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</si>
  <si>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</si>
  <si>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</si>
  <si>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</si>
  <si>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</si>
  <si>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</si>
  <si>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</si>
  <si>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</si>
  <si>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</si>
  <si>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</si>
  <si>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</si>
  <si>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</si>
  <si>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</si>
  <si>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</si>
  <si>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</si>
  <si>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</si>
  <si>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</si>
  <si>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</si>
  <si>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</si>
  <si>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</si>
  <si>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</si>
  <si>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</si>
  <si>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</si>
  <si>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</si>
  <si>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</si>
  <si>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</si>
  <si>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</si>
  <si>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</si>
  <si>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</si>
  <si>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</si>
  <si>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</si>
  <si>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</si>
  <si>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</si>
  <si>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</si>
  <si>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</si>
  <si>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</si>
  <si>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</si>
  <si>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</si>
  <si>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</si>
  <si>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</si>
  <si>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</si>
  <si>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</si>
  <si>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</si>
  <si>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</si>
  <si>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</si>
  <si>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</si>
  <si>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</si>
  <si>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</si>
  <si>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</si>
  <si>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</si>
  <si>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</si>
  <si>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</si>
  <si>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</si>
  <si>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</si>
  <si>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</si>
  <si>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</si>
  <si>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</si>
  <si>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</si>
  <si>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</si>
  <si>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</si>
  <si>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</si>
  <si>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</si>
  <si>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</si>
  <si>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</si>
  <si>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</si>
  <si>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</si>
  <si>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</si>
  <si>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</si>
  <si>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</si>
  <si>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Management Information:</t>
  </si>
  <si>
    <t>Valor</t>
  </si>
  <si>
    <t>Rating</t>
  </si>
  <si>
    <t>from:</t>
  </si>
  <si>
    <t>Reporting period</t>
  </si>
  <si>
    <t>Principal Recipient:</t>
  </si>
  <si>
    <t>Disbursed to SRs</t>
  </si>
  <si>
    <t>SR expenditures</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</si>
  <si>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</si>
  <si>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</si>
  <si>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</si>
  <si>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</si>
  <si>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</si>
  <si>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</si>
  <si>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</si>
  <si>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</si>
  <si>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</si>
  <si>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</si>
  <si>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</si>
  <si>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</si>
  <si>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</si>
  <si>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</si>
  <si>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</si>
  <si>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</si>
  <si>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</si>
  <si>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Pending</t>
  </si>
  <si>
    <t>Fund Portfolio Manager:</t>
  </si>
  <si>
    <t>PR expenditure and disbursement</t>
  </si>
  <si>
    <t>Identified</t>
  </si>
  <si>
    <t>Person Responsible</t>
  </si>
  <si>
    <t>LFA</t>
  </si>
  <si>
    <t xml:space="preserve">Date </t>
  </si>
  <si>
    <t xml:space="preserve">The indicators should be selected by the PRs and members of the CCM or the CCM Technical Committee, from the Performance Framework </t>
  </si>
  <si>
    <t>Not fulfilled, but within deadline</t>
  </si>
  <si>
    <t>Programmatic Indicators (from Performance Framework)</t>
  </si>
  <si>
    <t>Indicator Number: Name (Perf Framework No.)</t>
  </si>
  <si>
    <t>Isoniazid</t>
  </si>
  <si>
    <t>Ethambutol</t>
  </si>
  <si>
    <t>Rifampicin</t>
  </si>
  <si>
    <t>Pyrazimamide</t>
  </si>
  <si>
    <t>Definition  (from M&amp;E Plan, June 2007)</t>
  </si>
  <si>
    <t xml:space="preserve">     Enter management data in every blue cell.</t>
  </si>
  <si>
    <t>Key Recommendations from Oversight Group(s)</t>
  </si>
  <si>
    <t>Current  Reporting  Period</t>
  </si>
  <si>
    <t>Previous  Reporting  Period</t>
  </si>
  <si>
    <t xml:space="preserve">Last fund disbursement: Calendar days </t>
  </si>
  <si>
    <t>E-PAP</t>
  </si>
  <si>
    <t>Al/Lum</t>
  </si>
  <si>
    <t>Disbursed by Global Fund</t>
  </si>
  <si>
    <t>PMU</t>
  </si>
  <si>
    <t>Expenditures</t>
  </si>
  <si>
    <t>TB nutri'l supplements</t>
  </si>
  <si>
    <t>Recommendations</t>
  </si>
  <si>
    <t>P1 - trend</t>
  </si>
  <si>
    <t>P2 - trend</t>
  </si>
  <si>
    <t>P3 - trend</t>
  </si>
  <si>
    <t>Set-up = List of validation for Grant Detail page</t>
  </si>
  <si>
    <t>Action Taken</t>
  </si>
  <si>
    <t>Total Funding:</t>
  </si>
  <si>
    <t>Phase:</t>
  </si>
  <si>
    <t>Round:</t>
  </si>
  <si>
    <t>From:</t>
  </si>
  <si>
    <t>Date of entry  of information:</t>
  </si>
  <si>
    <t xml:space="preserve">     Enter finance data in every orange cell like this.</t>
  </si>
  <si>
    <t>Code</t>
  </si>
  <si>
    <t>Grant No.</t>
  </si>
  <si>
    <t>Total Funding</t>
  </si>
  <si>
    <t>Difference between current stock and safety stock</t>
  </si>
  <si>
    <t>Months of safety stock</t>
  </si>
  <si>
    <t>0% - 59%</t>
  </si>
  <si>
    <t>60% - 89%</t>
  </si>
  <si>
    <t>&gt; 90%</t>
  </si>
  <si>
    <t>Actions to Implement / Previous Period</t>
  </si>
  <si>
    <t>(2 = 1 x 30)
Monthly treatment 
(Tablets per patient x 30 days)</t>
  </si>
  <si>
    <t>(3)
Total patients in treatment</t>
  </si>
  <si>
    <t>(4 = 2 x 3)
Total # tab/pills required for all patients per month</t>
  </si>
  <si>
    <t>(5)
Current stock in central warehouse (that does not expire within the next 3 months)</t>
  </si>
  <si>
    <t>(6 = 5 / 4)
Stock level expressed in months of treatment for all current patients</t>
  </si>
  <si>
    <t xml:space="preserve">(7)
Level of safety stock
(expressed in months and defined by country) </t>
  </si>
  <si>
    <t>(8 = 6 - 7)
Difference between current stock and safety stock</t>
  </si>
  <si>
    <t>Stock level expressed in months of treatment for all current patients</t>
  </si>
  <si>
    <t>Directly Tied?</t>
  </si>
  <si>
    <t>Indicator</t>
  </si>
  <si>
    <t xml:space="preserve">Last fund disbursement: Number of calendar days </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</si>
  <si>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</si>
  <si>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</si>
  <si>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</si>
  <si>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</si>
  <si>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</si>
  <si>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</si>
  <si>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</si>
  <si>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</si>
  <si>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</si>
  <si>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</si>
  <si>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</si>
  <si>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</si>
  <si>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</si>
  <si>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</si>
  <si>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</si>
  <si>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Information on indicators</t>
  </si>
  <si>
    <t>Days taken for disbursement to reach PR</t>
  </si>
  <si>
    <t xml:space="preserve">Days taken for disbursement to reach SRs </t>
  </si>
  <si>
    <t>Obligations</t>
  </si>
  <si>
    <t>PR records: Warehouse data.</t>
  </si>
  <si>
    <t>(1)
Number of tablets per patient per day
(Review country treatment guidelines)</t>
  </si>
  <si>
    <t>Budget Approved*</t>
  </si>
  <si>
    <t>Round 10</t>
  </si>
  <si>
    <t>Currency of the grant</t>
  </si>
  <si>
    <t xml:space="preserve">     Enter performance data in every yellow cell.</t>
  </si>
  <si>
    <t>Decisions and Actions</t>
  </si>
  <si>
    <t>Please Select</t>
  </si>
  <si>
    <t>Grant information</t>
  </si>
  <si>
    <t>TOP 3</t>
  </si>
  <si>
    <t>Prior to reporting period</t>
  </si>
  <si>
    <t>Current reporting period</t>
  </si>
  <si>
    <t>F3: Disbursements and expenditures</t>
  </si>
  <si>
    <t>F2: Budget and actual expenditures by Grant Objective</t>
  </si>
  <si>
    <t>F1: Budget and disbursements by Global Fund</t>
  </si>
  <si>
    <t>F4: Latest PR reporting and disbursement cycle</t>
  </si>
  <si>
    <t>M1: Status of Conditions Precedent (CPs) and Time Bound Actions (TBAs)</t>
  </si>
  <si>
    <t>M2: Status of key PR management positions</t>
  </si>
  <si>
    <t>M4: Number of complete reports received on time</t>
  </si>
  <si>
    <t>M6: Difference between current and safety stock</t>
  </si>
  <si>
    <t>Cumulative budget</t>
  </si>
  <si>
    <t>Cumulative disbursements</t>
  </si>
  <si>
    <t xml:space="preserve">M3: Contractual arrangements (SRs) </t>
  </si>
  <si>
    <t>SSR to SR</t>
  </si>
  <si>
    <t>SRs to PR</t>
  </si>
  <si>
    <t>M5: Budget and Procurement of health products, health equipment, medicines and pharmaceuticals</t>
  </si>
  <si>
    <t>Programmatic Information:</t>
  </si>
  <si>
    <t>Programmatic Indicators</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</si>
  <si>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</si>
  <si>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</si>
  <si>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</si>
  <si>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</si>
  <si>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Programmatic indicators  (Performance Framework )</t>
  </si>
  <si>
    <t xml:space="preserve">Financial Information: </t>
  </si>
  <si>
    <t xml:space="preserve">Management Information: </t>
  </si>
  <si>
    <t xml:space="preserve">Programmatic Information: </t>
  </si>
  <si>
    <t>Conditions precedent (CPs)</t>
  </si>
  <si>
    <t>Grant Objective</t>
  </si>
  <si>
    <t>Start Date (dd/Mmm/yy):</t>
  </si>
  <si>
    <t>* Includes only EFR category 4 and 5  (Health products and health equipment &amp; Medicines and Pharmaceuticals)</t>
  </si>
  <si>
    <t>Table is automatically updated. No data or information is to be entered here.</t>
  </si>
  <si>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</si>
  <si>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</si>
  <si>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</si>
  <si>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</si>
  <si>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Budget Approved cumulative*</t>
  </si>
  <si>
    <t>Comment: P1</t>
  </si>
  <si>
    <t>Comment: P2</t>
  </si>
  <si>
    <t>Comment: P3</t>
  </si>
  <si>
    <t>Cycloserine</t>
  </si>
  <si>
    <t xml:space="preserve">
</t>
  </si>
  <si>
    <t xml:space="preserve">Percentage of TB patients who had an HIV test result recorded in the TB register </t>
  </si>
  <si>
    <t>Number of bacteriologically confirmed  TB cases in a specified period who subsequently were successfully treated (sum of WHO outcome categories "cured” plus "treatment completed”)</t>
  </si>
  <si>
    <t>Number of TB patients enrolled on standardized 1st line treatment in the specified calendar year</t>
  </si>
  <si>
    <t>Laboratory-confirmed X/MDR-TB patients enrolled on second line anti-TB treatment in the specified calendar year</t>
  </si>
  <si>
    <t xml:space="preserve">Percentage of previously treated TB patients receiving DST
</t>
  </si>
  <si>
    <t>Percentage of cases with drug resistant TB (RR-TB and/or MDR-TB) started on treatment for MDR-TB who were lost to follow up during the first six months of treatment</t>
  </si>
  <si>
    <t xml:space="preserve">Number of and percentage of TB patients on 1st line treatment receiving cash incentives for better adherence to treatment </t>
  </si>
  <si>
    <t>Number and percentage of M/XDR-TB patients on treatment receiving cash incentives for better adherence to treatment during out-patient phase</t>
  </si>
  <si>
    <t xml:space="preserve">
Number of notified cases of all forms of TB - (i.e. bacteriologically confirmed +clinically diagnosed) (new and relapse)
</t>
  </si>
  <si>
    <t xml:space="preserve">Percentage of laboratories showing adequate performance in external quality assurance for smear microscopy among the total number of laboratories that undertake smear microscopy during the reporting period </t>
  </si>
  <si>
    <t>PAS</t>
  </si>
  <si>
    <t>Clarithromycin</t>
  </si>
  <si>
    <t xml:space="preserve">
</t>
  </si>
  <si>
    <t>Clofazimine</t>
  </si>
  <si>
    <t>The new order is expected to deliver in April 2015</t>
  </si>
  <si>
    <t>1- To strengthen the national TB Control Program management, coordination, monitoring and evaluation</t>
  </si>
  <si>
    <t>2-Improve diagnosis of TB including M/XDR TB</t>
  </si>
  <si>
    <t>3-To insure quality treatment of all forms of TB</t>
  </si>
  <si>
    <t>4-To insure adherence to TB treatment by intensive patient support and follow up</t>
  </si>
  <si>
    <t>5-Project nanagement of the PR</t>
  </si>
  <si>
    <t>Tsovinar Sakanian</t>
  </si>
  <si>
    <t>NCDC</t>
  </si>
  <si>
    <t>GEO-T-NCDC</t>
  </si>
  <si>
    <t>Giorgi Kuchukhidze</t>
  </si>
  <si>
    <t xml:space="preserve"> </t>
  </si>
  <si>
    <t xml:space="preserve">The relatively low indicator relates to the actual (decreased) number of TB patients in the country. </t>
  </si>
  <si>
    <t>N/A</t>
  </si>
  <si>
    <t>The underachievement of some indicators (P3, P5, P6) is due to overall decrease of TB patients. Therefore, revision of current targets is suggested.</t>
  </si>
  <si>
    <t>The slight underachievement with regard to the percentage of previously treated TB patients receiving DST was due to the fact that several patients who failed the ongoing MDR TB treatment were assigned the new treatment regimen (pre-XDR or XDR TB), with no further need for first line drug susceptibility testing (DST).</t>
  </si>
  <si>
    <t>In agreement with the GFATM the targets will not be revised in the current grant. The targets have been revisited for new TB grant under NFM grant. Start date: January 1, 2017. Thus the underachivement due to change in epidemiological situation in P10 and P 11 is still anticipated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</si>
</sst>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 #,##0.00_-;\-* #,##0.00_-;_-* &quot;-&quot;??_-;_-@_-"/>
    <numFmt numFmtId="165" formatCode="_-* #,##0.00\ _L_a_r_i_-;\-* #,##0.00\ _L_a_r_i_-;_-* &quot;-&quot;??\ _L_a_r_i_-;_-@_-"/>
    <numFmt numFmtId="166" formatCode="_(* #,##0.00_);_(* \(#,##0.00\);_(* &quot;-&quot;??_);_(@_)"/>
    <numFmt numFmtId="167" formatCode="_(&quot;$&quot;* #,##0.00_);_(&quot;$&quot;* \(#,##0.00\);_(&quot;$&quot;* &quot;-&quot;??_);_(@_)"/>
    <numFmt numFmtId="168" formatCode="&quot;Q&quot;#,##0_);[Red]\(&quot;Q&quot;#,##0\)"/>
    <numFmt numFmtId="169" formatCode="_(* #,##0_);_(* \(#,##0\);_(* &quot;-&quot;??_);_(@_)"/>
    <numFmt numFmtId="170" formatCode=";;;"/>
    <numFmt numFmtId="171" formatCode="0.0"/>
    <numFmt numFmtId="172" formatCode=";;;&quot;Financial Variance in %&quot;"/>
    <numFmt numFmtId="173" formatCode="_([$€]* #,##0.00_);_([$€]* \(#,##0.00\);_([$€]* &quot;-&quot;??_);_(@_)"/>
    <numFmt numFmtId="174" formatCode="[$$-409]#,##0"/>
    <numFmt numFmtId="175" formatCode="[$-409]d/mmm/yyyy;@"/>
    <numFmt numFmtId="176" formatCode="[$$-409]#,##0_);\([$$-409]#,##0\)"/>
    <numFmt numFmtId="177" formatCode="0.0%"/>
    <numFmt numFmtId="178" formatCode="_(* #,##0.00000_);_(* \(#,##0.00000\);_(* &quot;-&quot;??_);_(@_)"/>
    <numFmt numFmtId="179" formatCode="_(* #,##0.0000000_);_(* \(#,##0.0000000\);_(* &quot;-&quot;??_);_(@_)"/>
  </numFmts>
  <fonts count="160">
    <font>
      <sz val="11"/>
      <color theme="1"/>
      <name val="Calibri"/>
      <family val="2"/>
      <scheme val="minor"/>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font>
    <font>
      <b/>
      <sz val="14"/>
      <color indexed="52"/>
      <name val="Calibri"/>
      <family val="2"/>
    </font>
    <font>
      <b/>
      <sz val="12"/>
      <color indexed="8"/>
      <name val="Calibri"/>
      <family val="2"/>
    </font>
    <font>
      <b/>
      <sz val="11"/>
      <color indexed="8"/>
      <name val="Calibri"/>
      <family val="2"/>
    </font>
    <font>
      <sz val="11"/>
      <color indexed="8"/>
      <name val="Calibri"/>
      <family val="2"/>
    </font>
    <font>
      <b/>
      <sz val="14"/>
      <color indexed="14"/>
      <name val="Calibri"/>
      <family val="2"/>
      <charset val="204"/>
    </font>
    <font>
      <b/>
      <sz val="10"/>
      <color indexed="53"/>
      <name val="Calibri"/>
      <family val="2"/>
    </font>
    <font>
      <b/>
      <sz val="12"/>
      <name val="Arial"/>
      <family val="2"/>
    </font>
    <font>
      <sz val="11"/>
      <color indexed="8"/>
      <name val="Arial Black"/>
      <family val="2"/>
    </font>
    <font>
      <sz val="11"/>
      <color indexed="60"/>
      <name val="Calibri"/>
      <family val="2"/>
    </font>
    <font>
      <sz val="11"/>
      <color indexed="8"/>
      <name val="Calibri"/>
      <family val="2"/>
    </font>
    <font>
      <sz val="11"/>
      <color indexed="8"/>
      <name val="Calibri"/>
      <family val="2"/>
    </font>
    <font>
      <i/>
      <sz val="11"/>
      <color indexed="8"/>
      <name val="Calibri"/>
      <family val="2"/>
      <charset val="204"/>
    </font>
    <font>
      <b/>
      <sz val="11"/>
      <color indexed="60"/>
      <name val="Calibri"/>
      <family val="2"/>
      <charset val="204"/>
    </font>
    <font>
      <b/>
      <sz val="11"/>
      <color indexed="14"/>
      <name val="Calibri"/>
      <family val="2"/>
    </font>
    <font>
      <sz val="22"/>
      <color indexed="9"/>
      <name val="Calibri"/>
      <family val="2"/>
    </font>
    <font>
      <sz val="10"/>
      <color indexed="60"/>
      <name val="Calibri"/>
      <family val="2"/>
      <charset val="204"/>
    </font>
    <font>
      <sz val="11"/>
      <color indexed="12"/>
      <name val="Calibri"/>
      <family val="2"/>
    </font>
    <font>
      <i/>
      <sz val="11"/>
      <name val="Calibri"/>
      <family val="2"/>
      <charset val="204"/>
    </font>
    <font>
      <sz val="10"/>
      <name val="Calibri"/>
      <family val="2"/>
    </font>
    <font>
      <sz val="9"/>
      <color indexed="16"/>
      <name val="Calibri"/>
      <family val="2"/>
    </font>
    <font>
      <b/>
      <i/>
      <sz val="14"/>
      <color indexed="12"/>
      <name val="Calibri"/>
      <family val="2"/>
      <charset val="204"/>
    </font>
    <font>
      <b/>
      <sz val="9"/>
      <name val="Calibri"/>
      <family val="2"/>
    </font>
    <font>
      <sz val="16"/>
      <color indexed="9"/>
      <name val="Calibri"/>
      <family val="2"/>
    </font>
    <font>
      <i/>
      <sz val="11"/>
      <color indexed="8"/>
      <name val="Calibri"/>
      <family val="2"/>
      <charset val="204"/>
    </font>
    <font>
      <b/>
      <sz val="14"/>
      <color indexed="44"/>
      <name val="Calibri"/>
      <family val="2"/>
      <charset val="204"/>
    </font>
    <font>
      <b/>
      <sz val="14"/>
      <color indexed="51"/>
      <name val="Calibri"/>
      <family val="2"/>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font>
    <font>
      <sz val="11"/>
      <color indexed="8"/>
      <name val="Calibri"/>
      <family val="2"/>
    </font>
    <font>
      <sz val="8"/>
      <color indexed="81"/>
      <name val="Tahoma"/>
      <family val="2"/>
      <charset val="204"/>
    </font>
    <font>
      <b/>
      <sz val="20"/>
      <color indexed="8"/>
      <name val="Calibri"/>
      <family val="2"/>
    </font>
    <font>
      <sz val="20"/>
      <color indexed="8"/>
      <name val="Calibri"/>
      <family val="2"/>
    </font>
    <font>
      <sz val="8"/>
      <name val="Arial"/>
      <family val="2"/>
    </font>
    <font>
      <sz val="8"/>
      <color indexed="12"/>
      <name val="Arial"/>
      <family val="2"/>
    </font>
    <font>
      <b/>
      <i/>
      <sz val="8"/>
      <name val="Arial"/>
      <family val="2"/>
    </font>
    <font>
      <sz val="11"/>
      <color indexed="8"/>
      <name val="Calibri"/>
      <family val="2"/>
    </font>
    <font>
      <sz val="11"/>
      <color indexed="9"/>
      <name val="Calibri"/>
      <family val="2"/>
    </font>
    <font>
      <sz val="10"/>
      <name val="Arial"/>
      <family val="2"/>
    </font>
    <font>
      <sz val="10"/>
      <name val="Arial"/>
      <family val="2"/>
    </font>
    <font>
      <u/>
      <sz val="10"/>
      <color indexed="12"/>
      <name val="Arial"/>
      <family val="2"/>
    </font>
    <font>
      <u/>
      <sz val="10"/>
      <color indexed="12"/>
      <name val="Arial"/>
      <family val="2"/>
    </font>
    <font>
      <sz val="11"/>
      <color indexed="62"/>
      <name val="Calibri"/>
      <family val="2"/>
    </font>
    <font>
      <b/>
      <sz val="11"/>
      <color indexed="63"/>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8"/>
      <color indexed="56"/>
      <name val="Cambria"/>
      <family val="2"/>
    </font>
    <font>
      <sz val="11"/>
      <color indexed="60"/>
      <name val="Calibri"/>
      <family val="2"/>
    </font>
    <font>
      <sz val="11"/>
      <color indexed="20"/>
      <name val="Calibri"/>
      <family val="2"/>
    </font>
    <font>
      <i/>
      <sz val="11"/>
      <color indexed="23"/>
      <name val="Calibri"/>
      <family val="2"/>
    </font>
    <font>
      <sz val="11"/>
      <color indexed="52"/>
      <name val="Calibri"/>
      <family val="2"/>
    </font>
    <font>
      <sz val="11"/>
      <color indexed="10"/>
      <name val="Calibri"/>
      <family val="2"/>
    </font>
    <font>
      <sz val="11"/>
      <color indexed="17"/>
      <name val="Calibri"/>
      <family val="2"/>
    </font>
    <font>
      <sz val="11"/>
      <color theme="1"/>
      <name val="Calibri"/>
      <family val="2"/>
      <scheme val="minor"/>
    </font>
    <font>
      <sz val="12"/>
      <color theme="1"/>
      <name val="Times New Roman"/>
      <family val="2"/>
    </font>
    <font>
      <u/>
      <sz val="11"/>
      <color theme="10"/>
      <name val="Calibri"/>
      <family val="2"/>
      <scheme val="minor"/>
    </font>
    <font>
      <u/>
      <sz val="11"/>
      <color theme="11"/>
      <name val="Calibri"/>
      <family val="2"/>
      <scheme val="minor"/>
    </font>
  </fonts>
  <fills count="49">
    <fill>
      <patternFill patternType="none"/>
    </fill>
    <fill>
      <patternFill patternType="gray125"/>
    </fill>
    <fill>
      <patternFill patternType="solid">
        <fgColor indexed="31"/>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10"/>
      </patternFill>
    </fill>
    <fill>
      <patternFill patternType="solid">
        <fgColor indexed="30"/>
      </patternFill>
    </fill>
    <fill>
      <patternFill patternType="solid">
        <fgColor indexed="36"/>
      </patternFill>
    </fill>
    <fill>
      <patternFill patternType="solid">
        <fgColor indexed="52"/>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gray0625">
        <fgColor indexed="52"/>
        <bgColor indexed="43"/>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solid">
        <fgColor indexed="61"/>
        <bgColor indexed="64"/>
      </patternFill>
    </fill>
    <fill>
      <patternFill patternType="gray0625">
        <fgColor indexed="52"/>
      </patternFill>
    </fill>
    <fill>
      <patternFill patternType="solid">
        <fgColor indexed="65"/>
        <bgColor indexed="51"/>
      </patternFill>
    </fill>
    <fill>
      <patternFill patternType="solid">
        <fgColor indexed="43"/>
        <bgColor indexed="52"/>
      </patternFill>
    </fill>
    <fill>
      <patternFill patternType="solid">
        <fgColor indexed="18"/>
        <bgColor indexed="64"/>
      </patternFill>
    </fill>
    <fill>
      <patternFill patternType="solid">
        <fgColor indexed="62"/>
        <bgColor indexed="64"/>
      </patternFill>
    </fill>
    <fill>
      <patternFill patternType="solid">
        <fgColor indexed="43"/>
        <bgColor indexed="51"/>
      </patternFill>
    </fill>
    <fill>
      <patternFill patternType="solid">
        <fgColor indexed="57"/>
        <bgColor indexed="64"/>
      </patternFill>
    </fill>
    <fill>
      <patternFill patternType="solid">
        <fgColor indexed="14"/>
        <bgColor indexed="64"/>
      </patternFill>
    </fill>
    <fill>
      <patternFill patternType="solid">
        <fgColor indexed="13"/>
        <bgColor indexed="64"/>
      </patternFill>
    </fill>
    <fill>
      <patternFill patternType="solid">
        <fgColor theme="0"/>
        <bgColor indexed="64"/>
      </patternFill>
    </fill>
    <fill>
      <patternFill patternType="solid">
        <fgColor rgb="FFCCFFCC"/>
        <bgColor indexed="64"/>
      </patternFill>
    </fill>
    <fill>
      <patternFill patternType="solid">
        <fgColor rgb="FFFFFF00"/>
        <bgColor indexed="64"/>
      </patternFill>
    </fill>
  </fills>
  <borders count="2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auto="1"/>
      </right>
      <top style="thin">
        <color auto="1"/>
      </top>
      <bottom style="thin">
        <color auto="1"/>
      </bottom>
      <diagonal/>
    </border>
    <border>
      <left style="medium">
        <color indexed="16"/>
      </left>
      <right style="thin">
        <color auto="1"/>
      </right>
      <top style="thin">
        <color auto="1"/>
      </top>
      <bottom style="medium">
        <color indexed="16"/>
      </bottom>
      <diagonal/>
    </border>
    <border>
      <left/>
      <right/>
      <top/>
      <bottom style="medium">
        <color indexed="12"/>
      </bottom>
      <diagonal/>
    </border>
    <border>
      <left style="thin">
        <color auto="1"/>
      </left>
      <right style="thin">
        <color auto="1"/>
      </right>
      <top style="medium">
        <color indexed="48"/>
      </top>
      <bottom style="thin">
        <color auto="1"/>
      </bottom>
      <diagonal/>
    </border>
    <border>
      <left style="thin">
        <color auto="1"/>
      </left>
      <right style="medium">
        <color indexed="48"/>
      </right>
      <top style="medium">
        <color indexed="48"/>
      </top>
      <bottom style="thin">
        <color auto="1"/>
      </bottom>
      <diagonal/>
    </border>
    <border>
      <left style="medium">
        <color indexed="48"/>
      </left>
      <right style="thin">
        <color auto="1"/>
      </right>
      <top style="thin">
        <color auto="1"/>
      </top>
      <bottom style="thin">
        <color auto="1"/>
      </bottom>
      <diagonal/>
    </border>
    <border>
      <left style="thin">
        <color auto="1"/>
      </left>
      <right style="medium">
        <color indexed="48"/>
      </right>
      <top style="thin">
        <color auto="1"/>
      </top>
      <bottom style="thin">
        <color auto="1"/>
      </bottom>
      <diagonal/>
    </border>
    <border>
      <left style="medium">
        <color indexed="48"/>
      </left>
      <right style="thin">
        <color auto="1"/>
      </right>
      <top style="thin">
        <color auto="1"/>
      </top>
      <bottom style="medium">
        <color indexed="48"/>
      </bottom>
      <diagonal/>
    </border>
    <border>
      <left style="thin">
        <color auto="1"/>
      </left>
      <right style="medium">
        <color indexed="48"/>
      </right>
      <top style="thin">
        <color auto="1"/>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auto="1"/>
      </left>
      <right/>
      <top style="thin">
        <color auto="1"/>
      </top>
      <bottom style="thin">
        <color auto="1"/>
      </bottom>
      <diagonal/>
    </border>
    <border>
      <left style="thin">
        <color auto="1"/>
      </left>
      <right/>
      <top style="thin">
        <color auto="1"/>
      </top>
      <bottom style="medium">
        <color indexed="51"/>
      </bottom>
      <diagonal/>
    </border>
    <border>
      <left style="thin">
        <color auto="1"/>
      </left>
      <right style="medium">
        <color indexed="51"/>
      </right>
      <top style="thin">
        <color auto="1"/>
      </top>
      <bottom style="thin">
        <color auto="1"/>
      </bottom>
      <diagonal/>
    </border>
    <border>
      <left style="dotted">
        <color auto="1"/>
      </left>
      <right style="dotted">
        <color auto="1"/>
      </right>
      <top style="medium">
        <color indexed="52"/>
      </top>
      <bottom style="hair">
        <color auto="1"/>
      </bottom>
      <diagonal/>
    </border>
    <border>
      <left style="dotted">
        <color auto="1"/>
      </left>
      <right style="dotted">
        <color auto="1"/>
      </right>
      <top style="hair">
        <color auto="1"/>
      </top>
      <bottom style="hair">
        <color auto="1"/>
      </bottom>
      <diagonal/>
    </border>
    <border>
      <left style="dotted">
        <color auto="1"/>
      </left>
      <right style="dotted">
        <color auto="1"/>
      </right>
      <top style="hair">
        <color auto="1"/>
      </top>
      <bottom style="medium">
        <color indexed="52"/>
      </bottom>
      <diagonal/>
    </border>
    <border>
      <left style="dotted">
        <color indexed="62"/>
      </left>
      <right style="dotted">
        <color auto="1"/>
      </right>
      <top style="medium">
        <color indexed="62"/>
      </top>
      <bottom style="hair">
        <color auto="1"/>
      </bottom>
      <diagonal/>
    </border>
    <border>
      <left style="dotted">
        <color indexed="62"/>
      </left>
      <right style="dotted">
        <color auto="1"/>
      </right>
      <top style="hair">
        <color auto="1"/>
      </top>
      <bottom style="hair">
        <color auto="1"/>
      </bottom>
      <diagonal/>
    </border>
    <border>
      <left style="dotted">
        <color indexed="62"/>
      </left>
      <right style="dotted">
        <color auto="1"/>
      </right>
      <top style="hair">
        <color auto="1"/>
      </top>
      <bottom style="medium">
        <color indexed="62"/>
      </bottom>
      <diagonal/>
    </border>
    <border>
      <left style="hair">
        <color auto="1"/>
      </left>
      <right style="hair">
        <color auto="1"/>
      </right>
      <top style="medium">
        <color indexed="5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medium">
        <color indexed="5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style="thin">
        <color indexed="30"/>
      </top>
      <bottom style="thin">
        <color indexed="30"/>
      </bottom>
      <diagonal/>
    </border>
    <border>
      <left/>
      <right style="thick">
        <color indexed="9"/>
      </right>
      <top/>
      <bottom/>
      <diagonal/>
    </border>
    <border>
      <left style="hair">
        <color auto="1"/>
      </left>
      <right style="hair">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indexed="51"/>
      </top>
      <bottom style="thin">
        <color auto="1"/>
      </bottom>
      <diagonal/>
    </border>
    <border>
      <left style="thin">
        <color auto="1"/>
      </left>
      <right style="thin">
        <color auto="1"/>
      </right>
      <top style="thin">
        <color auto="1"/>
      </top>
      <bottom style="medium">
        <color indexed="48"/>
      </bottom>
      <diagonal/>
    </border>
    <border>
      <left style="medium">
        <color indexed="16"/>
      </left>
      <right style="thin">
        <color indexed="16"/>
      </right>
      <top/>
      <bottom style="thin">
        <color indexed="16"/>
      </bottom>
      <diagonal/>
    </border>
    <border>
      <left/>
      <right style="thin">
        <color auto="1"/>
      </right>
      <top style="medium">
        <color indexed="51"/>
      </top>
      <bottom style="thin">
        <color auto="1"/>
      </bottom>
      <diagonal/>
    </border>
    <border>
      <left style="thin">
        <color auto="1"/>
      </left>
      <right/>
      <top/>
      <bottom/>
      <diagonal/>
    </border>
    <border>
      <left style="medium">
        <color indexed="60"/>
      </left>
      <right style="thin">
        <color auto="1"/>
      </right>
      <top style="thin">
        <color auto="1"/>
      </top>
      <bottom style="thin">
        <color auto="1"/>
      </bottom>
      <diagonal/>
    </border>
    <border>
      <left style="medium">
        <color indexed="60"/>
      </left>
      <right style="thin">
        <color auto="1"/>
      </right>
      <top style="thin">
        <color auto="1"/>
      </top>
      <bottom style="medium">
        <color indexed="60"/>
      </bottom>
      <diagonal/>
    </border>
    <border>
      <left style="medium">
        <color indexed="60"/>
      </left>
      <right/>
      <top style="medium">
        <color indexed="60"/>
      </top>
      <bottom style="thin">
        <color auto="1"/>
      </bottom>
      <diagonal/>
    </border>
    <border>
      <left style="thin">
        <color indexed="60"/>
      </left>
      <right style="thin">
        <color indexed="60"/>
      </right>
      <top style="medium">
        <color indexed="60"/>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16"/>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indexed="51"/>
      </left>
      <right style="medium">
        <color indexed="51"/>
      </right>
      <top style="medium">
        <color indexed="5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style="thin">
        <color auto="1"/>
      </right>
      <top style="thin">
        <color auto="1"/>
      </top>
      <bottom style="medium">
        <color auto="1"/>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auto="1"/>
      </top>
      <bottom style="thin">
        <color auto="1"/>
      </bottom>
      <diagonal/>
    </border>
    <border>
      <left style="thin">
        <color indexed="16"/>
      </left>
      <right style="medium">
        <color indexed="16"/>
      </right>
      <top style="medium">
        <color auto="1"/>
      </top>
      <bottom style="thin">
        <color auto="1"/>
      </bottom>
      <diagonal/>
    </border>
    <border>
      <left style="medium">
        <color auto="1"/>
      </left>
      <right/>
      <top/>
      <bottom style="thin">
        <color auto="1"/>
      </bottom>
      <diagonal/>
    </border>
    <border>
      <left style="thin">
        <color indexed="16"/>
      </left>
      <right style="thin">
        <color indexed="16"/>
      </right>
      <top style="thin">
        <color indexed="16"/>
      </top>
      <bottom/>
      <diagonal/>
    </border>
    <border>
      <left style="thin">
        <color auto="1"/>
      </left>
      <right style="thin">
        <color auto="1"/>
      </right>
      <top style="thin">
        <color auto="1"/>
      </top>
      <bottom style="medium">
        <color indexed="16"/>
      </bottom>
      <diagonal/>
    </border>
    <border>
      <left style="thin">
        <color auto="1"/>
      </left>
      <right style="medium">
        <color indexed="60"/>
      </right>
      <top style="thin">
        <color auto="1"/>
      </top>
      <bottom style="thin">
        <color auto="1"/>
      </bottom>
      <diagonal/>
    </border>
    <border>
      <left style="thin">
        <color auto="1"/>
      </left>
      <right style="medium">
        <color indexed="60"/>
      </right>
      <top style="thin">
        <color auto="1"/>
      </top>
      <bottom style="medium">
        <color indexed="60"/>
      </bottom>
      <diagonal/>
    </border>
    <border>
      <left style="thin">
        <color indexed="16"/>
      </left>
      <right style="thin">
        <color indexed="16"/>
      </right>
      <top style="medium">
        <color indexed="51"/>
      </top>
      <bottom style="thin">
        <color auto="1"/>
      </bottom>
      <diagonal/>
    </border>
    <border>
      <left style="thin">
        <color indexed="16"/>
      </left>
      <right style="medium">
        <color indexed="51"/>
      </right>
      <top style="medium">
        <color indexed="51"/>
      </top>
      <bottom style="thin">
        <color auto="1"/>
      </bottom>
      <diagonal/>
    </border>
    <border>
      <left style="thin">
        <color indexed="60"/>
      </left>
      <right style="thin">
        <color indexed="60"/>
      </right>
      <top style="thin">
        <color indexed="60"/>
      </top>
      <bottom style="thin">
        <color indexed="60"/>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thin">
        <color indexed="60"/>
      </left>
      <right style="thin">
        <color indexed="60"/>
      </right>
      <top style="thin">
        <color indexed="60"/>
      </top>
      <bottom style="medium">
        <color indexed="60"/>
      </bottom>
      <diagonal/>
    </border>
    <border>
      <left style="thin">
        <color indexed="60"/>
      </left>
      <right style="medium">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auto="1"/>
      </left>
      <right style="thin">
        <color auto="1"/>
      </right>
      <top/>
      <bottom/>
      <diagonal/>
    </border>
    <border>
      <left/>
      <right style="medium">
        <color indexed="60"/>
      </right>
      <top style="medium">
        <color indexed="60"/>
      </top>
      <bottom/>
      <diagonal/>
    </border>
    <border>
      <left style="thin">
        <color auto="1"/>
      </left>
      <right style="thin">
        <color auto="1"/>
      </right>
      <top style="thin">
        <color auto="1"/>
      </top>
      <bottom style="medium">
        <color indexed="51"/>
      </bottom>
      <diagonal/>
    </border>
    <border>
      <left/>
      <right style="medium">
        <color auto="1"/>
      </right>
      <top style="thin">
        <color auto="1"/>
      </top>
      <bottom style="thin">
        <color auto="1"/>
      </bottom>
      <diagonal/>
    </border>
    <border>
      <left style="medium">
        <color indexed="60"/>
      </left>
      <right style="dotted">
        <color auto="1"/>
      </right>
      <top style="medium">
        <color indexed="60"/>
      </top>
      <bottom style="hair">
        <color auto="1"/>
      </bottom>
      <diagonal/>
    </border>
    <border>
      <left style="medium">
        <color indexed="60"/>
      </left>
      <right style="dotted">
        <color auto="1"/>
      </right>
      <top style="hair">
        <color auto="1"/>
      </top>
      <bottom style="hair">
        <color auto="1"/>
      </bottom>
      <diagonal/>
    </border>
    <border>
      <left style="medium">
        <color indexed="60"/>
      </left>
      <right style="dotted">
        <color auto="1"/>
      </right>
      <top style="hair">
        <color auto="1"/>
      </top>
      <bottom style="medium">
        <color indexed="60"/>
      </bottom>
      <diagonal/>
    </border>
    <border>
      <left style="medium">
        <color indexed="62"/>
      </left>
      <right/>
      <top style="medium">
        <color indexed="62"/>
      </top>
      <bottom style="hair">
        <color auto="1"/>
      </bottom>
      <diagonal/>
    </border>
    <border>
      <left style="medium">
        <color indexed="62"/>
      </left>
      <right/>
      <top style="hair">
        <color auto="1"/>
      </top>
      <bottom style="hair">
        <color auto="1"/>
      </bottom>
      <diagonal/>
    </border>
    <border>
      <left style="medium">
        <color indexed="62"/>
      </left>
      <right/>
      <top style="hair">
        <color auto="1"/>
      </top>
      <bottom style="medium">
        <color indexed="62"/>
      </bottom>
      <diagonal/>
    </border>
    <border>
      <left style="medium">
        <color indexed="51"/>
      </left>
      <right style="hair">
        <color auto="1"/>
      </right>
      <top style="medium">
        <color indexed="51"/>
      </top>
      <bottom style="hair">
        <color auto="1"/>
      </bottom>
      <diagonal/>
    </border>
    <border>
      <left style="medium">
        <color indexed="51"/>
      </left>
      <right style="hair">
        <color auto="1"/>
      </right>
      <top style="hair">
        <color auto="1"/>
      </top>
      <bottom style="hair">
        <color auto="1"/>
      </bottom>
      <diagonal/>
    </border>
    <border>
      <left style="medium">
        <color indexed="51"/>
      </left>
      <right/>
      <top/>
      <bottom style="hair">
        <color auto="1"/>
      </bottom>
      <diagonal/>
    </border>
    <border>
      <left style="medium">
        <color indexed="51"/>
      </left>
      <right/>
      <top/>
      <bottom style="thin">
        <color auto="1"/>
      </bottom>
      <diagonal/>
    </border>
    <border>
      <left/>
      <right/>
      <top/>
      <bottom style="thin">
        <color auto="1"/>
      </bottom>
      <diagonal/>
    </border>
    <border>
      <left style="medium">
        <color indexed="51"/>
      </left>
      <right style="medium">
        <color indexed="5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medium">
        <color indexed="51"/>
      </right>
      <top/>
      <bottom style="thin">
        <color auto="1"/>
      </bottom>
      <diagonal/>
    </border>
    <border>
      <left style="thin">
        <color auto="1"/>
      </left>
      <right style="medium">
        <color indexed="51"/>
      </right>
      <top style="thin">
        <color auto="1"/>
      </top>
      <bottom style="medium">
        <color indexed="5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51"/>
      </left>
      <right style="thin">
        <color auto="1"/>
      </right>
      <top/>
      <bottom style="thin">
        <color auto="1"/>
      </bottom>
      <diagonal/>
    </border>
    <border>
      <left style="medium">
        <color indexed="51"/>
      </left>
      <right style="thin">
        <color auto="1"/>
      </right>
      <top style="thin">
        <color auto="1"/>
      </top>
      <bottom style="thin">
        <color auto="1"/>
      </bottom>
      <diagonal/>
    </border>
    <border>
      <left style="medium">
        <color indexed="16"/>
      </left>
      <right/>
      <top style="medium">
        <color indexed="16"/>
      </top>
      <bottom style="thin">
        <color auto="1"/>
      </bottom>
      <diagonal/>
    </border>
    <border>
      <left/>
      <right/>
      <top style="medium">
        <color indexed="16"/>
      </top>
      <bottom style="thin">
        <color auto="1"/>
      </bottom>
      <diagonal/>
    </border>
    <border>
      <left/>
      <right style="medium">
        <color indexed="16"/>
      </right>
      <top style="medium">
        <color indexed="16"/>
      </top>
      <bottom style="thin">
        <color auto="1"/>
      </bottom>
      <diagonal/>
    </border>
    <border>
      <left style="medium">
        <color indexed="51"/>
      </left>
      <right style="thin">
        <color auto="1"/>
      </right>
      <top style="thin">
        <color auto="1"/>
      </top>
      <bottom/>
      <diagonal/>
    </border>
    <border>
      <left style="medium">
        <color indexed="51"/>
      </left>
      <right style="medium">
        <color indexed="51"/>
      </right>
      <top style="thin">
        <color auto="1"/>
      </top>
      <bottom style="thin">
        <color auto="1"/>
      </bottom>
      <diagonal/>
    </border>
    <border>
      <left style="medium">
        <color indexed="51"/>
      </left>
      <right/>
      <top style="medium">
        <color indexed="51"/>
      </top>
      <bottom style="thin">
        <color auto="1"/>
      </bottom>
      <diagonal/>
    </border>
    <border>
      <left/>
      <right/>
      <top style="medium">
        <color indexed="51"/>
      </top>
      <bottom style="thin">
        <color auto="1"/>
      </bottom>
      <diagonal/>
    </border>
    <border>
      <left/>
      <right style="medium">
        <color indexed="51"/>
      </right>
      <top style="medium">
        <color indexed="51"/>
      </top>
      <bottom style="thin">
        <color auto="1"/>
      </bottom>
      <diagonal/>
    </border>
    <border>
      <left/>
      <right style="thin">
        <color auto="1"/>
      </right>
      <top/>
      <bottom/>
      <diagonal/>
    </border>
    <border>
      <left style="medium">
        <color indexed="51"/>
      </left>
      <right/>
      <top style="thin">
        <color auto="1"/>
      </top>
      <bottom style="thin">
        <color auto="1"/>
      </bottom>
      <diagonal/>
    </border>
    <border>
      <left/>
      <right style="medium">
        <color indexed="51"/>
      </right>
      <top style="thin">
        <color auto="1"/>
      </top>
      <bottom style="thin">
        <color auto="1"/>
      </bottom>
      <diagonal/>
    </border>
    <border>
      <left style="medium">
        <color indexed="48"/>
      </left>
      <right style="thin">
        <color auto="1"/>
      </right>
      <top style="medium">
        <color indexed="48"/>
      </top>
      <bottom style="thin">
        <color auto="1"/>
      </bottom>
      <diagonal/>
    </border>
    <border>
      <left/>
      <right/>
      <top style="medium">
        <color indexed="60"/>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indexed="51"/>
      </left>
      <right/>
      <top style="thin">
        <color auto="1"/>
      </top>
      <bottom style="medium">
        <color indexed="51"/>
      </bottom>
      <diagonal/>
    </border>
    <border>
      <left/>
      <right/>
      <top style="thin">
        <color auto="1"/>
      </top>
      <bottom style="medium">
        <color indexed="51"/>
      </bottom>
      <diagonal/>
    </border>
    <border>
      <left/>
      <right style="medium">
        <color indexed="51"/>
      </right>
      <top style="thin">
        <color auto="1"/>
      </top>
      <bottom style="medium">
        <color indexed="51"/>
      </bottom>
      <diagonal/>
    </border>
    <border>
      <left style="medium">
        <color indexed="51"/>
      </left>
      <right style="thin">
        <color auto="1"/>
      </right>
      <top style="thin">
        <color auto="1"/>
      </top>
      <bottom style="medium">
        <color indexed="51"/>
      </bottom>
      <diagonal/>
    </border>
    <border>
      <left style="medium">
        <color indexed="51"/>
      </left>
      <right style="medium">
        <color indexed="51"/>
      </right>
      <top style="thin">
        <color auto="1"/>
      </top>
      <bottom style="medium">
        <color indexed="51"/>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medium">
        <color indexed="5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ck">
        <color indexed="9"/>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indexed="51"/>
      </right>
      <top style="hair">
        <color auto="1"/>
      </top>
      <bottom style="hair">
        <color auto="1"/>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auto="1"/>
      </left>
      <right/>
      <top style="medium">
        <color indexed="51"/>
      </top>
      <bottom style="hair">
        <color auto="1"/>
      </bottom>
      <diagonal/>
    </border>
    <border>
      <left/>
      <right/>
      <top style="medium">
        <color indexed="51"/>
      </top>
      <bottom style="hair">
        <color auto="1"/>
      </bottom>
      <diagonal/>
    </border>
    <border>
      <left/>
      <right style="medium">
        <color indexed="51"/>
      </right>
      <top style="medium">
        <color indexed="51"/>
      </top>
      <bottom style="hair">
        <color auto="1"/>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hair">
        <color indexed="23"/>
      </bottom>
      <diagonal/>
    </border>
    <border>
      <left/>
      <right style="medium">
        <color indexed="62"/>
      </right>
      <top style="hair">
        <color indexed="23"/>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right style="medium">
        <color indexed="52"/>
      </right>
      <top/>
      <bottom style="medium">
        <color indexed="52"/>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style="medium">
        <color indexed="60"/>
      </right>
      <top style="hair">
        <color indexed="23"/>
      </top>
      <bottom style="hair">
        <color indexed="23"/>
      </bottom>
      <diagonal/>
    </border>
    <border>
      <left style="medium">
        <color indexed="60"/>
      </left>
      <right/>
      <top style="hair">
        <color auto="1"/>
      </top>
      <bottom style="hair">
        <color auto="1"/>
      </bottom>
      <diagonal/>
    </border>
    <border>
      <left/>
      <right style="medium">
        <color indexed="60"/>
      </right>
      <top style="hair">
        <color auto="1"/>
      </top>
      <bottom style="hair">
        <color auto="1"/>
      </bottom>
      <diagonal/>
    </border>
    <border>
      <left style="medium">
        <color indexed="60"/>
      </left>
      <right/>
      <top/>
      <bottom style="hair">
        <color auto="1"/>
      </bottom>
      <diagonal/>
    </border>
    <border>
      <left/>
      <right/>
      <top/>
      <bottom style="hair">
        <color auto="1"/>
      </bottom>
      <diagonal/>
    </border>
    <border>
      <left/>
      <right style="medium">
        <color indexed="60"/>
      </right>
      <top/>
      <bottom style="hair">
        <color auto="1"/>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right/>
      <top/>
      <bottom style="medium">
        <color indexed="52"/>
      </bottom>
      <diagonal/>
    </border>
    <border>
      <left style="medium">
        <color indexed="60"/>
      </left>
      <right/>
      <top/>
      <bottom style="medium">
        <color indexed="60"/>
      </bottom>
      <diagonal/>
    </border>
    <border>
      <left/>
      <right style="medium">
        <color indexed="60"/>
      </right>
      <top/>
      <bottom style="medium">
        <color indexed="60"/>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hair">
        <color indexed="57"/>
      </left>
      <right style="medium">
        <color indexed="57"/>
      </right>
      <top style="medium">
        <color indexed="57"/>
      </top>
      <bottom style="medium">
        <color indexed="57"/>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medium">
        <color auto="1"/>
      </right>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thin">
        <color auto="1"/>
      </left>
      <right style="thin">
        <color auto="1"/>
      </right>
      <top style="thin">
        <color auto="1"/>
      </top>
      <bottom/>
      <diagonal/>
    </border>
    <border>
      <left style="medium">
        <color auto="1"/>
      </left>
      <right style="hair">
        <color auto="1"/>
      </right>
      <top/>
      <bottom style="hair">
        <color auto="1"/>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57"/>
      </left>
      <right style="hair">
        <color indexed="57"/>
      </right>
      <top style="medium">
        <color indexed="57"/>
      </top>
      <bottom style="medium">
        <color indexed="57"/>
      </bottom>
      <diagonal/>
    </border>
    <border>
      <left style="medium">
        <color auto="1"/>
      </left>
      <right/>
      <top style="medium">
        <color indexed="57"/>
      </top>
      <bottom/>
      <diagonal/>
    </border>
    <border>
      <left/>
      <right/>
      <top style="medium">
        <color indexed="57"/>
      </top>
      <bottom/>
      <diagonal/>
    </border>
    <border>
      <left/>
      <right style="medium">
        <color auto="1"/>
      </right>
      <top style="medium">
        <color indexed="57"/>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style="hair">
        <color auto="1"/>
      </bottom>
      <diagonal/>
    </border>
    <border>
      <left/>
      <right/>
      <top style="medium">
        <color rgb="FFFFC000"/>
      </top>
      <bottom/>
      <diagonal/>
    </border>
    <border>
      <left style="thin">
        <color auto="1"/>
      </left>
      <right style="medium">
        <color indexed="51"/>
      </right>
      <top style="thin">
        <color auto="1"/>
      </top>
      <bottom style="medium">
        <color rgb="FFFFC000"/>
      </bottom>
      <diagonal/>
    </border>
  </borders>
  <cellStyleXfs count="153">
    <xf numFmtId="0" fontId="0" fillId="0" borderId="0"/>
    <xf numFmtId="3" fontId="132" fillId="2" borderId="0">
      <alignment horizontal="center"/>
    </xf>
    <xf numFmtId="9" fontId="132" fillId="2" borderId="0">
      <alignment horizontal="center"/>
    </xf>
    <xf numFmtId="3" fontId="133" fillId="0" borderId="0">
      <alignment horizontal="center" vertical="center"/>
      <protection locked="0"/>
    </xf>
    <xf numFmtId="177" fontId="133" fillId="0" borderId="0">
      <alignment horizontal="center" vertical="center"/>
      <protection locked="0"/>
    </xf>
    <xf numFmtId="49" fontId="134" fillId="0" borderId="0">
      <alignment horizontal="left"/>
    </xf>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35" fillId="7" borderId="0" applyNumberFormat="0" applyBorder="0" applyAlignment="0" applyProtection="0"/>
    <xf numFmtId="0" fontId="135" fillId="8" borderId="0" applyNumberFormat="0" applyBorder="0" applyAlignment="0" applyProtection="0"/>
    <xf numFmtId="0" fontId="135" fillId="9" borderId="0" applyNumberFormat="0" applyBorder="0" applyAlignment="0" applyProtection="0"/>
    <xf numFmtId="0" fontId="135" fillId="10" borderId="0" applyNumberFormat="0" applyBorder="0" applyAlignment="0" applyProtection="0"/>
    <xf numFmtId="0" fontId="135" fillId="6" borderId="0" applyNumberFormat="0" applyBorder="0" applyAlignment="0" applyProtection="0"/>
    <xf numFmtId="0" fontId="135" fillId="4"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4" borderId="0" applyNumberFormat="0" applyBorder="0" applyAlignment="0" applyProtection="0"/>
    <xf numFmtId="0" fontId="135" fillId="14" borderId="0" applyNumberFormat="0" applyBorder="0" applyAlignment="0" applyProtection="0"/>
    <xf numFmtId="0" fontId="135" fillId="12" borderId="0" applyNumberFormat="0" applyBorder="0" applyAlignment="0" applyProtection="0"/>
    <xf numFmtId="0" fontId="135" fillId="15" borderId="0" applyNumberFormat="0" applyBorder="0" applyAlignment="0" applyProtection="0"/>
    <xf numFmtId="0" fontId="135" fillId="10" borderId="0" applyNumberFormat="0" applyBorder="0" applyAlignment="0" applyProtection="0"/>
    <xf numFmtId="0" fontId="135" fillId="14" borderId="0" applyNumberFormat="0" applyBorder="0" applyAlignment="0" applyProtection="0"/>
    <xf numFmtId="0" fontId="13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1" borderId="0" applyNumberFormat="0" applyBorder="0" applyAlignment="0" applyProtection="0"/>
    <xf numFmtId="0" fontId="15" fillId="17" borderId="0" applyNumberFormat="0" applyBorder="0" applyAlignment="0" applyProtection="0"/>
    <xf numFmtId="0" fontId="15" fillId="4" borderId="0" applyNumberFormat="0" applyBorder="0" applyAlignment="0" applyProtection="0"/>
    <xf numFmtId="0" fontId="136" fillId="19" borderId="0" applyNumberFormat="0" applyBorder="0" applyAlignment="0" applyProtection="0"/>
    <xf numFmtId="0" fontId="136" fillId="12" borderId="0" applyNumberFormat="0" applyBorder="0" applyAlignment="0" applyProtection="0"/>
    <xf numFmtId="0" fontId="136" fillId="15" borderId="0" applyNumberFormat="0" applyBorder="0" applyAlignment="0" applyProtection="0"/>
    <xf numFmtId="0" fontId="136" fillId="20" borderId="0" applyNumberFormat="0" applyBorder="0" applyAlignment="0" applyProtection="0"/>
    <xf numFmtId="0" fontId="136" fillId="17" borderId="0" applyNumberFormat="0" applyBorder="0" applyAlignment="0" applyProtection="0"/>
    <xf numFmtId="0" fontId="136" fillId="21" borderId="0" applyNumberFormat="0" applyBorder="0" applyAlignment="0" applyProtection="0"/>
    <xf numFmtId="0" fontId="15" fillId="17"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17" borderId="0" applyNumberFormat="0" applyBorder="0" applyAlignment="0" applyProtection="0"/>
    <xf numFmtId="0" fontId="15" fillId="25" borderId="0" applyNumberFormat="0" applyBorder="0" applyAlignment="0" applyProtection="0"/>
    <xf numFmtId="0" fontId="5" fillId="8" borderId="0" applyNumberFormat="0" applyBorder="0" applyAlignment="0" applyProtection="0"/>
    <xf numFmtId="0" fontId="9" fillId="3" borderId="1" applyNumberFormat="0" applyAlignment="0" applyProtection="0"/>
    <xf numFmtId="0" fontId="11" fillId="26" borderId="2" applyNumberFormat="0" applyAlignment="0" applyProtection="0"/>
    <xf numFmtId="166" fontId="3" fillId="0" borderId="0" applyFont="0" applyFill="0" applyBorder="0" applyAlignment="0" applyProtection="0"/>
    <xf numFmtId="164" fontId="2" fillId="0" borderId="0" applyFont="0" applyFill="0" applyBorder="0" applyAlignment="0" applyProtection="0"/>
    <xf numFmtId="164" fontId="137" fillId="0" borderId="0" applyFont="0" applyFill="0" applyBorder="0" applyAlignment="0" applyProtection="0"/>
    <xf numFmtId="165" fontId="138" fillId="0" borderId="0" applyFont="0" applyFill="0" applyBorder="0" applyAlignment="0" applyProtection="0"/>
    <xf numFmtId="166" fontId="156" fillId="0" borderId="0" applyFont="0" applyFill="0" applyBorder="0" applyAlignment="0" applyProtection="0"/>
    <xf numFmtId="165" fontId="2" fillId="0" borderId="0" applyFont="0" applyFill="0" applyBorder="0" applyAlignment="0" applyProtection="0"/>
    <xf numFmtId="166" fontId="156"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5" fontId="2" fillId="0" borderId="0" applyFont="0" applyFill="0" applyBorder="0" applyAlignment="0" applyProtection="0"/>
    <xf numFmtId="166" fontId="156" fillId="0" borderId="0" applyFont="0" applyFill="0" applyBorder="0" applyAlignment="0" applyProtection="0"/>
    <xf numFmtId="166" fontId="156"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73" fontId="2" fillId="0" borderId="0" applyFont="0" applyFill="0" applyBorder="0" applyAlignment="0" applyProtection="0"/>
    <xf numFmtId="0" fontId="13" fillId="0" borderId="0" applyNumberFormat="0" applyFill="0" applyBorder="0" applyAlignment="0" applyProtection="0"/>
    <xf numFmtId="0" fontId="4" fillId="9" borderId="0" applyNumberFormat="0" applyBorder="0" applyAlignment="0" applyProtection="0"/>
    <xf numFmtId="0" fontId="74" fillId="0" borderId="4" applyNumberFormat="0" applyFill="0" applyAlignment="0" applyProtection="0"/>
    <xf numFmtId="0" fontId="75"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139" fillId="0" borderId="0" applyNumberFormat="0" applyFill="0" applyBorder="0" applyAlignment="0" applyProtection="0"/>
    <xf numFmtId="0" fontId="140" fillId="0" borderId="0" applyNumberFormat="0" applyFill="0" applyBorder="0" applyAlignment="0" applyProtection="0">
      <alignment vertical="top"/>
      <protection locked="0"/>
    </xf>
    <xf numFmtId="0" fontId="7" fillId="4" borderId="1" applyNumberFormat="0" applyAlignment="0" applyProtection="0"/>
    <xf numFmtId="0" fontId="10" fillId="0" borderId="3" applyNumberFormat="0" applyFill="0" applyAlignment="0" applyProtection="0"/>
    <xf numFmtId="166" fontId="2" fillId="0" borderId="0" applyFill="0" applyBorder="0" applyAlignment="0" applyProtection="0"/>
    <xf numFmtId="0" fontId="156" fillId="0" borderId="0"/>
    <xf numFmtId="0" fontId="156" fillId="0" borderId="0"/>
    <xf numFmtId="0" fontId="157" fillId="0" borderId="0"/>
    <xf numFmtId="166" fontId="156" fillId="0" borderId="0"/>
    <xf numFmtId="0" fontId="2" fillId="0" borderId="0"/>
    <xf numFmtId="0" fontId="156" fillId="0" borderId="0"/>
    <xf numFmtId="0" fontId="2" fillId="0" borderId="0"/>
    <xf numFmtId="0" fontId="138" fillId="0" borderId="0"/>
    <xf numFmtId="0" fontId="2" fillId="0" borderId="0"/>
    <xf numFmtId="0" fontId="132" fillId="0" borderId="0"/>
    <xf numFmtId="0" fontId="2" fillId="0" borderId="0"/>
    <xf numFmtId="0" fontId="2" fillId="0" borderId="0"/>
    <xf numFmtId="0" fontId="2" fillId="0" borderId="0"/>
    <xf numFmtId="0" fontId="2" fillId="0" borderId="0"/>
    <xf numFmtId="166" fontId="1" fillId="0" borderId="0"/>
    <xf numFmtId="166" fontId="1" fillId="0" borderId="0"/>
    <xf numFmtId="166" fontId="156" fillId="0" borderId="0"/>
    <xf numFmtId="0" fontId="2" fillId="0" borderId="0"/>
    <xf numFmtId="0" fontId="156" fillId="0" borderId="0"/>
    <xf numFmtId="166" fontId="156" fillId="0" borderId="0"/>
    <xf numFmtId="0" fontId="156" fillId="0" borderId="0"/>
    <xf numFmtId="166" fontId="156" fillId="0" borderId="0"/>
    <xf numFmtId="0" fontId="156" fillId="0" borderId="0"/>
    <xf numFmtId="0" fontId="2" fillId="0" borderId="0"/>
    <xf numFmtId="0" fontId="156" fillId="0" borderId="0"/>
    <xf numFmtId="166" fontId="156" fillId="0" borderId="0"/>
    <xf numFmtId="0" fontId="156" fillId="0" borderId="0"/>
    <xf numFmtId="0" fontId="156" fillId="0" borderId="0"/>
    <xf numFmtId="0" fontId="137" fillId="0" borderId="0"/>
    <xf numFmtId="0" fontId="156" fillId="0" borderId="0"/>
    <xf numFmtId="0" fontId="156" fillId="0" borderId="0"/>
    <xf numFmtId="0" fontId="67" fillId="0" borderId="0"/>
    <xf numFmtId="0" fontId="2" fillId="5" borderId="7" applyNumberFormat="0" applyFont="0" applyAlignment="0" applyProtection="0"/>
    <xf numFmtId="0" fontId="8" fillId="3" borderId="8" applyNumberFormat="0" applyAlignment="0" applyProtection="0"/>
    <xf numFmtId="9" fontId="3" fillId="0" borderId="0" applyFont="0" applyFill="0" applyBorder="0" applyAlignment="0" applyProtection="0"/>
    <xf numFmtId="9" fontId="2" fillId="0" borderId="0" applyFont="0" applyFill="0" applyBorder="0" applyAlignment="0" applyProtection="0"/>
    <xf numFmtId="9" fontId="137" fillId="0" borderId="0" applyFont="0" applyFill="0" applyBorder="0" applyAlignment="0" applyProtection="0"/>
    <xf numFmtId="9" fontId="156" fillId="0" borderId="0" applyFont="0" applyFill="0" applyBorder="0" applyAlignment="0" applyProtection="0"/>
    <xf numFmtId="0" fontId="42" fillId="0" borderId="0" applyNumberFormat="0" applyFill="0" applyBorder="0" applyAlignment="0" applyProtection="0"/>
    <xf numFmtId="166" fontId="156" fillId="0" borderId="10" applyNumberFormat="0" applyFill="0" applyAlignment="0" applyProtection="0"/>
    <xf numFmtId="166" fontId="1" fillId="0" borderId="10" applyNumberFormat="0" applyFill="0" applyAlignment="0" applyProtection="0"/>
    <xf numFmtId="166" fontId="1" fillId="0" borderId="10" applyNumberFormat="0" applyFill="0" applyAlignment="0" applyProtection="0"/>
    <xf numFmtId="166" fontId="156" fillId="0" borderId="10" applyNumberFormat="0" applyFill="0" applyAlignment="0" applyProtection="0"/>
    <xf numFmtId="0" fontId="76" fillId="0" borderId="0" applyNumberFormat="0" applyFill="0" applyBorder="0" applyAlignment="0" applyProtection="0"/>
    <xf numFmtId="0" fontId="136" fillId="27" borderId="0" applyNumberFormat="0" applyBorder="0" applyAlignment="0" applyProtection="0"/>
    <xf numFmtId="0" fontId="136" fillId="18" borderId="0" applyNumberFormat="0" applyBorder="0" applyAlignment="0" applyProtection="0"/>
    <xf numFmtId="0" fontId="136" fillId="23" borderId="0" applyNumberFormat="0" applyBorder="0" applyAlignment="0" applyProtection="0"/>
    <xf numFmtId="0" fontId="136" fillId="20" borderId="0" applyNumberFormat="0" applyBorder="0" applyAlignment="0" applyProtection="0"/>
    <xf numFmtId="0" fontId="136" fillId="17" borderId="0" applyNumberFormat="0" applyBorder="0" applyAlignment="0" applyProtection="0"/>
    <xf numFmtId="0" fontId="136" fillId="22" borderId="0" applyNumberFormat="0" applyBorder="0" applyAlignment="0" applyProtection="0"/>
    <xf numFmtId="0" fontId="141" fillId="4" borderId="1" applyNumberFormat="0" applyAlignment="0" applyProtection="0"/>
    <xf numFmtId="0" fontId="142" fillId="11" borderId="8" applyNumberFormat="0" applyAlignment="0" applyProtection="0"/>
    <xf numFmtId="0" fontId="143" fillId="11" borderId="1" applyNumberFormat="0" applyAlignment="0" applyProtection="0"/>
    <xf numFmtId="0" fontId="144" fillId="0" borderId="9" applyNumberFormat="0" applyFill="0" applyAlignment="0" applyProtection="0"/>
    <xf numFmtId="0" fontId="145" fillId="0" borderId="5" applyNumberFormat="0" applyFill="0" applyAlignment="0" applyProtection="0"/>
    <xf numFmtId="0" fontId="146" fillId="0" borderId="10" applyNumberFormat="0" applyFill="0" applyAlignment="0" applyProtection="0"/>
    <xf numFmtId="0" fontId="146" fillId="0" borderId="0" applyNumberFormat="0" applyFill="0" applyBorder="0" applyAlignment="0" applyProtection="0"/>
    <xf numFmtId="0" fontId="147" fillId="0" borderId="11" applyNumberFormat="0" applyFill="0" applyAlignment="0" applyProtection="0"/>
    <xf numFmtId="0" fontId="148" fillId="26" borderId="2" applyNumberFormat="0" applyAlignment="0" applyProtection="0"/>
    <xf numFmtId="0" fontId="149" fillId="0" borderId="0" applyNumberFormat="0" applyFill="0" applyBorder="0" applyAlignment="0" applyProtection="0"/>
    <xf numFmtId="0" fontId="150" fillId="13" borderId="0" applyNumberFormat="0" applyBorder="0" applyAlignment="0" applyProtection="0"/>
    <xf numFmtId="0" fontId="138" fillId="0" borderId="0"/>
    <xf numFmtId="0" fontId="138" fillId="0" borderId="0"/>
    <xf numFmtId="0" fontId="137" fillId="0" borderId="0"/>
    <xf numFmtId="0" fontId="151" fillId="8" borderId="0" applyNumberFormat="0" applyBorder="0" applyAlignment="0" applyProtection="0"/>
    <xf numFmtId="0" fontId="152" fillId="0" borderId="0" applyNumberFormat="0" applyFill="0" applyBorder="0" applyAlignment="0" applyProtection="0"/>
    <xf numFmtId="0" fontId="137" fillId="5" borderId="7" applyNumberFormat="0" applyFont="0" applyAlignment="0" applyProtection="0"/>
    <xf numFmtId="0" fontId="153" fillId="0" borderId="3" applyNumberFormat="0" applyFill="0" applyAlignment="0" applyProtection="0"/>
    <xf numFmtId="0" fontId="154" fillId="0" borderId="0" applyNumberFormat="0" applyFill="0" applyBorder="0" applyAlignment="0" applyProtection="0"/>
    <xf numFmtId="164" fontId="2" fillId="0" borderId="0" applyFont="0" applyFill="0" applyBorder="0" applyAlignment="0" applyProtection="0"/>
    <xf numFmtId="0" fontId="155" fillId="9" borderId="0" applyNumberFormat="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cellStyleXfs>
  <cellXfs count="897">
    <xf numFmtId="0" fontId="0" fillId="0" borderId="0" xfId="0"/>
    <xf numFmtId="166" fontId="16" fillId="0" borderId="0" xfId="81" applyFont="1" applyFill="1" applyAlignment="1">
      <alignment vertical="center"/>
    </xf>
    <xf numFmtId="0" fontId="0" fillId="0" borderId="0" xfId="0" applyBorder="1" applyProtection="1"/>
    <xf numFmtId="0" fontId="0" fillId="0" borderId="0" xfId="0" applyProtection="1"/>
    <xf numFmtId="166" fontId="22" fillId="0" borderId="0" xfId="81" applyFont="1" applyFill="1" applyAlignment="1" applyProtection="1">
      <alignment vertical="center"/>
    </xf>
    <xf numFmtId="0" fontId="21" fillId="0" borderId="0" xfId="0" applyFont="1" applyProtection="1"/>
    <xf numFmtId="166" fontId="19" fillId="0" borderId="0" xfId="97" applyFont="1" applyFill="1" applyAlignment="1" applyProtection="1"/>
    <xf numFmtId="166" fontId="19" fillId="0" borderId="0" xfId="97" applyFont="1" applyFill="1" applyAlignment="1" applyProtection="1">
      <alignment horizontal="center"/>
    </xf>
    <xf numFmtId="166" fontId="19" fillId="0" borderId="0" xfId="97" applyFont="1" applyFill="1" applyAlignment="1" applyProtection="1">
      <alignment horizontal="right"/>
    </xf>
    <xf numFmtId="166" fontId="19" fillId="0" borderId="0" xfId="97" applyFont="1" applyFill="1" applyBorder="1" applyAlignment="1" applyProtection="1">
      <alignment horizontal="center"/>
    </xf>
    <xf numFmtId="166" fontId="156" fillId="0" borderId="0" xfId="94" applyProtection="1"/>
    <xf numFmtId="166" fontId="15" fillId="0" borderId="0" xfId="94" applyFont="1" applyProtection="1"/>
    <xf numFmtId="0" fontId="18" fillId="0" borderId="0" xfId="94" applyNumberFormat="1" applyFont="1" applyBorder="1" applyProtection="1"/>
    <xf numFmtId="166" fontId="156" fillId="0" borderId="0" xfId="99" applyProtection="1"/>
    <xf numFmtId="166" fontId="156" fillId="0" borderId="0" xfId="99" applyFill="1" applyBorder="1" applyAlignment="1" applyProtection="1">
      <alignment horizontal="left"/>
    </xf>
    <xf numFmtId="0" fontId="0" fillId="0" borderId="0" xfId="0" applyFill="1" applyBorder="1" applyProtection="1"/>
    <xf numFmtId="166" fontId="156" fillId="0" borderId="0" xfId="99" applyFill="1" applyBorder="1" applyProtection="1"/>
    <xf numFmtId="0" fontId="15" fillId="0" borderId="0" xfId="0" applyFont="1" applyProtection="1"/>
    <xf numFmtId="166" fontId="15" fillId="0" borderId="0" xfId="99" applyFont="1" applyProtection="1"/>
    <xf numFmtId="0" fontId="0" fillId="0" borderId="0" xfId="0" applyBorder="1"/>
    <xf numFmtId="0" fontId="0" fillId="0" borderId="0" xfId="0" applyFill="1" applyBorder="1"/>
    <xf numFmtId="0" fontId="34" fillId="0" borderId="0" xfId="0" applyFont="1"/>
    <xf numFmtId="15" fontId="29" fillId="0" borderId="0" xfId="0" applyNumberFormat="1" applyFont="1" applyFill="1" applyBorder="1" applyAlignment="1" applyProtection="1">
      <alignment horizontal="center" vertical="center" wrapText="1"/>
      <protection locked="0"/>
    </xf>
    <xf numFmtId="166" fontId="28" fillId="0" borderId="0" xfId="0" applyNumberFormat="1" applyFont="1"/>
    <xf numFmtId="166" fontId="28" fillId="0" borderId="0" xfId="0" applyNumberFormat="1" applyFont="1" applyAlignment="1">
      <alignment horizontal="right"/>
    </xf>
    <xf numFmtId="169" fontId="28" fillId="0" borderId="0" xfId="51" applyNumberFormat="1" applyFont="1" applyAlignment="1">
      <alignment horizontal="left"/>
    </xf>
    <xf numFmtId="166" fontId="16" fillId="0" borderId="0" xfId="93" applyFont="1" applyFill="1" applyAlignment="1">
      <alignment vertical="center"/>
    </xf>
    <xf numFmtId="0" fontId="0" fillId="0" borderId="12" xfId="0" applyBorder="1" applyAlignment="1">
      <alignment horizontal="center"/>
    </xf>
    <xf numFmtId="0" fontId="14" fillId="0" borderId="0" xfId="0" applyFont="1" applyBorder="1" applyAlignment="1">
      <alignment horizontal="center"/>
    </xf>
    <xf numFmtId="0" fontId="1" fillId="0" borderId="0" xfId="0" applyFont="1" applyBorder="1" applyAlignment="1"/>
    <xf numFmtId="0" fontId="1" fillId="0" borderId="0" xfId="0" applyFont="1" applyFill="1" applyBorder="1" applyAlignment="1"/>
    <xf numFmtId="0" fontId="43" fillId="0" borderId="0" xfId="0" applyFont="1"/>
    <xf numFmtId="0" fontId="43" fillId="0" borderId="0" xfId="0" applyFont="1" applyAlignment="1">
      <alignment horizontal="right"/>
    </xf>
    <xf numFmtId="0" fontId="43" fillId="0" borderId="0" xfId="0" applyFont="1" applyBorder="1"/>
    <xf numFmtId="0" fontId="46" fillId="0" borderId="0" xfId="0" applyFont="1"/>
    <xf numFmtId="0" fontId="43" fillId="0" borderId="0" xfId="0" applyNumberFormat="1" applyFont="1" applyBorder="1"/>
    <xf numFmtId="0" fontId="0" fillId="0" borderId="0" xfId="0" applyFill="1"/>
    <xf numFmtId="10" fontId="6" fillId="0" borderId="0" xfId="112" applyNumberFormat="1" applyFont="1" applyFill="1" applyBorder="1" applyAlignment="1">
      <alignment horizontal="center"/>
    </xf>
    <xf numFmtId="10" fontId="6" fillId="0" borderId="0" xfId="112" applyNumberFormat="1" applyFont="1" applyFill="1" applyBorder="1" applyAlignment="1" applyProtection="1">
      <alignment horizontal="center"/>
      <protection locked="0"/>
    </xf>
    <xf numFmtId="166" fontId="28" fillId="0" borderId="0" xfId="0" applyNumberFormat="1" applyFont="1" applyFill="1" applyBorder="1" applyAlignment="1"/>
    <xf numFmtId="166" fontId="156" fillId="0" borderId="0" xfId="120" applyFill="1" applyBorder="1" applyAlignment="1" applyProtection="1">
      <alignment vertical="center"/>
      <protection locked="0"/>
    </xf>
    <xf numFmtId="168" fontId="32" fillId="0" borderId="0" xfId="0" applyNumberFormat="1" applyFont="1" applyFill="1" applyBorder="1" applyAlignment="1">
      <alignment horizontal="center"/>
    </xf>
    <xf numFmtId="0" fontId="26" fillId="0" borderId="0" xfId="0" applyFont="1" applyFill="1" applyBorder="1" applyAlignment="1">
      <alignment horizontal="centerContinuous"/>
    </xf>
    <xf numFmtId="0" fontId="0" fillId="0" borderId="0" xfId="0" applyFill="1" applyBorder="1" applyAlignment="1">
      <alignment horizontal="centerContinuous"/>
    </xf>
    <xf numFmtId="166" fontId="39" fillId="0" borderId="0" xfId="120" applyFont="1" applyFill="1" applyBorder="1" applyAlignment="1" applyProtection="1">
      <alignment vertical="center"/>
      <protection locked="0"/>
    </xf>
    <xf numFmtId="0" fontId="0" fillId="0" borderId="12" xfId="0" applyBorder="1"/>
    <xf numFmtId="0" fontId="0" fillId="0" borderId="0" xfId="0" applyFill="1" applyBorder="1" applyAlignment="1">
      <alignment horizontal="center"/>
    </xf>
    <xf numFmtId="22" fontId="0" fillId="0" borderId="0" xfId="0" applyNumberFormat="1"/>
    <xf numFmtId="2" fontId="0" fillId="0" borderId="0" xfId="0" applyNumberFormat="1" applyFill="1"/>
    <xf numFmtId="2" fontId="156" fillId="0" borderId="0" xfId="117" applyNumberFormat="1" applyFill="1" applyBorder="1" applyAlignment="1" applyProtection="1">
      <alignment horizontal="center"/>
      <protection locked="0"/>
    </xf>
    <xf numFmtId="0" fontId="15" fillId="0" borderId="0" xfId="0" applyFont="1" applyFill="1" applyBorder="1" applyAlignment="1" applyProtection="1">
      <alignment horizontal="center"/>
    </xf>
    <xf numFmtId="0" fontId="23" fillId="0" borderId="0" xfId="0" applyFont="1" applyFill="1" applyAlignment="1" applyProtection="1"/>
    <xf numFmtId="0" fontId="15" fillId="0" borderId="0" xfId="0" applyFont="1" applyAlignment="1" applyProtection="1">
      <alignment horizontal="left" indent="1"/>
    </xf>
    <xf numFmtId="0" fontId="18" fillId="0" borderId="0" xfId="0" applyFont="1" applyAlignment="1" applyProtection="1">
      <alignment horizontal="left" indent="1"/>
    </xf>
    <xf numFmtId="0" fontId="15" fillId="0" borderId="0" xfId="0" applyFont="1" applyFill="1" applyBorder="1" applyProtection="1"/>
    <xf numFmtId="166" fontId="69" fillId="0" borderId="0" xfId="94" applyFont="1" applyProtection="1"/>
    <xf numFmtId="166" fontId="69" fillId="0" borderId="0" xfId="99" applyFont="1" applyProtection="1"/>
    <xf numFmtId="0" fontId="69" fillId="0" borderId="12" xfId="0" applyFont="1" applyFill="1" applyBorder="1" applyAlignment="1" applyProtection="1">
      <alignment horizontal="center"/>
    </xf>
    <xf numFmtId="0" fontId="69" fillId="0" borderId="12" xfId="0" applyFont="1" applyFill="1" applyBorder="1" applyProtection="1"/>
    <xf numFmtId="166" fontId="69" fillId="0" borderId="12" xfId="99" applyFont="1" applyBorder="1" applyProtection="1"/>
    <xf numFmtId="0" fontId="70" fillId="0" borderId="12" xfId="0" applyFont="1" applyBorder="1" applyAlignment="1" applyProtection="1">
      <alignment horizontal="left" indent="1"/>
    </xf>
    <xf numFmtId="0" fontId="71" fillId="0" borderId="12" xfId="0" applyFont="1" applyBorder="1"/>
    <xf numFmtId="0" fontId="72" fillId="28" borderId="12" xfId="0" applyFont="1" applyFill="1" applyBorder="1" applyAlignment="1" applyProtection="1">
      <alignment horizontal="center"/>
    </xf>
    <xf numFmtId="0" fontId="72" fillId="28" borderId="12" xfId="0" applyFont="1" applyFill="1" applyBorder="1" applyAlignment="1">
      <alignment horizontal="center"/>
    </xf>
    <xf numFmtId="0" fontId="21" fillId="0" borderId="0" xfId="0" applyFont="1"/>
    <xf numFmtId="3" fontId="15" fillId="29" borderId="13" xfId="0" applyNumberFormat="1" applyFont="1" applyFill="1" applyBorder="1" applyAlignment="1">
      <alignment horizontal="right"/>
    </xf>
    <xf numFmtId="3" fontId="15" fillId="29" borderId="13" xfId="51" applyNumberFormat="1" applyFont="1" applyFill="1" applyBorder="1"/>
    <xf numFmtId="9" fontId="15" fillId="29" borderId="13" xfId="112" applyFont="1" applyFill="1" applyBorder="1"/>
    <xf numFmtId="9" fontId="15" fillId="29" borderId="13" xfId="112" applyNumberFormat="1" applyFont="1" applyFill="1" applyBorder="1"/>
    <xf numFmtId="0" fontId="15" fillId="29" borderId="13" xfId="0" applyFont="1" applyFill="1" applyBorder="1"/>
    <xf numFmtId="9" fontId="15" fillId="29" borderId="13" xfId="112" applyFont="1" applyFill="1" applyBorder="1" applyAlignment="1">
      <alignment horizontal="center"/>
    </xf>
    <xf numFmtId="0" fontId="15" fillId="0" borderId="0" xfId="0" applyFont="1"/>
    <xf numFmtId="0" fontId="33" fillId="0" borderId="0" xfId="0" applyFont="1" applyAlignment="1">
      <alignment horizontal="center"/>
    </xf>
    <xf numFmtId="166" fontId="61" fillId="0" borderId="0" xfId="93" applyFont="1" applyFill="1" applyAlignment="1">
      <alignment vertical="center"/>
    </xf>
    <xf numFmtId="0" fontId="14" fillId="0" borderId="0" xfId="0" applyFont="1"/>
    <xf numFmtId="0" fontId="46" fillId="0" borderId="0" xfId="0" applyFont="1" applyFill="1"/>
    <xf numFmtId="0" fontId="79" fillId="28" borderId="14" xfId="0" applyFont="1" applyFill="1" applyBorder="1" applyAlignment="1">
      <alignment vertical="center"/>
    </xf>
    <xf numFmtId="0" fontId="77" fillId="0" borderId="0" xfId="109" applyNumberFormat="1" applyFont="1" applyFill="1" applyBorder="1" applyAlignment="1">
      <alignment horizontal="center" vertical="center" wrapText="1"/>
    </xf>
    <xf numFmtId="0" fontId="77" fillId="30" borderId="15" xfId="109"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1" fontId="82" fillId="29" borderId="0" xfId="0" applyNumberFormat="1" applyFont="1" applyFill="1" applyBorder="1" applyAlignment="1">
      <alignment horizontal="center"/>
    </xf>
    <xf numFmtId="0" fontId="82" fillId="0" borderId="0" xfId="0" applyFont="1" applyFill="1" applyBorder="1" applyAlignment="1" applyProtection="1">
      <alignment horizontal="left"/>
    </xf>
    <xf numFmtId="0" fontId="83" fillId="0" borderId="0" xfId="0" applyFont="1"/>
    <xf numFmtId="166" fontId="39" fillId="0" borderId="0" xfId="120" applyFont="1" applyFill="1" applyBorder="1" applyAlignment="1" applyProtection="1">
      <alignment horizontal="center" vertical="center"/>
      <protection locked="0"/>
    </xf>
    <xf numFmtId="15" fontId="0" fillId="0" borderId="0" xfId="0" applyNumberFormat="1"/>
    <xf numFmtId="0" fontId="0" fillId="0" borderId="12" xfId="0" quotePrefix="1" applyNumberFormat="1" applyBorder="1"/>
    <xf numFmtId="166" fontId="31" fillId="0" borderId="16" xfId="120" applyFont="1" applyBorder="1" applyAlignment="1" applyProtection="1"/>
    <xf numFmtId="166" fontId="156" fillId="0" borderId="16" xfId="120" applyFill="1" applyBorder="1" applyAlignment="1" applyProtection="1">
      <alignment vertical="center"/>
    </xf>
    <xf numFmtId="166" fontId="3" fillId="0" borderId="16" xfId="120" applyFont="1" applyFill="1" applyBorder="1" applyAlignment="1" applyProtection="1">
      <alignment vertical="center"/>
    </xf>
    <xf numFmtId="166" fontId="31" fillId="0" borderId="0" xfId="120" applyFont="1" applyBorder="1" applyAlignment="1" applyProtection="1"/>
    <xf numFmtId="166" fontId="156" fillId="0" borderId="0" xfId="120" applyFill="1" applyBorder="1" applyAlignment="1" applyProtection="1">
      <alignment vertical="center"/>
    </xf>
    <xf numFmtId="166" fontId="3" fillId="0" borderId="0" xfId="120" applyFont="1" applyFill="1" applyBorder="1" applyAlignment="1" applyProtection="1">
      <alignment vertical="center"/>
    </xf>
    <xf numFmtId="0" fontId="32" fillId="0" borderId="17" xfId="0" applyFont="1" applyBorder="1" applyAlignment="1" applyProtection="1">
      <alignment horizontal="center"/>
    </xf>
    <xf numFmtId="15" fontId="32" fillId="0" borderId="18" xfId="0" applyNumberFormat="1" applyFont="1" applyBorder="1" applyAlignment="1" applyProtection="1">
      <alignment horizontal="center"/>
    </xf>
    <xf numFmtId="0" fontId="32" fillId="0" borderId="19" xfId="0" applyFont="1" applyBorder="1" applyAlignment="1" applyProtection="1">
      <alignment horizontal="center"/>
    </xf>
    <xf numFmtId="169" fontId="15" fillId="0" borderId="0" xfId="0" applyNumberFormat="1" applyFont="1" applyFill="1" applyBorder="1" applyAlignment="1" applyProtection="1"/>
    <xf numFmtId="0" fontId="6" fillId="0" borderId="0" xfId="0" applyFont="1" applyFill="1" applyBorder="1" applyAlignment="1" applyProtection="1">
      <alignment horizontal="centerContinuous"/>
    </xf>
    <xf numFmtId="10" fontId="6" fillId="0" borderId="0" xfId="112" applyNumberFormat="1" applyFont="1" applyFill="1" applyBorder="1" applyAlignment="1" applyProtection="1">
      <alignment horizontal="center"/>
    </xf>
    <xf numFmtId="0" fontId="6" fillId="0" borderId="0" xfId="0" applyFont="1" applyFill="1" applyBorder="1" applyAlignment="1" applyProtection="1"/>
    <xf numFmtId="0" fontId="26" fillId="0" borderId="0" xfId="0" applyFont="1" applyFill="1" applyBorder="1" applyAlignment="1" applyProtection="1">
      <alignment horizontal="centerContinuous" wrapText="1"/>
    </xf>
    <xf numFmtId="0" fontId="26"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15" fontId="26" fillId="0" borderId="20" xfId="0" applyNumberFormat="1" applyFont="1" applyFill="1" applyBorder="1" applyAlignment="1" applyProtection="1"/>
    <xf numFmtId="0" fontId="26" fillId="0" borderId="20" xfId="0" applyFont="1" applyFill="1" applyBorder="1" applyProtection="1"/>
    <xf numFmtId="0" fontId="26" fillId="0" borderId="21" xfId="0" applyFont="1" applyFill="1" applyBorder="1" applyProtection="1"/>
    <xf numFmtId="166" fontId="38" fillId="0" borderId="22" xfId="120" applyFont="1" applyBorder="1" applyAlignment="1" applyProtection="1"/>
    <xf numFmtId="166" fontId="39" fillId="0" borderId="22" xfId="120" applyFont="1" applyFill="1" applyBorder="1" applyAlignment="1" applyProtection="1">
      <alignment vertical="center"/>
    </xf>
    <xf numFmtId="166" fontId="39" fillId="0" borderId="22" xfId="120" applyFont="1" applyFill="1" applyBorder="1" applyAlignment="1" applyProtection="1">
      <alignment horizontal="center" vertical="center"/>
    </xf>
    <xf numFmtId="166" fontId="39" fillId="0" borderId="0" xfId="120" applyFont="1" applyFill="1" applyBorder="1" applyAlignment="1" applyProtection="1">
      <alignment vertical="center"/>
    </xf>
    <xf numFmtId="166" fontId="38" fillId="0" borderId="0" xfId="120" applyFont="1" applyBorder="1" applyAlignment="1" applyProtection="1"/>
    <xf numFmtId="166" fontId="40" fillId="0" borderId="0" xfId="120" applyFont="1" applyFill="1" applyBorder="1" applyAlignment="1" applyProtection="1">
      <alignment vertical="center"/>
    </xf>
    <xf numFmtId="0" fontId="14" fillId="0" borderId="0" xfId="0" applyFont="1" applyBorder="1" applyAlignment="1" applyProtection="1">
      <alignment horizontal="center"/>
    </xf>
    <xf numFmtId="0" fontId="0" fillId="0" borderId="23" xfId="0" applyBorder="1" applyAlignment="1" applyProtection="1">
      <alignment horizontal="center"/>
    </xf>
    <xf numFmtId="0" fontId="14" fillId="0" borderId="23" xfId="0" applyFont="1" applyBorder="1" applyAlignment="1" applyProtection="1">
      <alignment horizontal="center"/>
    </xf>
    <xf numFmtId="0" fontId="14" fillId="0" borderId="23" xfId="0" applyFont="1" applyBorder="1" applyAlignment="1" applyProtection="1">
      <alignment horizontal="center" wrapText="1"/>
    </xf>
    <xf numFmtId="0" fontId="14" fillId="0" borderId="24" xfId="0" applyFont="1" applyBorder="1" applyAlignment="1" applyProtection="1">
      <alignment horizontal="center"/>
    </xf>
    <xf numFmtId="0" fontId="14" fillId="0" borderId="25" xfId="0" applyFont="1" applyBorder="1" applyAlignment="1" applyProtection="1">
      <alignment horizontal="center"/>
    </xf>
    <xf numFmtId="1" fontId="21" fillId="29" borderId="26" xfId="0" applyNumberFormat="1" applyFont="1" applyFill="1" applyBorder="1" applyAlignment="1" applyProtection="1">
      <alignment horizontal="center"/>
    </xf>
    <xf numFmtId="0" fontId="14" fillId="0" borderId="27" xfId="0" applyFont="1" applyBorder="1" applyAlignment="1" applyProtection="1">
      <alignment horizontal="center"/>
    </xf>
    <xf numFmtId="1" fontId="21" fillId="29" borderId="28" xfId="0" applyNumberFormat="1" applyFont="1" applyFill="1" applyBorder="1" applyAlignment="1" applyProtection="1">
      <alignment horizontal="center"/>
    </xf>
    <xf numFmtId="0" fontId="0" fillId="0" borderId="29" xfId="0" applyBorder="1" applyProtection="1"/>
    <xf numFmtId="0" fontId="0" fillId="0" borderId="24" xfId="0" applyBorder="1" applyAlignment="1" applyProtection="1">
      <alignment horizontal="center"/>
    </xf>
    <xf numFmtId="0" fontId="0" fillId="0" borderId="27" xfId="0" applyBorder="1" applyAlignment="1" applyProtection="1">
      <alignment horizontal="center"/>
    </xf>
    <xf numFmtId="0" fontId="32" fillId="0" borderId="23" xfId="0" applyFont="1" applyBorder="1" applyAlignment="1" applyProtection="1">
      <alignment horizontal="center"/>
    </xf>
    <xf numFmtId="0" fontId="32" fillId="0" borderId="24" xfId="0" applyFont="1" applyBorder="1" applyAlignment="1" applyProtection="1">
      <alignment horizontal="center"/>
    </xf>
    <xf numFmtId="0" fontId="0" fillId="0" borderId="0" xfId="0" applyFill="1" applyBorder="1" applyAlignment="1" applyProtection="1">
      <alignment horizontal="center" wrapText="1"/>
    </xf>
    <xf numFmtId="166" fontId="101" fillId="0" borderId="0" xfId="51" applyFont="1" applyFill="1" applyBorder="1" applyProtection="1"/>
    <xf numFmtId="166" fontId="0" fillId="0" borderId="0" xfId="0" applyNumberFormat="1" applyFill="1" applyBorder="1" applyProtection="1"/>
    <xf numFmtId="166" fontId="68" fillId="0" borderId="30" xfId="120" applyFont="1" applyFill="1" applyBorder="1" applyAlignment="1" applyProtection="1"/>
    <xf numFmtId="166" fontId="39" fillId="0" borderId="30" xfId="120" applyFont="1" applyFill="1" applyBorder="1" applyAlignment="1" applyProtection="1">
      <alignment vertical="center"/>
    </xf>
    <xf numFmtId="0" fontId="67" fillId="0" borderId="31" xfId="0" applyFont="1" applyFill="1" applyBorder="1" applyProtection="1"/>
    <xf numFmtId="0" fontId="67" fillId="0" borderId="32" xfId="0" applyFont="1" applyFill="1" applyBorder="1" applyProtection="1"/>
    <xf numFmtId="3" fontId="67" fillId="31" borderId="12" xfId="0" applyNumberFormat="1" applyFont="1" applyFill="1" applyBorder="1" applyAlignment="1" applyProtection="1">
      <alignment vertical="center"/>
      <protection locked="0"/>
    </xf>
    <xf numFmtId="3" fontId="67" fillId="31" borderId="33" xfId="0" applyNumberFormat="1" applyFont="1" applyFill="1" applyBorder="1" applyAlignment="1" applyProtection="1">
      <alignment vertical="center"/>
      <protection locked="0"/>
    </xf>
    <xf numFmtId="166" fontId="28" fillId="0" borderId="0" xfId="0" applyNumberFormat="1" applyFont="1" applyAlignment="1" applyProtection="1">
      <alignment horizontal="right"/>
    </xf>
    <xf numFmtId="169" fontId="28" fillId="0" borderId="0" xfId="51" applyNumberFormat="1" applyFont="1" applyAlignment="1" applyProtection="1">
      <alignment horizontal="left"/>
    </xf>
    <xf numFmtId="15" fontId="28" fillId="0" borderId="0" xfId="0" applyNumberFormat="1" applyFont="1" applyAlignment="1" applyProtection="1">
      <alignment horizontal="left"/>
    </xf>
    <xf numFmtId="15" fontId="28" fillId="0" borderId="0" xfId="0" applyNumberFormat="1" applyFont="1" applyAlignment="1" applyProtection="1">
      <alignment horizontal="right"/>
    </xf>
    <xf numFmtId="166" fontId="28" fillId="0" borderId="0" xfId="0" applyNumberFormat="1" applyFont="1" applyProtection="1"/>
    <xf numFmtId="166" fontId="28" fillId="0" borderId="0" xfId="0" applyNumberFormat="1" applyFont="1" applyBorder="1" applyProtection="1"/>
    <xf numFmtId="166" fontId="28" fillId="0" borderId="0" xfId="0" applyNumberFormat="1" applyFont="1" applyBorder="1" applyAlignment="1" applyProtection="1">
      <alignment horizontal="right"/>
    </xf>
    <xf numFmtId="169" fontId="28" fillId="0" borderId="0" xfId="51" applyNumberFormat="1" applyFont="1" applyBorder="1" applyAlignment="1" applyProtection="1">
      <alignment horizontal="left"/>
    </xf>
    <xf numFmtId="0" fontId="19" fillId="0" borderId="0" xfId="0" applyFont="1" applyBorder="1" applyAlignment="1" applyProtection="1">
      <alignment horizontal="center"/>
    </xf>
    <xf numFmtId="0" fontId="19" fillId="0" borderId="0" xfId="0" applyFont="1" applyAlignment="1" applyProtection="1">
      <alignment horizontal="center"/>
    </xf>
    <xf numFmtId="0" fontId="34" fillId="0" borderId="0" xfId="0" applyFont="1" applyBorder="1" applyProtection="1"/>
    <xf numFmtId="0" fontId="34" fillId="0" borderId="12" xfId="0" applyFont="1" applyBorder="1" applyAlignment="1" applyProtection="1">
      <alignment horizontal="center" vertical="center" wrapText="1"/>
    </xf>
    <xf numFmtId="3" fontId="28" fillId="0" borderId="12" xfId="0" applyNumberFormat="1" applyFont="1" applyBorder="1" applyAlignment="1" applyProtection="1">
      <alignment vertical="center" wrapText="1"/>
    </xf>
    <xf numFmtId="15" fontId="26" fillId="0" borderId="0" xfId="0" applyNumberFormat="1" applyFont="1" applyFill="1" applyBorder="1" applyAlignment="1" applyProtection="1"/>
    <xf numFmtId="15" fontId="26" fillId="0" borderId="0" xfId="0" applyNumberFormat="1" applyFont="1" applyFill="1" applyBorder="1" applyAlignment="1" applyProtection="1">
      <alignment horizontal="center" wrapText="1"/>
    </xf>
    <xf numFmtId="0" fontId="26" fillId="0" borderId="0" xfId="0" applyFont="1" applyFill="1" applyBorder="1" applyProtection="1"/>
    <xf numFmtId="0" fontId="0" fillId="0" borderId="0" xfId="0" applyFill="1" applyBorder="1" applyAlignment="1" applyProtection="1">
      <alignment horizontal="center"/>
    </xf>
    <xf numFmtId="0" fontId="26" fillId="0" borderId="0" xfId="0" applyFont="1" applyFill="1" applyBorder="1" applyAlignment="1" applyProtection="1"/>
    <xf numFmtId="0" fontId="0" fillId="0" borderId="24" xfId="0" applyBorder="1" applyAlignment="1" applyProtection="1">
      <alignment horizontal="center" wrapText="1"/>
    </xf>
    <xf numFmtId="0" fontId="43" fillId="0" borderId="0" xfId="0" applyFont="1" applyProtection="1"/>
    <xf numFmtId="0" fontId="43" fillId="0" borderId="0" xfId="0" applyFont="1" applyAlignment="1" applyProtection="1">
      <alignment horizontal="right"/>
    </xf>
    <xf numFmtId="0" fontId="43" fillId="0" borderId="0" xfId="0" applyFont="1" applyBorder="1" applyProtection="1"/>
    <xf numFmtId="0" fontId="45" fillId="0" borderId="0" xfId="0" applyFont="1" applyBorder="1" applyAlignment="1" applyProtection="1">
      <alignment horizontal="left" vertical="center"/>
    </xf>
    <xf numFmtId="0" fontId="45" fillId="0" borderId="0" xfId="0" applyFont="1" applyBorder="1" applyAlignment="1" applyProtection="1">
      <alignment horizontal="left"/>
    </xf>
    <xf numFmtId="170" fontId="45" fillId="0" borderId="0" xfId="0" applyNumberFormat="1" applyFont="1" applyBorder="1" applyAlignment="1" applyProtection="1">
      <alignment horizontal="left"/>
    </xf>
    <xf numFmtId="0" fontId="46" fillId="0" borderId="0" xfId="0" applyFont="1" applyProtection="1"/>
    <xf numFmtId="0" fontId="47" fillId="0" borderId="0" xfId="0" applyFont="1" applyFill="1" applyBorder="1" applyProtection="1"/>
    <xf numFmtId="0" fontId="48" fillId="0" borderId="0" xfId="0" applyFont="1" applyFill="1" applyBorder="1" applyProtection="1"/>
    <xf numFmtId="0" fontId="50" fillId="0" borderId="0" xfId="0" applyFont="1" applyFill="1" applyBorder="1" applyAlignment="1" applyProtection="1">
      <alignment horizontal="right"/>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xf>
    <xf numFmtId="0" fontId="52" fillId="29" borderId="0" xfId="0" applyFont="1" applyFill="1" applyBorder="1" applyAlignment="1" applyProtection="1">
      <alignment horizontal="left" vertical="center"/>
    </xf>
    <xf numFmtId="3" fontId="57" fillId="0" borderId="0" xfId="0" applyNumberFormat="1" applyFont="1" applyFill="1" applyBorder="1" applyAlignment="1" applyProtection="1">
      <alignment horizontal="right" vertical="center"/>
    </xf>
    <xf numFmtId="0" fontId="58" fillId="29" borderId="0" xfId="0" applyFont="1" applyFill="1" applyBorder="1" applyAlignment="1" applyProtection="1">
      <alignment horizontal="left" vertical="center"/>
    </xf>
    <xf numFmtId="172" fontId="52" fillId="29" borderId="0" xfId="0" applyNumberFormat="1" applyFont="1" applyFill="1" applyBorder="1" applyAlignment="1" applyProtection="1">
      <alignment vertical="center"/>
    </xf>
    <xf numFmtId="0" fontId="53" fillId="29" borderId="0" xfId="0" applyNumberFormat="1" applyFont="1" applyFill="1" applyBorder="1" applyAlignment="1" applyProtection="1">
      <alignment horizontal="right"/>
    </xf>
    <xf numFmtId="0" fontId="63" fillId="29" borderId="0" xfId="0" applyFont="1" applyFill="1" applyBorder="1" applyAlignment="1" applyProtection="1">
      <alignment horizontal="center" vertical="center"/>
    </xf>
    <xf numFmtId="0" fontId="54" fillId="29" borderId="0" xfId="0" applyFont="1" applyFill="1" applyBorder="1" applyAlignment="1" applyProtection="1">
      <alignment horizontal="center" vertical="center"/>
    </xf>
    <xf numFmtId="171" fontId="52" fillId="29" borderId="0" xfId="112" applyNumberFormat="1" applyFont="1" applyFill="1" applyBorder="1" applyAlignment="1" applyProtection="1">
      <alignment horizontal="right"/>
    </xf>
    <xf numFmtId="9" fontId="55" fillId="29" borderId="0" xfId="0" applyNumberFormat="1" applyFont="1" applyFill="1" applyBorder="1" applyProtection="1"/>
    <xf numFmtId="0" fontId="56" fillId="29" borderId="0" xfId="0" applyFont="1" applyFill="1" applyBorder="1" applyAlignment="1" applyProtection="1">
      <alignment horizontal="center" vertical="center"/>
    </xf>
    <xf numFmtId="9" fontId="55" fillId="29" borderId="0" xfId="0" applyNumberFormat="1" applyFont="1" applyFill="1" applyBorder="1" applyAlignment="1" applyProtection="1">
      <alignment horizontal="left"/>
    </xf>
    <xf numFmtId="0" fontId="64"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0" xfId="0" applyFont="1" applyFill="1" applyBorder="1" applyAlignment="1" applyProtection="1">
      <alignment horizontal="right" vertical="center" indent="1"/>
    </xf>
    <xf numFmtId="0" fontId="53" fillId="0" borderId="34" xfId="0" applyNumberFormat="1" applyFont="1" applyFill="1" applyBorder="1" applyAlignment="1" applyProtection="1">
      <alignment horizontal="right"/>
    </xf>
    <xf numFmtId="0" fontId="53" fillId="0" borderId="35" xfId="0" applyNumberFormat="1" applyFont="1" applyFill="1" applyBorder="1" applyAlignment="1" applyProtection="1">
      <alignment horizontal="right"/>
    </xf>
    <xf numFmtId="0" fontId="53" fillId="0" borderId="36" xfId="0" applyNumberFormat="1" applyFont="1" applyFill="1" applyBorder="1" applyAlignment="1" applyProtection="1">
      <alignment horizontal="right"/>
    </xf>
    <xf numFmtId="0" fontId="62" fillId="0" borderId="0" xfId="0" applyFont="1" applyFill="1" applyBorder="1" applyAlignment="1" applyProtection="1">
      <alignment horizontal="center"/>
    </xf>
    <xf numFmtId="0" fontId="53" fillId="0" borderId="0" xfId="0" applyNumberFormat="1" applyFont="1" applyFill="1" applyBorder="1" applyAlignment="1" applyProtection="1">
      <alignment horizontal="right"/>
    </xf>
    <xf numFmtId="0" fontId="63" fillId="0" borderId="0" xfId="0" applyFont="1" applyFill="1" applyBorder="1" applyAlignment="1" applyProtection="1">
      <alignment horizontal="center" vertical="center"/>
    </xf>
    <xf numFmtId="9" fontId="66" fillId="0" borderId="0" xfId="0" applyNumberFormat="1" applyFont="1" applyFill="1" applyBorder="1" applyAlignment="1" applyProtection="1"/>
    <xf numFmtId="9" fontId="66" fillId="0" borderId="0" xfId="0" applyNumberFormat="1" applyFont="1" applyFill="1" applyBorder="1" applyAlignment="1" applyProtection="1">
      <alignment horizontal="center"/>
    </xf>
    <xf numFmtId="0" fontId="53" fillId="0" borderId="37" xfId="0" applyNumberFormat="1" applyFont="1" applyFill="1" applyBorder="1" applyAlignment="1" applyProtection="1">
      <alignment horizontal="right"/>
    </xf>
    <xf numFmtId="9" fontId="55" fillId="0" borderId="0" xfId="0" applyNumberFormat="1" applyFont="1" applyFill="1" applyBorder="1" applyProtection="1"/>
    <xf numFmtId="0" fontId="53" fillId="0" borderId="38" xfId="0" applyNumberFormat="1" applyFont="1" applyFill="1" applyBorder="1" applyAlignment="1" applyProtection="1">
      <alignment horizontal="right"/>
    </xf>
    <xf numFmtId="0" fontId="53" fillId="0" borderId="39" xfId="0" applyNumberFormat="1" applyFont="1" applyFill="1" applyBorder="1" applyAlignment="1" applyProtection="1">
      <alignment horizontal="right"/>
    </xf>
    <xf numFmtId="0" fontId="34" fillId="0" borderId="40" xfId="0" applyNumberFormat="1" applyFont="1" applyFill="1" applyBorder="1" applyAlignment="1" applyProtection="1">
      <alignment vertical="center"/>
    </xf>
    <xf numFmtId="0" fontId="34" fillId="0" borderId="41" xfId="0" applyNumberFormat="1" applyFont="1" applyFill="1" applyBorder="1" applyAlignment="1" applyProtection="1">
      <alignment vertical="center"/>
    </xf>
    <xf numFmtId="0" fontId="34" fillId="0" borderId="42" xfId="0" applyNumberFormat="1" applyFont="1" applyFill="1" applyBorder="1" applyAlignment="1" applyProtection="1">
      <alignment vertical="center"/>
    </xf>
    <xf numFmtId="0" fontId="44" fillId="0" borderId="0" xfId="0" applyFont="1" applyProtection="1"/>
    <xf numFmtId="0" fontId="65" fillId="0" borderId="0" xfId="0" applyFont="1" applyProtection="1"/>
    <xf numFmtId="0" fontId="59" fillId="0" borderId="0" xfId="0" applyFont="1" applyProtection="1"/>
    <xf numFmtId="0" fontId="73" fillId="0" borderId="0" xfId="0" applyFont="1" applyBorder="1" applyAlignment="1" applyProtection="1">
      <alignment wrapText="1"/>
    </xf>
    <xf numFmtId="0" fontId="69" fillId="0" borderId="0" xfId="0" applyFont="1" applyFill="1" applyBorder="1" applyAlignment="1" applyProtection="1"/>
    <xf numFmtId="166" fontId="15" fillId="0" borderId="0" xfId="0" applyNumberFormat="1" applyFont="1"/>
    <xf numFmtId="0" fontId="28" fillId="0" borderId="0" xfId="0" applyNumberFormat="1" applyFont="1" applyAlignment="1" applyProtection="1">
      <alignment horizontal="center"/>
    </xf>
    <xf numFmtId="0" fontId="28" fillId="0" borderId="0" xfId="0" applyFont="1" applyAlignment="1" applyProtection="1">
      <alignment horizontal="center"/>
    </xf>
    <xf numFmtId="15" fontId="28" fillId="0" borderId="0" xfId="0" applyNumberFormat="1" applyFont="1" applyAlignment="1" applyProtection="1">
      <alignment horizontal="center"/>
    </xf>
    <xf numFmtId="166" fontId="0" fillId="0" borderId="0" xfId="0" applyNumberFormat="1" applyAlignment="1" applyProtection="1">
      <alignment horizontal="right"/>
    </xf>
    <xf numFmtId="3" fontId="0" fillId="0" borderId="0" xfId="0" applyNumberFormat="1" applyProtection="1"/>
    <xf numFmtId="166" fontId="37" fillId="0" borderId="0" xfId="0" applyNumberFormat="1" applyFont="1" applyBorder="1" applyProtection="1"/>
    <xf numFmtId="166" fontId="37" fillId="0" borderId="0" xfId="0" applyNumberFormat="1" applyFont="1" applyProtection="1"/>
    <xf numFmtId="169" fontId="6" fillId="0" borderId="0" xfId="51" applyNumberFormat="1" applyFont="1" applyFill="1" applyBorder="1" applyAlignment="1" applyProtection="1">
      <protection locked="0"/>
    </xf>
    <xf numFmtId="169" fontId="6" fillId="0" borderId="0" xfId="51" applyNumberFormat="1" applyFont="1" applyFill="1" applyBorder="1" applyProtection="1">
      <protection locked="0"/>
    </xf>
    <xf numFmtId="0" fontId="0" fillId="0" borderId="0" xfId="0" applyBorder="1" applyAlignment="1">
      <alignment horizontal="center"/>
    </xf>
    <xf numFmtId="0" fontId="15" fillId="29" borderId="0" xfId="0" applyFont="1" applyFill="1"/>
    <xf numFmtId="168" fontId="15" fillId="29" borderId="0" xfId="0" applyNumberFormat="1" applyFont="1" applyFill="1"/>
    <xf numFmtId="169" fontId="15" fillId="29" borderId="0" xfId="0" applyNumberFormat="1" applyFont="1" applyFill="1"/>
    <xf numFmtId="3" fontId="15" fillId="29" borderId="0" xfId="0" applyNumberFormat="1" applyFont="1" applyFill="1" applyProtection="1"/>
    <xf numFmtId="168" fontId="15" fillId="29" borderId="0" xfId="0" applyNumberFormat="1" applyFont="1" applyFill="1" applyProtection="1"/>
    <xf numFmtId="0" fontId="34" fillId="0" borderId="0" xfId="0" applyFont="1" applyFill="1" applyAlignment="1" applyProtection="1">
      <alignment horizontal="left"/>
      <protection locked="0"/>
    </xf>
    <xf numFmtId="0" fontId="34" fillId="0" borderId="0" xfId="0" applyFont="1" applyFill="1" applyBorder="1" applyAlignment="1" applyProtection="1">
      <alignment horizontal="left"/>
      <protection locked="0"/>
    </xf>
    <xf numFmtId="0" fontId="28" fillId="0" borderId="0" xfId="0" applyFont="1" applyFill="1" applyBorder="1" applyAlignment="1">
      <alignment vertical="center" wrapText="1"/>
    </xf>
    <xf numFmtId="0" fontId="28" fillId="0" borderId="0" xfId="0" applyFont="1" applyFill="1" applyBorder="1" applyAlignment="1">
      <alignment horizontal="center"/>
    </xf>
    <xf numFmtId="0" fontId="0" fillId="29" borderId="0" xfId="0" applyFill="1" applyBorder="1" applyAlignment="1">
      <alignment horizontal="center"/>
    </xf>
    <xf numFmtId="0" fontId="28" fillId="0" borderId="43" xfId="0" applyFont="1" applyFill="1" applyBorder="1" applyAlignment="1" applyProtection="1">
      <alignment horizontal="center" wrapText="1"/>
    </xf>
    <xf numFmtId="0" fontId="28" fillId="0" borderId="44" xfId="0" applyFont="1" applyFill="1" applyBorder="1" applyAlignment="1" applyProtection="1">
      <alignment horizontal="center" wrapText="1"/>
    </xf>
    <xf numFmtId="0" fontId="0" fillId="0" borderId="44" xfId="0" applyBorder="1" applyProtection="1"/>
    <xf numFmtId="166" fontId="17" fillId="0" borderId="0" xfId="92" applyFont="1" applyFill="1" applyAlignment="1" applyProtection="1">
      <alignment horizontal="center" vertical="center"/>
    </xf>
    <xf numFmtId="166" fontId="16" fillId="0" borderId="0" xfId="92" applyFont="1" applyFill="1" applyAlignment="1" applyProtection="1">
      <alignment vertical="center"/>
    </xf>
    <xf numFmtId="0" fontId="84" fillId="0" borderId="0" xfId="0" applyFont="1"/>
    <xf numFmtId="166" fontId="14" fillId="0" borderId="0" xfId="0" applyNumberFormat="1" applyFont="1" applyAlignment="1" applyProtection="1">
      <alignment horizontal="center"/>
    </xf>
    <xf numFmtId="166" fontId="20" fillId="0" borderId="45" xfId="117" applyFont="1" applyBorder="1" applyAlignment="1" applyProtection="1">
      <alignment horizontal="right"/>
    </xf>
    <xf numFmtId="0" fontId="12" fillId="0" borderId="0" xfId="0" applyFont="1"/>
    <xf numFmtId="0" fontId="0" fillId="29" borderId="0" xfId="0" applyFill="1" applyProtection="1"/>
    <xf numFmtId="0" fontId="0" fillId="29" borderId="46" xfId="0" applyFill="1" applyBorder="1" applyProtection="1"/>
    <xf numFmtId="166" fontId="90" fillId="0" borderId="0" xfId="0" applyNumberFormat="1" applyFont="1"/>
    <xf numFmtId="0" fontId="90" fillId="0" borderId="0" xfId="0" applyFont="1"/>
    <xf numFmtId="166" fontId="0" fillId="0" borderId="0" xfId="0" quotePrefix="1" applyNumberFormat="1"/>
    <xf numFmtId="166" fontId="0" fillId="0" borderId="0" xfId="0" applyNumberFormat="1"/>
    <xf numFmtId="0" fontId="34" fillId="0" borderId="47" xfId="0" applyNumberFormat="1" applyFont="1" applyFill="1" applyBorder="1" applyAlignment="1" applyProtection="1">
      <alignment vertical="center"/>
    </xf>
    <xf numFmtId="166" fontId="156" fillId="0" borderId="0" xfId="103" applyFill="1" applyBorder="1" applyAlignment="1" applyProtection="1">
      <alignment horizontal="center"/>
    </xf>
    <xf numFmtId="0" fontId="34" fillId="0" borderId="0" xfId="0" quotePrefix="1" applyFont="1" applyProtection="1"/>
    <xf numFmtId="0" fontId="63" fillId="0" borderId="31" xfId="0" applyFont="1" applyBorder="1" applyAlignment="1">
      <alignment horizontal="justify" vertical="center" wrapText="1"/>
    </xf>
    <xf numFmtId="0" fontId="63" fillId="0" borderId="48" xfId="0" applyFont="1" applyBorder="1" applyAlignment="1">
      <alignment horizontal="justify" vertical="center" wrapText="1"/>
    </xf>
    <xf numFmtId="0" fontId="63" fillId="0" borderId="49" xfId="0" applyFont="1" applyBorder="1" applyAlignment="1">
      <alignment horizontal="justify" vertical="center" wrapText="1"/>
    </xf>
    <xf numFmtId="0" fontId="89" fillId="0" borderId="48" xfId="0" applyFont="1" applyBorder="1" applyAlignment="1">
      <alignment horizontal="justify" vertical="center" wrapText="1"/>
    </xf>
    <xf numFmtId="166" fontId="92" fillId="0" borderId="30" xfId="120" applyFont="1" applyFill="1" applyBorder="1" applyAlignment="1" applyProtection="1"/>
    <xf numFmtId="166" fontId="9" fillId="0" borderId="30" xfId="120" applyFont="1" applyFill="1" applyBorder="1" applyAlignment="1" applyProtection="1">
      <alignment vertical="center"/>
    </xf>
    <xf numFmtId="3" fontId="67" fillId="32" borderId="12" xfId="0" applyNumberFormat="1" applyFont="1" applyFill="1" applyBorder="1" applyAlignment="1" applyProtection="1">
      <alignment vertical="center"/>
      <protection locked="0"/>
    </xf>
    <xf numFmtId="0" fontId="88" fillId="0" borderId="31" xfId="0" applyFont="1" applyBorder="1" applyAlignment="1">
      <alignment vertical="center" wrapText="1"/>
    </xf>
    <xf numFmtId="0" fontId="88" fillId="0" borderId="48" xfId="0" applyFont="1" applyBorder="1" applyAlignment="1">
      <alignment vertical="center" wrapText="1"/>
    </xf>
    <xf numFmtId="0" fontId="2" fillId="0" borderId="50" xfId="0" applyFont="1" applyFill="1" applyBorder="1" applyAlignment="1" applyProtection="1">
      <alignment horizontal="center"/>
    </xf>
    <xf numFmtId="0" fontId="67" fillId="0" borderId="12" xfId="0" applyFont="1" applyFill="1" applyBorder="1" applyAlignment="1" applyProtection="1">
      <alignment horizontal="center"/>
    </xf>
    <xf numFmtId="0" fontId="1" fillId="0" borderId="0" xfId="0" applyFont="1"/>
    <xf numFmtId="0" fontId="95" fillId="0" borderId="0" xfId="0" applyFont="1"/>
    <xf numFmtId="0" fontId="63" fillId="31" borderId="31" xfId="0" applyFont="1" applyFill="1" applyBorder="1" applyAlignment="1">
      <alignment horizontal="justify" vertical="center" wrapText="1"/>
    </xf>
    <xf numFmtId="0" fontId="89" fillId="31" borderId="48" xfId="0" applyFont="1" applyFill="1" applyBorder="1" applyAlignment="1">
      <alignment horizontal="justify" vertical="center" wrapText="1"/>
    </xf>
    <xf numFmtId="0" fontId="89" fillId="31" borderId="49" xfId="0" applyFont="1" applyFill="1" applyBorder="1" applyAlignment="1">
      <alignment horizontal="justify" vertical="center" wrapText="1"/>
    </xf>
    <xf numFmtId="0" fontId="63" fillId="0" borderId="31" xfId="0" applyFont="1" applyBorder="1" applyAlignment="1" applyProtection="1">
      <alignment horizontal="justify" vertical="center" wrapText="1"/>
      <protection locked="0"/>
    </xf>
    <xf numFmtId="0" fontId="89" fillId="0" borderId="48" xfId="0" applyFont="1" applyBorder="1" applyAlignment="1" applyProtection="1">
      <alignment horizontal="justify" vertical="center" wrapText="1"/>
      <protection locked="0"/>
    </xf>
    <xf numFmtId="0" fontId="89" fillId="0" borderId="49" xfId="0" applyFont="1" applyBorder="1" applyAlignment="1" applyProtection="1">
      <alignment horizontal="justify" vertical="center" wrapText="1"/>
      <protection locked="0"/>
    </xf>
    <xf numFmtId="166" fontId="97" fillId="0" borderId="30" xfId="120" applyFont="1" applyFill="1" applyBorder="1" applyAlignment="1" applyProtection="1">
      <alignment vertical="center"/>
    </xf>
    <xf numFmtId="0" fontId="96" fillId="0" borderId="0" xfId="0" applyFont="1" applyFill="1"/>
    <xf numFmtId="15" fontId="6" fillId="0" borderId="0" xfId="0" applyNumberFormat="1" applyFont="1" applyFill="1" applyBorder="1" applyAlignment="1" applyProtection="1">
      <alignment horizontal="centerContinuous"/>
    </xf>
    <xf numFmtId="15" fontId="6" fillId="0" borderId="0" xfId="0" applyNumberFormat="1" applyFont="1" applyFill="1" applyBorder="1" applyAlignment="1" applyProtection="1">
      <alignment horizontal="center"/>
    </xf>
    <xf numFmtId="15" fontId="36" fillId="0" borderId="0" xfId="0" applyNumberFormat="1" applyFont="1" applyAlignment="1" applyProtection="1">
      <alignment horizontal="center"/>
    </xf>
    <xf numFmtId="1" fontId="21" fillId="33" borderId="12" xfId="0" applyNumberFormat="1" applyFont="1" applyFill="1" applyBorder="1" applyAlignment="1" applyProtection="1">
      <alignment horizontal="center"/>
      <protection locked="0"/>
    </xf>
    <xf numFmtId="1" fontId="21" fillId="33" borderId="51" xfId="0" applyNumberFormat="1" applyFont="1" applyFill="1" applyBorder="1" applyAlignment="1" applyProtection="1">
      <alignment horizontal="center"/>
      <protection locked="0"/>
    </xf>
    <xf numFmtId="1" fontId="0" fillId="33" borderId="12" xfId="0" applyNumberFormat="1" applyFill="1" applyBorder="1" applyAlignment="1" applyProtection="1">
      <alignment horizontal="center"/>
      <protection locked="0"/>
    </xf>
    <xf numFmtId="169" fontId="0" fillId="0" borderId="0" xfId="0" applyNumberFormat="1" applyProtection="1"/>
    <xf numFmtId="0" fontId="63" fillId="0" borderId="31" xfId="0" applyFont="1" applyBorder="1" applyAlignment="1" applyProtection="1">
      <alignment horizontal="left" vertical="center" wrapText="1"/>
      <protection locked="0"/>
    </xf>
    <xf numFmtId="0" fontId="63" fillId="0" borderId="48" xfId="0" applyFont="1" applyBorder="1" applyAlignment="1" applyProtection="1">
      <alignment horizontal="left" vertical="center" wrapText="1"/>
      <protection locked="0"/>
    </xf>
    <xf numFmtId="0" fontId="63" fillId="0" borderId="49" xfId="0" applyFont="1" applyBorder="1" applyAlignment="1" applyProtection="1">
      <alignment horizontal="left" vertical="center" wrapText="1"/>
      <protection locked="0"/>
    </xf>
    <xf numFmtId="166" fontId="20" fillId="0" borderId="0" xfId="97" applyFont="1" applyFill="1" applyAlignment="1" applyProtection="1">
      <alignment horizontal="right" vertical="center"/>
    </xf>
    <xf numFmtId="0" fontId="103" fillId="0" borderId="0" xfId="0" applyFont="1" applyFill="1" applyBorder="1" applyAlignment="1" applyProtection="1">
      <alignment horizontal="right"/>
    </xf>
    <xf numFmtId="0" fontId="63" fillId="31" borderId="31" xfId="0" applyFont="1" applyFill="1" applyBorder="1" applyAlignment="1">
      <alignment horizontal="left" vertical="center" wrapText="1"/>
    </xf>
    <xf numFmtId="0" fontId="63" fillId="31" borderId="48" xfId="0" applyFont="1" applyFill="1" applyBorder="1" applyAlignment="1">
      <alignment horizontal="left" vertical="center" wrapText="1"/>
    </xf>
    <xf numFmtId="0" fontId="63" fillId="31" borderId="49" xfId="0" applyFont="1" applyFill="1" applyBorder="1" applyAlignment="1">
      <alignment horizontal="left" vertical="center" wrapText="1"/>
    </xf>
    <xf numFmtId="166" fontId="104" fillId="0" borderId="16" xfId="120" applyFont="1" applyFill="1" applyBorder="1" applyAlignment="1" applyProtection="1">
      <alignment horizontal="left" vertical="center"/>
    </xf>
    <xf numFmtId="0" fontId="105" fillId="0" borderId="0" xfId="0" applyFont="1" applyFill="1" applyBorder="1" applyProtection="1"/>
    <xf numFmtId="0" fontId="103" fillId="0" borderId="0" xfId="0" applyFont="1" applyBorder="1" applyProtection="1"/>
    <xf numFmtId="3" fontId="6" fillId="0" borderId="0" xfId="0" applyNumberFormat="1" applyFont="1" applyAlignment="1" applyProtection="1">
      <alignment horizontal="right"/>
    </xf>
    <xf numFmtId="15" fontId="102" fillId="0" borderId="0" xfId="0" applyNumberFormat="1" applyFont="1" applyFill="1" applyBorder="1" applyAlignment="1" applyProtection="1">
      <alignment horizontal="left"/>
    </xf>
    <xf numFmtId="0" fontId="109" fillId="0" borderId="0" xfId="0" applyFont="1" applyFill="1" applyBorder="1" applyAlignment="1" applyProtection="1">
      <alignment horizontal="center" wrapText="1"/>
    </xf>
    <xf numFmtId="0" fontId="103" fillId="0" borderId="0" xfId="0" applyFont="1" applyFill="1" applyBorder="1" applyAlignment="1" applyProtection="1">
      <alignment horizontal="center"/>
    </xf>
    <xf numFmtId="3" fontId="2" fillId="31" borderId="12" xfId="0" applyNumberFormat="1" applyFont="1" applyFill="1" applyBorder="1" applyAlignment="1" applyProtection="1">
      <alignment vertical="center"/>
      <protection locked="0"/>
    </xf>
    <xf numFmtId="3" fontId="2" fillId="32" borderId="12" xfId="0" applyNumberFormat="1" applyFont="1" applyFill="1" applyBorder="1" applyAlignment="1" applyProtection="1">
      <alignment vertical="center"/>
      <protection locked="0"/>
    </xf>
    <xf numFmtId="0" fontId="0" fillId="0" borderId="0" xfId="0" quotePrefix="1" applyProtection="1"/>
    <xf numFmtId="15" fontId="32" fillId="0" borderId="52" xfId="0" applyNumberFormat="1" applyFont="1" applyBorder="1" applyAlignment="1" applyProtection="1">
      <alignment horizontal="center"/>
    </xf>
    <xf numFmtId="15" fontId="29" fillId="0" borderId="0" xfId="0" applyNumberFormat="1" applyFont="1" applyFill="1" applyBorder="1" applyAlignment="1" applyProtection="1">
      <alignment horizontal="center" vertical="center" wrapText="1"/>
    </xf>
    <xf numFmtId="0" fontId="77" fillId="0" borderId="53" xfId="0" applyFont="1" applyFill="1" applyBorder="1" applyAlignment="1" applyProtection="1">
      <alignment horizontal="center" vertical="center"/>
    </xf>
    <xf numFmtId="0" fontId="115" fillId="0" borderId="0" xfId="0" applyFont="1" applyBorder="1" applyAlignment="1" applyProtection="1">
      <alignment horizontal="right"/>
    </xf>
    <xf numFmtId="0" fontId="115" fillId="0" borderId="0" xfId="0" applyFont="1" applyAlignment="1" applyProtection="1">
      <alignment horizontal="right"/>
    </xf>
    <xf numFmtId="0" fontId="115" fillId="0" borderId="54" xfId="0" applyFont="1" applyBorder="1" applyAlignment="1" applyProtection="1">
      <alignment horizontal="right"/>
    </xf>
    <xf numFmtId="166" fontId="114" fillId="0" borderId="0" xfId="81" applyFont="1" applyFill="1" applyAlignment="1" applyProtection="1">
      <alignment vertical="center"/>
    </xf>
    <xf numFmtId="0" fontId="115" fillId="0" borderId="0" xfId="0" applyFont="1" applyProtection="1"/>
    <xf numFmtId="0" fontId="115" fillId="0" borderId="0" xfId="0" applyFont="1" applyBorder="1" applyProtection="1"/>
    <xf numFmtId="15" fontId="1" fillId="0" borderId="12" xfId="117" applyNumberFormat="1" applyFont="1" applyFill="1" applyBorder="1" applyAlignment="1" applyProtection="1">
      <alignment horizontal="center"/>
      <protection locked="0"/>
    </xf>
    <xf numFmtId="0" fontId="0" fillId="0" borderId="0" xfId="0" applyBorder="1" applyAlignment="1" applyProtection="1"/>
    <xf numFmtId="0" fontId="0" fillId="0" borderId="0" xfId="0" applyAlignment="1" applyProtection="1"/>
    <xf numFmtId="3" fontId="0" fillId="0" borderId="0" xfId="0" applyNumberFormat="1" applyFill="1" applyProtection="1"/>
    <xf numFmtId="15" fontId="103" fillId="0" borderId="0" xfId="0" applyNumberFormat="1" applyFont="1" applyFill="1" applyBorder="1" applyAlignment="1" applyProtection="1">
      <alignment horizontal="center"/>
    </xf>
    <xf numFmtId="0" fontId="0" fillId="0" borderId="0" xfId="0" applyFill="1" applyBorder="1" applyProtection="1">
      <protection locked="0"/>
    </xf>
    <xf numFmtId="0" fontId="100" fillId="0" borderId="0" xfId="0" applyFont="1" applyFill="1" applyBorder="1" applyAlignment="1" applyProtection="1">
      <alignment horizontal="center" vertical="center"/>
    </xf>
    <xf numFmtId="0" fontId="6" fillId="0" borderId="55" xfId="0" applyFont="1" applyBorder="1" applyAlignment="1" applyProtection="1"/>
    <xf numFmtId="0" fontId="6" fillId="0" borderId="56" xfId="0" applyFont="1" applyBorder="1" applyAlignment="1" applyProtection="1"/>
    <xf numFmtId="0" fontId="25" fillId="0" borderId="57" xfId="0" applyFont="1" applyBorder="1" applyAlignment="1" applyProtection="1">
      <alignment vertical="distributed"/>
    </xf>
    <xf numFmtId="15" fontId="27" fillId="0" borderId="58" xfId="0" applyNumberFormat="1" applyFont="1" applyFill="1" applyBorder="1" applyAlignment="1" applyProtection="1">
      <alignment horizontal="center" vertical="center" wrapText="1"/>
    </xf>
    <xf numFmtId="0" fontId="6" fillId="0" borderId="0" xfId="0" applyFont="1" applyFill="1" applyBorder="1" applyAlignment="1" applyProtection="1">
      <protection locked="0"/>
    </xf>
    <xf numFmtId="0" fontId="110" fillId="0" borderId="0" xfId="0" applyFont="1" applyFill="1" applyBorder="1" applyAlignment="1" applyProtection="1">
      <alignment horizontal="left"/>
      <protection locked="0"/>
    </xf>
    <xf numFmtId="0" fontId="26" fillId="0" borderId="59" xfId="0" applyFont="1" applyFill="1" applyBorder="1" applyAlignment="1" applyProtection="1"/>
    <xf numFmtId="15" fontId="26" fillId="0" borderId="12" xfId="0" applyNumberFormat="1" applyFont="1" applyFill="1" applyBorder="1" applyAlignment="1" applyProtection="1">
      <alignment horizontal="center"/>
    </xf>
    <xf numFmtId="15" fontId="26" fillId="0" borderId="60" xfId="0" applyNumberFormat="1" applyFont="1" applyFill="1" applyBorder="1" applyAlignment="1" applyProtection="1">
      <alignment horizontal="center"/>
    </xf>
    <xf numFmtId="0" fontId="32" fillId="34" borderId="61" xfId="0" applyFont="1" applyFill="1" applyBorder="1" applyAlignment="1" applyProtection="1">
      <alignment horizontal="centerContinuous"/>
    </xf>
    <xf numFmtId="15" fontId="111" fillId="0" borderId="44" xfId="0" applyNumberFormat="1" applyFont="1" applyFill="1" applyBorder="1" applyAlignment="1" applyProtection="1">
      <alignment horizontal="center" wrapText="1"/>
    </xf>
    <xf numFmtId="15" fontId="111" fillId="0" borderId="62" xfId="0" applyNumberFormat="1" applyFont="1" applyFill="1" applyBorder="1" applyAlignment="1" applyProtection="1">
      <alignment horizontal="center" wrapText="1"/>
    </xf>
    <xf numFmtId="0" fontId="37" fillId="0" borderId="59" xfId="0" applyFont="1" applyFill="1" applyBorder="1" applyAlignment="1" applyProtection="1">
      <alignment horizontal="center"/>
    </xf>
    <xf numFmtId="0" fontId="37" fillId="0" borderId="63" xfId="0" applyFont="1" applyFill="1" applyBorder="1" applyAlignment="1" applyProtection="1">
      <alignment horizontal="center"/>
    </xf>
    <xf numFmtId="0" fontId="32" fillId="34" borderId="64" xfId="0" applyFont="1" applyFill="1" applyBorder="1" applyAlignment="1" applyProtection="1">
      <alignment horizontal="centerContinuous"/>
    </xf>
    <xf numFmtId="0" fontId="0" fillId="0" borderId="0" xfId="0" applyFill="1" applyBorder="1" applyAlignment="1" applyProtection="1">
      <alignment horizontal="left" vertical="top"/>
      <protection locked="0"/>
    </xf>
    <xf numFmtId="0" fontId="102" fillId="0" borderId="0" xfId="0" applyFont="1" applyFill="1" applyBorder="1" applyAlignment="1" applyProtection="1">
      <alignment horizontal="center"/>
    </xf>
    <xf numFmtId="0" fontId="108" fillId="0" borderId="0" xfId="0" applyFont="1" applyFill="1" applyBorder="1" applyAlignment="1" applyProtection="1">
      <alignment horizontal="center" vertical="center"/>
    </xf>
    <xf numFmtId="15" fontId="0" fillId="0" borderId="0" xfId="0" applyNumberFormat="1" applyFill="1" applyBorder="1" applyAlignment="1" applyProtection="1">
      <alignment horizontal="center"/>
      <protection locked="0"/>
    </xf>
    <xf numFmtId="1" fontId="0" fillId="0" borderId="26" xfId="0" applyNumberFormat="1" applyFill="1" applyBorder="1" applyAlignment="1" applyProtection="1">
      <alignment horizontal="center"/>
    </xf>
    <xf numFmtId="1" fontId="0" fillId="33" borderId="51" xfId="0" applyNumberFormat="1" applyFill="1" applyBorder="1" applyAlignment="1" applyProtection="1">
      <alignment horizontal="center"/>
      <protection locked="0"/>
    </xf>
    <xf numFmtId="14" fontId="0" fillId="0" borderId="12" xfId="0" applyNumberFormat="1" applyBorder="1" applyAlignment="1" applyProtection="1">
      <alignment horizontal="center"/>
      <protection locked="0"/>
    </xf>
    <xf numFmtId="0" fontId="0" fillId="0" borderId="65" xfId="0" applyBorder="1" applyAlignment="1" applyProtection="1">
      <alignment horizontal="center"/>
    </xf>
    <xf numFmtId="0" fontId="0" fillId="0" borderId="44" xfId="0" applyFill="1" applyBorder="1" applyAlignment="1" applyProtection="1">
      <alignment horizontal="center"/>
    </xf>
    <xf numFmtId="0" fontId="1" fillId="0" borderId="43" xfId="0" applyFont="1" applyFill="1" applyBorder="1" applyAlignment="1" applyProtection="1">
      <alignment horizontal="center" wrapText="1"/>
    </xf>
    <xf numFmtId="0" fontId="0" fillId="0" borderId="43" xfId="0" applyBorder="1" applyAlignment="1">
      <alignment horizontal="center" wrapText="1"/>
    </xf>
    <xf numFmtId="0" fontId="28" fillId="0" borderId="43" xfId="0" applyFont="1" applyBorder="1" applyAlignment="1">
      <alignment horizontal="center" wrapText="1"/>
    </xf>
    <xf numFmtId="0" fontId="1" fillId="0" borderId="62" xfId="0" applyFont="1" applyFill="1" applyBorder="1" applyAlignment="1" applyProtection="1">
      <alignment horizontal="center" wrapText="1"/>
    </xf>
    <xf numFmtId="3" fontId="67" fillId="32" borderId="33" xfId="0" applyNumberFormat="1" applyFont="1" applyFill="1" applyBorder="1" applyAlignment="1" applyProtection="1">
      <alignment vertical="center"/>
      <protection locked="0"/>
    </xf>
    <xf numFmtId="3" fontId="67" fillId="32" borderId="12" xfId="0" applyNumberFormat="1" applyFont="1" applyFill="1" applyBorder="1" applyAlignment="1" applyProtection="1">
      <alignment horizontal="right" vertical="center"/>
      <protection locked="0"/>
    </xf>
    <xf numFmtId="3" fontId="2" fillId="32" borderId="12" xfId="0" applyNumberFormat="1" applyFont="1" applyFill="1" applyBorder="1" applyAlignment="1" applyProtection="1">
      <alignment horizontal="right" vertical="center"/>
      <protection locked="0"/>
    </xf>
    <xf numFmtId="0" fontId="77" fillId="0" borderId="66" xfId="0" applyFont="1" applyFill="1" applyBorder="1" applyAlignment="1" applyProtection="1">
      <alignment horizontal="center" vertical="center"/>
    </xf>
    <xf numFmtId="166" fontId="116" fillId="0" borderId="22" xfId="120" applyFont="1" applyFill="1" applyBorder="1" applyAlignment="1" applyProtection="1">
      <alignment vertical="center"/>
    </xf>
    <xf numFmtId="0" fontId="24" fillId="0" borderId="0" xfId="0" applyFont="1" applyProtection="1"/>
    <xf numFmtId="166" fontId="111" fillId="0" borderId="0" xfId="0" applyNumberFormat="1" applyFont="1" applyBorder="1" applyAlignment="1" applyProtection="1">
      <alignment vertical="center" wrapText="1"/>
    </xf>
    <xf numFmtId="0" fontId="111" fillId="0" borderId="0" xfId="0" applyFont="1" applyFill="1" applyBorder="1" applyAlignment="1" applyProtection="1">
      <alignment wrapText="1"/>
    </xf>
    <xf numFmtId="166" fontId="20" fillId="0" borderId="45" xfId="117" applyFont="1" applyFill="1" applyBorder="1" applyAlignment="1" applyProtection="1">
      <alignment horizontal="right"/>
    </xf>
    <xf numFmtId="0" fontId="28" fillId="0" borderId="67" xfId="0" applyFont="1" applyFill="1" applyBorder="1" applyAlignment="1" applyProtection="1">
      <alignment wrapText="1"/>
    </xf>
    <xf numFmtId="0" fontId="34" fillId="0" borderId="68" xfId="0" applyFont="1" applyFill="1" applyBorder="1" applyAlignment="1" applyProtection="1">
      <alignment horizontal="center" wrapText="1"/>
    </xf>
    <xf numFmtId="0" fontId="21" fillId="29" borderId="31" xfId="0" applyFont="1" applyFill="1" applyBorder="1" applyAlignment="1" applyProtection="1"/>
    <xf numFmtId="0" fontId="21" fillId="29" borderId="69" xfId="0" applyFont="1" applyFill="1" applyBorder="1" applyAlignment="1" applyProtection="1"/>
    <xf numFmtId="0" fontId="28" fillId="0" borderId="0" xfId="0" applyFont="1" applyFill="1" applyBorder="1" applyAlignment="1" applyProtection="1">
      <alignment wrapText="1"/>
    </xf>
    <xf numFmtId="9" fontId="113" fillId="35" borderId="12" xfId="112" applyFont="1" applyFill="1" applyBorder="1" applyAlignment="1" applyProtection="1">
      <alignment horizontal="center" vertical="center" wrapText="1"/>
    </xf>
    <xf numFmtId="166" fontId="28" fillId="0" borderId="0" xfId="0" applyNumberFormat="1" applyFont="1" applyAlignment="1" applyProtection="1"/>
    <xf numFmtId="15" fontId="28" fillId="0" borderId="0" xfId="0" applyNumberFormat="1" applyFont="1"/>
    <xf numFmtId="0" fontId="0" fillId="0" borderId="30" xfId="0" applyFill="1" applyBorder="1" applyProtection="1"/>
    <xf numFmtId="166" fontId="117" fillId="0" borderId="30" xfId="120" applyFont="1" applyFill="1" applyBorder="1" applyAlignment="1" applyProtection="1">
      <alignment vertical="center"/>
    </xf>
    <xf numFmtId="0" fontId="0" fillId="0" borderId="30" xfId="0" applyBorder="1" applyProtection="1"/>
    <xf numFmtId="0" fontId="0" fillId="0" borderId="30" xfId="0" applyBorder="1"/>
    <xf numFmtId="9" fontId="15" fillId="0" borderId="0" xfId="112" applyFont="1" applyProtection="1"/>
    <xf numFmtId="14" fontId="24" fillId="33" borderId="45" xfId="117" applyNumberFormat="1" applyFont="1" applyFill="1" applyBorder="1" applyAlignment="1" applyProtection="1">
      <alignment horizontal="center" vertical="center"/>
    </xf>
    <xf numFmtId="166" fontId="24" fillId="33" borderId="45" xfId="117" applyFont="1" applyFill="1" applyBorder="1" applyAlignment="1" applyProtection="1">
      <alignment horizontal="center" vertical="center"/>
    </xf>
    <xf numFmtId="15" fontId="24" fillId="33" borderId="45" xfId="117" applyNumberFormat="1" applyFont="1" applyFill="1" applyBorder="1" applyAlignment="1" applyProtection="1">
      <alignment horizontal="center" vertical="center"/>
    </xf>
    <xf numFmtId="175" fontId="24" fillId="33" borderId="45" xfId="117" applyNumberFormat="1" applyFont="1" applyFill="1" applyBorder="1" applyAlignment="1" applyProtection="1">
      <alignment horizontal="center"/>
    </xf>
    <xf numFmtId="3" fontId="24" fillId="33" borderId="45" xfId="117" applyNumberFormat="1" applyFont="1" applyFill="1" applyBorder="1" applyAlignment="1" applyProtection="1">
      <alignment horizontal="center"/>
    </xf>
    <xf numFmtId="166" fontId="24" fillId="33" borderId="45" xfId="117" applyFont="1" applyFill="1" applyBorder="1" applyAlignment="1" applyProtection="1">
      <alignment horizontal="center"/>
    </xf>
    <xf numFmtId="15" fontId="24" fillId="33" borderId="45" xfId="117" applyNumberFormat="1" applyFont="1" applyFill="1" applyBorder="1" applyAlignment="1" applyProtection="1">
      <alignment horizontal="center"/>
    </xf>
    <xf numFmtId="166" fontId="90" fillId="0" borderId="0" xfId="0" applyNumberFormat="1" applyFont="1" applyAlignment="1"/>
    <xf numFmtId="0" fontId="34" fillId="0" borderId="43" xfId="0" applyFont="1" applyFill="1" applyBorder="1" applyAlignment="1" applyProtection="1">
      <alignment horizontal="center" wrapText="1"/>
    </xf>
    <xf numFmtId="0" fontId="67" fillId="0" borderId="70" xfId="0" applyFont="1" applyFill="1" applyBorder="1" applyProtection="1"/>
    <xf numFmtId="0" fontId="30" fillId="31" borderId="0" xfId="0" applyFont="1" applyFill="1" applyBorder="1" applyAlignment="1" applyProtection="1">
      <alignment horizontal="left"/>
      <protection locked="0"/>
    </xf>
    <xf numFmtId="0" fontId="34" fillId="31" borderId="0" xfId="0" applyFont="1" applyFill="1" applyBorder="1" applyAlignment="1" applyProtection="1">
      <alignment horizontal="left"/>
      <protection locked="0"/>
    </xf>
    <xf numFmtId="0" fontId="34" fillId="31" borderId="0" xfId="0" applyFont="1" applyFill="1" applyAlignment="1" applyProtection="1">
      <alignment horizontal="left"/>
      <protection locked="0"/>
    </xf>
    <xf numFmtId="49" fontId="0" fillId="0" borderId="0" xfId="0" applyNumberFormat="1" applyProtection="1"/>
    <xf numFmtId="0" fontId="0" fillId="33" borderId="51" xfId="0" applyNumberFormat="1" applyFill="1" applyBorder="1" applyAlignment="1" applyProtection="1">
      <alignment horizontal="center"/>
      <protection locked="0"/>
    </xf>
    <xf numFmtId="0" fontId="0" fillId="0" borderId="28" xfId="0" applyNumberFormat="1" applyFill="1" applyBorder="1" applyAlignment="1" applyProtection="1">
      <alignment horizontal="center"/>
    </xf>
    <xf numFmtId="0" fontId="0" fillId="33" borderId="28" xfId="0" applyNumberFormat="1" applyFill="1" applyBorder="1" applyAlignment="1" applyProtection="1">
      <alignment horizontal="center"/>
      <protection locked="0"/>
    </xf>
    <xf numFmtId="3" fontId="0" fillId="33" borderId="12" xfId="0" applyNumberFormat="1" applyFill="1" applyBorder="1" applyAlignment="1" applyProtection="1">
      <alignment horizontal="right" wrapText="1"/>
      <protection locked="0"/>
    </xf>
    <xf numFmtId="3" fontId="0" fillId="0" borderId="12" xfId="0" applyNumberFormat="1" applyBorder="1" applyAlignment="1" applyProtection="1">
      <alignment horizontal="right" wrapText="1"/>
    </xf>
    <xf numFmtId="3" fontId="0" fillId="33" borderId="12" xfId="0" applyNumberFormat="1" applyFill="1" applyBorder="1" applyProtection="1">
      <protection locked="0"/>
    </xf>
    <xf numFmtId="3" fontId="0" fillId="0" borderId="12" xfId="0" applyNumberFormat="1" applyFill="1" applyBorder="1" applyProtection="1"/>
    <xf numFmtId="3" fontId="0" fillId="33" borderId="71" xfId="0" applyNumberFormat="1" applyFill="1" applyBorder="1" applyProtection="1">
      <protection locked="0"/>
    </xf>
    <xf numFmtId="174" fontId="21" fillId="29" borderId="0" xfId="0" applyNumberFormat="1" applyFont="1" applyFill="1"/>
    <xf numFmtId="174" fontId="0" fillId="0" borderId="0" xfId="0" applyNumberFormat="1" applyFill="1" applyBorder="1" applyProtection="1">
      <protection locked="0"/>
    </xf>
    <xf numFmtId="4" fontId="0" fillId="0" borderId="0" xfId="0" applyNumberFormat="1" applyFill="1" applyBorder="1" applyProtection="1">
      <protection locked="0"/>
    </xf>
    <xf numFmtId="4" fontId="0" fillId="0" borderId="0" xfId="0" applyNumberFormat="1" applyProtection="1"/>
    <xf numFmtId="0" fontId="0" fillId="0" borderId="0" xfId="0" applyNumberFormat="1" applyFill="1" applyBorder="1" applyProtection="1">
      <protection locked="0"/>
    </xf>
    <xf numFmtId="168" fontId="32" fillId="28" borderId="72" xfId="0" applyNumberFormat="1" applyFont="1" applyFill="1" applyBorder="1" applyAlignment="1" applyProtection="1">
      <alignment horizontal="center"/>
      <protection locked="0"/>
    </xf>
    <xf numFmtId="168" fontId="32" fillId="28" borderId="73" xfId="0" applyNumberFormat="1" applyFont="1" applyFill="1" applyBorder="1" applyAlignment="1" applyProtection="1">
      <alignment horizontal="center"/>
      <protection locked="0"/>
    </xf>
    <xf numFmtId="168" fontId="32" fillId="28" borderId="74" xfId="0" applyNumberFormat="1" applyFont="1" applyFill="1" applyBorder="1" applyAlignment="1" applyProtection="1">
      <alignment horizontal="center"/>
      <protection locked="0"/>
    </xf>
    <xf numFmtId="168" fontId="32" fillId="28" borderId="75" xfId="0" applyNumberFormat="1" applyFont="1" applyFill="1" applyBorder="1" applyAlignment="1" applyProtection="1">
      <alignment horizontal="center"/>
      <protection locked="0"/>
    </xf>
    <xf numFmtId="168" fontId="32" fillId="28" borderId="76" xfId="0" applyNumberFormat="1" applyFont="1" applyFill="1" applyBorder="1" applyAlignment="1" applyProtection="1">
      <alignment horizontal="center"/>
      <protection locked="0"/>
    </xf>
    <xf numFmtId="0" fontId="0" fillId="0" borderId="77" xfId="0" applyFill="1" applyBorder="1" applyAlignment="1" applyProtection="1">
      <alignment horizontal="center"/>
    </xf>
    <xf numFmtId="0" fontId="0" fillId="0" borderId="0" xfId="0" applyBorder="1" applyAlignment="1">
      <alignment horizontal="left" wrapText="1"/>
    </xf>
    <xf numFmtId="166" fontId="35" fillId="0" borderId="0" xfId="0" applyNumberFormat="1" applyFont="1"/>
    <xf numFmtId="0" fontId="0" fillId="0" borderId="0" xfId="0" applyBorder="1" applyAlignment="1">
      <alignment horizontal="left"/>
    </xf>
    <xf numFmtId="166" fontId="1" fillId="0" borderId="45" xfId="117" applyFont="1" applyBorder="1" applyAlignment="1" applyProtection="1">
      <alignment horizontal="right"/>
    </xf>
    <xf numFmtId="166" fontId="125" fillId="0" borderId="0" xfId="99" applyFont="1" applyFill="1" applyBorder="1" applyProtection="1"/>
    <xf numFmtId="3" fontId="28" fillId="34" borderId="72" xfId="0" applyNumberFormat="1" applyFont="1" applyFill="1" applyBorder="1" applyAlignment="1" applyProtection="1">
      <protection locked="0"/>
    </xf>
    <xf numFmtId="3" fontId="28" fillId="34" borderId="78" xfId="0" applyNumberFormat="1" applyFont="1" applyFill="1" applyBorder="1" applyAlignment="1" applyProtection="1">
      <protection locked="0"/>
    </xf>
    <xf numFmtId="3" fontId="28" fillId="0" borderId="12" xfId="0" applyNumberFormat="1" applyFont="1" applyFill="1" applyBorder="1" applyAlignment="1" applyProtection="1"/>
    <xf numFmtId="3" fontId="28" fillId="0" borderId="79" xfId="0" applyNumberFormat="1" applyFont="1" applyFill="1" applyBorder="1" applyAlignment="1" applyProtection="1"/>
    <xf numFmtId="3" fontId="6" fillId="0" borderId="80" xfId="51" applyNumberFormat="1" applyFont="1" applyFill="1" applyBorder="1" applyAlignment="1" applyProtection="1"/>
    <xf numFmtId="3" fontId="6" fillId="0" borderId="81" xfId="51" applyNumberFormat="1" applyFont="1" applyFill="1" applyBorder="1" applyAlignment="1" applyProtection="1"/>
    <xf numFmtId="168" fontId="14" fillId="28" borderId="82" xfId="0" applyNumberFormat="1" applyFont="1" applyFill="1" applyBorder="1" applyAlignment="1" applyProtection="1">
      <alignment horizontal="center"/>
      <protection locked="0"/>
    </xf>
    <xf numFmtId="168" fontId="14" fillId="28" borderId="83" xfId="0" applyNumberFormat="1" applyFont="1" applyFill="1" applyBorder="1" applyAlignment="1" applyProtection="1">
      <alignment horizontal="center"/>
      <protection locked="0"/>
    </xf>
    <xf numFmtId="0" fontId="0" fillId="34" borderId="12" xfId="0" applyFill="1" applyBorder="1" applyProtection="1"/>
    <xf numFmtId="0" fontId="0" fillId="33" borderId="12" xfId="0" applyFill="1" applyBorder="1" applyProtection="1"/>
    <xf numFmtId="3" fontId="1" fillId="34" borderId="84" xfId="51" applyNumberFormat="1" applyFont="1" applyFill="1" applyBorder="1" applyAlignment="1" applyProtection="1">
      <protection locked="0"/>
    </xf>
    <xf numFmtId="3" fontId="1" fillId="34" borderId="84" xfId="51" applyNumberFormat="1" applyFont="1" applyFill="1" applyBorder="1" applyProtection="1">
      <protection locked="0"/>
    </xf>
    <xf numFmtId="49" fontId="25" fillId="0" borderId="85" xfId="0" applyNumberFormat="1" applyFont="1" applyFill="1" applyBorder="1" applyAlignment="1" applyProtection="1">
      <alignment vertical="center" wrapText="1"/>
    </xf>
    <xf numFmtId="0" fontId="91" fillId="0" borderId="86" xfId="0" applyNumberFormat="1" applyFont="1" applyFill="1" applyBorder="1" applyAlignment="1" applyProtection="1">
      <alignment horizontal="center" vertical="center" wrapText="1"/>
    </xf>
    <xf numFmtId="0" fontId="91" fillId="0" borderId="87" xfId="0" applyNumberFormat="1" applyFont="1" applyFill="1" applyBorder="1" applyAlignment="1" applyProtection="1">
      <alignment horizontal="center" vertical="center" wrapText="1"/>
    </xf>
    <xf numFmtId="49" fontId="26" fillId="0" borderId="88" xfId="0" applyNumberFormat="1" applyFont="1" applyFill="1" applyBorder="1" applyAlignment="1" applyProtection="1">
      <alignment wrapText="1"/>
      <protection locked="0"/>
    </xf>
    <xf numFmtId="3" fontId="1" fillId="34" borderId="89" xfId="51" applyNumberFormat="1" applyFont="1" applyFill="1" applyBorder="1" applyProtection="1">
      <protection locked="0"/>
    </xf>
    <xf numFmtId="49" fontId="26" fillId="0" borderId="88" xfId="0" applyNumberFormat="1" applyFont="1" applyFill="1" applyBorder="1" applyAlignment="1" applyProtection="1">
      <protection locked="0"/>
    </xf>
    <xf numFmtId="0" fontId="26" fillId="0" borderId="88" xfId="0" applyFont="1" applyFill="1" applyBorder="1" applyAlignment="1" applyProtection="1">
      <alignment wrapText="1"/>
      <protection locked="0"/>
    </xf>
    <xf numFmtId="0" fontId="0" fillId="0" borderId="90" xfId="0" applyBorder="1" applyAlignment="1" applyProtection="1"/>
    <xf numFmtId="3" fontId="0" fillId="0" borderId="91" xfId="0" applyNumberFormat="1" applyBorder="1" applyProtection="1"/>
    <xf numFmtId="3" fontId="0" fillId="0" borderId="92" xfId="0" applyNumberFormat="1" applyBorder="1" applyProtection="1"/>
    <xf numFmtId="49" fontId="0" fillId="0" borderId="12" xfId="0" applyNumberFormat="1" applyBorder="1" applyAlignment="1" applyProtection="1">
      <alignment horizontal="center"/>
      <protection locked="0"/>
    </xf>
    <xf numFmtId="49" fontId="0" fillId="33" borderId="12" xfId="0" applyNumberFormat="1" applyFill="1" applyBorder="1" applyProtection="1">
      <protection locked="0"/>
    </xf>
    <xf numFmtId="0" fontId="0" fillId="33" borderId="12" xfId="0" applyNumberFormat="1" applyFill="1" applyBorder="1" applyProtection="1">
      <protection locked="0"/>
    </xf>
    <xf numFmtId="0" fontId="0" fillId="0" borderId="12" xfId="0" applyNumberFormat="1" applyFill="1" applyBorder="1" applyProtection="1"/>
    <xf numFmtId="0" fontId="0" fillId="33" borderId="12" xfId="0" applyNumberFormat="1" applyFill="1" applyBorder="1" applyAlignment="1" applyProtection="1">
      <alignment horizontal="center"/>
      <protection locked="0"/>
    </xf>
    <xf numFmtId="49" fontId="0" fillId="33" borderId="71" xfId="0" applyNumberFormat="1" applyFill="1" applyBorder="1" applyAlignment="1" applyProtection="1">
      <alignment horizontal="left"/>
      <protection locked="0"/>
    </xf>
    <xf numFmtId="0" fontId="0" fillId="33" borderId="71" xfId="0" applyNumberFormat="1" applyFill="1" applyBorder="1" applyProtection="1">
      <protection locked="0"/>
    </xf>
    <xf numFmtId="0" fontId="0" fillId="33" borderId="71" xfId="0" applyNumberFormat="1" applyFill="1" applyBorder="1" applyAlignment="1" applyProtection="1">
      <alignment horizontal="center"/>
      <protection locked="0"/>
    </xf>
    <xf numFmtId="166" fontId="156" fillId="34" borderId="93" xfId="120" applyFill="1" applyBorder="1" applyAlignment="1" applyProtection="1">
      <alignment vertical="center"/>
    </xf>
    <xf numFmtId="0" fontId="0" fillId="31" borderId="94" xfId="0" applyFill="1" applyBorder="1"/>
    <xf numFmtId="0" fontId="0" fillId="0" borderId="22" xfId="0" applyBorder="1" applyProtection="1"/>
    <xf numFmtId="166" fontId="39" fillId="33" borderId="95" xfId="120" applyFont="1" applyFill="1" applyBorder="1" applyAlignment="1" applyProtection="1">
      <alignment horizontal="center" vertical="center"/>
    </xf>
    <xf numFmtId="166" fontId="39" fillId="0" borderId="96" xfId="120" applyFont="1" applyFill="1" applyBorder="1" applyAlignment="1" applyProtection="1">
      <alignment vertical="center"/>
    </xf>
    <xf numFmtId="0" fontId="0" fillId="0" borderId="97" xfId="0" applyNumberFormat="1" applyFill="1" applyBorder="1"/>
    <xf numFmtId="15" fontId="27" fillId="0" borderId="98" xfId="0" applyNumberFormat="1" applyFont="1" applyFill="1" applyBorder="1" applyAlignment="1" applyProtection="1">
      <alignment horizontal="center" vertical="center" wrapText="1"/>
    </xf>
    <xf numFmtId="0" fontId="0" fillId="0" borderId="12" xfId="0" quotePrefix="1" applyNumberFormat="1" applyBorder="1" applyAlignment="1">
      <alignment horizontal="center"/>
    </xf>
    <xf numFmtId="3" fontId="0" fillId="0" borderId="0" xfId="0" applyNumberFormat="1" applyFill="1" applyBorder="1" applyProtection="1">
      <protection locked="0"/>
    </xf>
    <xf numFmtId="3" fontId="67" fillId="0" borderId="12" xfId="0" applyNumberFormat="1" applyFont="1" applyFill="1" applyBorder="1" applyAlignment="1" applyProtection="1">
      <alignment vertical="center"/>
    </xf>
    <xf numFmtId="3" fontId="67" fillId="0" borderId="99" xfId="0" applyNumberFormat="1" applyFont="1" applyFill="1" applyBorder="1" applyAlignment="1" applyProtection="1">
      <alignment vertical="center"/>
    </xf>
    <xf numFmtId="171" fontId="0" fillId="0" borderId="12" xfId="0" applyNumberFormat="1" applyFill="1" applyBorder="1" applyAlignment="1" applyProtection="1">
      <alignment horizontal="center"/>
    </xf>
    <xf numFmtId="171" fontId="15" fillId="36" borderId="100" xfId="0" applyNumberFormat="1" applyFont="1" applyFill="1" applyBorder="1" applyAlignment="1" applyProtection="1">
      <alignment horizontal="center"/>
    </xf>
    <xf numFmtId="171" fontId="21" fillId="36" borderId="100" xfId="0" applyNumberFormat="1" applyFont="1" applyFill="1" applyBorder="1" applyAlignment="1" applyProtection="1">
      <alignment horizontal="center"/>
    </xf>
    <xf numFmtId="49" fontId="84" fillId="0" borderId="12" xfId="0" applyNumberFormat="1" applyFont="1" applyBorder="1" applyAlignment="1" applyProtection="1">
      <alignment horizontal="center"/>
      <protection locked="0"/>
    </xf>
    <xf numFmtId="166" fontId="69" fillId="0" borderId="12" xfId="99" applyFont="1" applyBorder="1" applyAlignment="1" applyProtection="1">
      <alignment horizontal="center"/>
    </xf>
    <xf numFmtId="0" fontId="69" fillId="0" borderId="12" xfId="0" applyFont="1" applyBorder="1" applyAlignment="1" applyProtection="1">
      <alignment horizontal="center"/>
    </xf>
    <xf numFmtId="0" fontId="77" fillId="0" borderId="101" xfId="0" applyFont="1" applyFill="1" applyBorder="1" applyAlignment="1" applyProtection="1">
      <alignment horizontal="center" vertical="center" wrapText="1"/>
    </xf>
    <xf numFmtId="0" fontId="77" fillId="0" borderId="102" xfId="0" applyFont="1" applyFill="1" applyBorder="1" applyAlignment="1" applyProtection="1">
      <alignment horizontal="center"/>
    </xf>
    <xf numFmtId="0" fontId="77" fillId="0" borderId="103" xfId="0" applyFont="1" applyFill="1" applyBorder="1" applyAlignment="1" applyProtection="1">
      <alignment horizontal="center"/>
    </xf>
    <xf numFmtId="0" fontId="77" fillId="0" borderId="104" xfId="0" applyNumberFormat="1" applyFont="1" applyFill="1" applyBorder="1" applyAlignment="1" applyProtection="1">
      <alignment horizontal="center"/>
    </xf>
    <xf numFmtId="0" fontId="77" fillId="0" borderId="105" xfId="0" applyNumberFormat="1" applyFont="1" applyFill="1" applyBorder="1" applyAlignment="1" applyProtection="1">
      <alignment horizontal="center"/>
    </xf>
    <xf numFmtId="0" fontId="77" fillId="0" borderId="105" xfId="0" applyNumberFormat="1" applyFont="1" applyFill="1" applyBorder="1" applyAlignment="1" applyProtection="1">
      <alignment horizontal="center" vertical="center"/>
    </xf>
    <xf numFmtId="0" fontId="77" fillId="0" borderId="106" xfId="0" applyNumberFormat="1" applyFont="1" applyFill="1" applyBorder="1" applyAlignment="1" applyProtection="1">
      <alignment horizontal="center" vertical="center"/>
    </xf>
    <xf numFmtId="0" fontId="81" fillId="0" borderId="107" xfId="0" applyNumberFormat="1" applyFont="1" applyFill="1" applyBorder="1" applyAlignment="1" applyProtection="1">
      <alignment horizontal="center" vertical="center"/>
    </xf>
    <xf numFmtId="0" fontId="81" fillId="0" borderId="108" xfId="0" applyNumberFormat="1" applyFont="1" applyFill="1" applyBorder="1" applyAlignment="1" applyProtection="1">
      <alignment horizontal="center" vertical="center"/>
    </xf>
    <xf numFmtId="0" fontId="81" fillId="0" borderId="109" xfId="0" applyNumberFormat="1" applyFont="1" applyFill="1" applyBorder="1" applyAlignment="1" applyProtection="1">
      <alignment horizontal="center" vertical="center"/>
    </xf>
    <xf numFmtId="0" fontId="77" fillId="0" borderId="110" xfId="0" applyFont="1" applyFill="1" applyBorder="1" applyAlignment="1" applyProtection="1">
      <alignment horizontal="center" vertical="center"/>
    </xf>
    <xf numFmtId="0" fontId="77" fillId="0" borderId="111" xfId="0" applyFont="1" applyFill="1" applyBorder="1" applyAlignment="1" applyProtection="1">
      <alignment horizontal="center" vertical="center"/>
    </xf>
    <xf numFmtId="0" fontId="77" fillId="0" borderId="112" xfId="0" applyFont="1" applyFill="1" applyBorder="1" applyAlignment="1" applyProtection="1">
      <alignment horizontal="center" vertical="center"/>
    </xf>
    <xf numFmtId="0" fontId="77" fillId="0" borderId="113" xfId="0" applyFont="1" applyFill="1" applyBorder="1" applyAlignment="1" applyProtection="1">
      <alignment horizontal="center" vertical="center"/>
    </xf>
    <xf numFmtId="0" fontId="2" fillId="0" borderId="114" xfId="0" applyFont="1" applyFill="1" applyBorder="1" applyAlignment="1" applyProtection="1">
      <alignment horizontal="center"/>
    </xf>
    <xf numFmtId="168" fontId="14" fillId="28" borderId="111" xfId="0" applyNumberFormat="1" applyFont="1" applyFill="1" applyBorder="1" applyAlignment="1" applyProtection="1">
      <alignment horizontal="center"/>
      <protection locked="0"/>
    </xf>
    <xf numFmtId="168" fontId="14" fillId="28" borderId="115" xfId="0" applyNumberFormat="1" applyFont="1" applyFill="1" applyBorder="1" applyAlignment="1" applyProtection="1">
      <alignment horizontal="center"/>
      <protection locked="0"/>
    </xf>
    <xf numFmtId="171" fontId="0" fillId="29" borderId="12" xfId="0" applyNumberFormat="1" applyFill="1" applyBorder="1" applyAlignment="1" applyProtection="1">
      <alignment horizontal="center"/>
    </xf>
    <xf numFmtId="171" fontId="0" fillId="0" borderId="12" xfId="0" applyNumberFormat="1" applyBorder="1" applyAlignment="1" applyProtection="1">
      <alignment horizontal="center"/>
    </xf>
    <xf numFmtId="171" fontId="0" fillId="29" borderId="71" xfId="0" applyNumberFormat="1" applyFill="1" applyBorder="1" applyAlignment="1" applyProtection="1">
      <alignment horizontal="center"/>
    </xf>
    <xf numFmtId="171" fontId="0" fillId="0" borderId="71" xfId="0" applyNumberFormat="1" applyBorder="1" applyAlignment="1" applyProtection="1">
      <alignment horizontal="center"/>
    </xf>
    <xf numFmtId="0" fontId="67" fillId="37" borderId="12" xfId="0" applyFont="1" applyFill="1" applyBorder="1" applyAlignment="1" applyProtection="1">
      <alignment horizontal="center"/>
    </xf>
    <xf numFmtId="0" fontId="67" fillId="38" borderId="12" xfId="0" applyFont="1" applyFill="1" applyBorder="1" applyAlignment="1" applyProtection="1">
      <alignment horizontal="center"/>
    </xf>
    <xf numFmtId="3" fontId="67" fillId="39" borderId="12" xfId="0" applyNumberFormat="1" applyFont="1" applyFill="1" applyBorder="1" applyAlignment="1" applyProtection="1">
      <alignment vertical="center"/>
      <protection locked="0"/>
    </xf>
    <xf numFmtId="3" fontId="2" fillId="39" borderId="12" xfId="0" applyNumberFormat="1" applyFont="1" applyFill="1" applyBorder="1" applyAlignment="1" applyProtection="1">
      <alignment vertical="center"/>
      <protection locked="0"/>
    </xf>
    <xf numFmtId="3" fontId="67" fillId="39" borderId="33" xfId="0" applyNumberFormat="1" applyFont="1" applyFill="1" applyBorder="1" applyAlignment="1" applyProtection="1">
      <alignment vertical="center"/>
      <protection locked="0"/>
    </xf>
    <xf numFmtId="3" fontId="67" fillId="32" borderId="33" xfId="0" applyNumberFormat="1" applyFont="1" applyFill="1" applyBorder="1" applyAlignment="1" applyProtection="1">
      <alignment horizontal="right" vertical="center"/>
      <protection locked="0"/>
    </xf>
    <xf numFmtId="0" fontId="67" fillId="37" borderId="99" xfId="0" applyFont="1" applyFill="1" applyBorder="1" applyAlignment="1" applyProtection="1">
      <alignment horizontal="center"/>
    </xf>
    <xf numFmtId="3" fontId="67" fillId="32" borderId="99" xfId="0" applyNumberFormat="1" applyFont="1" applyFill="1" applyBorder="1" applyAlignment="1" applyProtection="1">
      <alignment horizontal="right" vertical="center"/>
      <protection locked="0"/>
    </xf>
    <xf numFmtId="3" fontId="67" fillId="32" borderId="116" xfId="0" applyNumberFormat="1" applyFont="1" applyFill="1" applyBorder="1" applyAlignment="1" applyProtection="1">
      <alignment horizontal="right" vertical="center"/>
      <protection locked="0"/>
    </xf>
    <xf numFmtId="0" fontId="67" fillId="37" borderId="12" xfId="0" applyFont="1" applyFill="1" applyBorder="1" applyProtection="1"/>
    <xf numFmtId="3" fontId="67" fillId="37" borderId="12" xfId="0" applyNumberFormat="1" applyFont="1" applyFill="1" applyBorder="1" applyAlignment="1" applyProtection="1">
      <alignment vertical="center"/>
    </xf>
    <xf numFmtId="0" fontId="0" fillId="0" borderId="240" xfId="0" applyBorder="1"/>
    <xf numFmtId="0" fontId="0" fillId="0" borderId="71" xfId="0" applyNumberFormat="1" applyFill="1" applyBorder="1" applyProtection="1"/>
    <xf numFmtId="3" fontId="0" fillId="0" borderId="71" xfId="0" applyNumberFormat="1" applyFill="1" applyBorder="1" applyProtection="1"/>
    <xf numFmtId="171" fontId="0" fillId="0" borderId="71" xfId="0" applyNumberFormat="1" applyFill="1" applyBorder="1" applyAlignment="1" applyProtection="1">
      <alignment horizontal="center"/>
    </xf>
    <xf numFmtId="0" fontId="0" fillId="0" borderId="63" xfId="0" applyBorder="1" applyAlignment="1" applyProtection="1">
      <alignment horizontal="center" wrapText="1"/>
    </xf>
    <xf numFmtId="3" fontId="1" fillId="0" borderId="71" xfId="51" applyNumberFormat="1" applyFont="1" applyFill="1" applyBorder="1" applyAlignment="1" applyProtection="1">
      <alignment horizontal="right"/>
    </xf>
    <xf numFmtId="3" fontId="0" fillId="0" borderId="71" xfId="0" applyNumberFormat="1" applyBorder="1" applyAlignment="1" applyProtection="1">
      <alignment horizontal="right" wrapText="1"/>
    </xf>
    <xf numFmtId="0" fontId="0" fillId="46" borderId="28" xfId="0" applyNumberFormat="1" applyFill="1" applyBorder="1" applyAlignment="1" applyProtection="1">
      <alignment horizontal="center"/>
      <protection locked="0"/>
    </xf>
    <xf numFmtId="3" fontId="0" fillId="33" borderId="61" xfId="0" applyNumberFormat="1" applyFill="1" applyBorder="1" applyAlignment="1" applyProtection="1">
      <alignment horizontal="right" wrapText="1"/>
      <protection locked="0"/>
    </xf>
    <xf numFmtId="3" fontId="0" fillId="0" borderId="61" xfId="0" applyNumberFormat="1" applyBorder="1" applyAlignment="1" applyProtection="1">
      <alignment horizontal="right" wrapText="1"/>
    </xf>
    <xf numFmtId="3" fontId="0" fillId="0" borderId="64" xfId="0" applyNumberFormat="1" applyBorder="1" applyAlignment="1" applyProtection="1">
      <alignment horizontal="right" wrapText="1"/>
    </xf>
    <xf numFmtId="171" fontId="0" fillId="0" borderId="61" xfId="0" applyNumberFormat="1" applyFill="1" applyBorder="1" applyProtection="1"/>
    <xf numFmtId="171" fontId="0" fillId="0" borderId="64" xfId="0" applyNumberFormat="1" applyFill="1" applyBorder="1" applyProtection="1"/>
    <xf numFmtId="3" fontId="67" fillId="0" borderId="33" xfId="0" applyNumberFormat="1" applyFont="1" applyFill="1" applyBorder="1" applyAlignment="1" applyProtection="1">
      <alignment vertical="center"/>
    </xf>
    <xf numFmtId="3" fontId="67" fillId="37" borderId="33" xfId="0" applyNumberFormat="1" applyFont="1" applyFill="1" applyBorder="1" applyAlignment="1" applyProtection="1">
      <alignment vertical="center"/>
    </xf>
    <xf numFmtId="3" fontId="67" fillId="0" borderId="241" xfId="0" applyNumberFormat="1" applyFont="1" applyFill="1" applyBorder="1" applyAlignment="1" applyProtection="1">
      <alignment vertical="center"/>
    </xf>
    <xf numFmtId="0" fontId="34" fillId="31" borderId="0" xfId="0" applyFont="1" applyFill="1" applyBorder="1" applyAlignment="1" applyProtection="1">
      <alignment horizontal="left" vertical="top" wrapText="1"/>
      <protection locked="0"/>
    </xf>
    <xf numFmtId="0" fontId="0" fillId="0" borderId="0" xfId="0" applyAlignment="1" applyProtection="1">
      <alignment wrapText="1"/>
    </xf>
    <xf numFmtId="2" fontId="67" fillId="31" borderId="12" xfId="112" applyNumberFormat="1" applyFont="1" applyFill="1" applyBorder="1" applyAlignment="1" applyProtection="1">
      <alignment vertical="center"/>
      <protection locked="0"/>
    </xf>
    <xf numFmtId="0" fontId="6" fillId="0" borderId="0" xfId="0" applyFont="1" applyFill="1" applyBorder="1" applyAlignment="1" applyProtection="1">
      <alignment horizontal="center" vertical="center"/>
    </xf>
    <xf numFmtId="178" fontId="107" fillId="0" borderId="0" xfId="51" applyNumberFormat="1" applyFont="1" applyFill="1" applyBorder="1" applyAlignment="1" applyProtection="1">
      <alignment horizontal="center" vertical="center"/>
    </xf>
    <xf numFmtId="179" fontId="6" fillId="0" borderId="0" xfId="51" applyNumberFormat="1" applyFont="1" applyFill="1" applyBorder="1" applyAlignment="1" applyProtection="1">
      <protection locked="0"/>
    </xf>
    <xf numFmtId="15" fontId="1" fillId="48" borderId="12" xfId="117" applyNumberFormat="1" applyFont="1" applyFill="1" applyBorder="1" applyAlignment="1" applyProtection="1">
      <alignment horizontal="center"/>
      <protection locked="0"/>
    </xf>
    <xf numFmtId="166" fontId="17" fillId="40" borderId="0" xfId="81" applyFont="1" applyFill="1" applyBorder="1" applyAlignment="1">
      <alignment horizontal="center" vertical="center"/>
    </xf>
    <xf numFmtId="166" fontId="33" fillId="0" borderId="0" xfId="0" applyNumberFormat="1" applyFont="1" applyAlignment="1">
      <alignment horizontal="center"/>
    </xf>
    <xf numFmtId="0" fontId="0" fillId="0" borderId="0" xfId="0" applyAlignment="1"/>
    <xf numFmtId="0" fontId="130" fillId="0" borderId="0" xfId="0" applyFont="1" applyAlignment="1">
      <alignment horizontal="center"/>
    </xf>
    <xf numFmtId="0" fontId="131" fillId="0" borderId="0" xfId="0" applyFont="1" applyAlignment="1">
      <alignment horizontal="center"/>
    </xf>
    <xf numFmtId="0" fontId="63" fillId="0" borderId="31" xfId="0" applyFont="1" applyBorder="1" applyAlignment="1" applyProtection="1">
      <alignment horizontal="justify" vertical="center" wrapText="1"/>
      <protection locked="0"/>
    </xf>
    <xf numFmtId="0" fontId="89" fillId="0" borderId="48" xfId="0" applyFont="1" applyBorder="1" applyAlignment="1" applyProtection="1">
      <alignment horizontal="justify" vertical="center" wrapText="1"/>
      <protection locked="0"/>
    </xf>
    <xf numFmtId="0" fontId="89" fillId="0" borderId="49" xfId="0" applyFont="1" applyBorder="1" applyAlignment="1" applyProtection="1">
      <alignment horizontal="justify" vertical="center" wrapText="1"/>
      <protection locked="0"/>
    </xf>
    <xf numFmtId="0" fontId="89" fillId="0" borderId="31" xfId="0" applyFont="1" applyFill="1" applyBorder="1" applyAlignment="1" applyProtection="1">
      <alignment vertical="center" wrapText="1"/>
      <protection locked="0"/>
    </xf>
    <xf numFmtId="0" fontId="89" fillId="0" borderId="48" xfId="0" applyFont="1" applyFill="1" applyBorder="1" applyAlignment="1" applyProtection="1">
      <alignment vertical="center" wrapText="1"/>
      <protection locked="0"/>
    </xf>
    <xf numFmtId="0" fontId="89" fillId="0" borderId="49" xfId="0" applyFont="1" applyFill="1" applyBorder="1" applyAlignment="1" applyProtection="1">
      <alignment vertical="center" wrapText="1"/>
      <protection locked="0"/>
    </xf>
    <xf numFmtId="0" fontId="63" fillId="0" borderId="31" xfId="0" applyFont="1" applyBorder="1" applyAlignment="1">
      <alignment horizontal="left" vertical="center" wrapText="1"/>
    </xf>
    <xf numFmtId="0" fontId="63" fillId="0" borderId="48" xfId="0" applyFont="1" applyBorder="1" applyAlignment="1">
      <alignment horizontal="left" vertical="center" wrapText="1"/>
    </xf>
    <xf numFmtId="0" fontId="63" fillId="0" borderId="49" xfId="0" applyFont="1" applyBorder="1" applyAlignment="1">
      <alignment horizontal="left" vertical="center" wrapText="1"/>
    </xf>
    <xf numFmtId="0" fontId="89" fillId="0" borderId="31" xfId="0" applyFont="1" applyBorder="1" applyAlignment="1" applyProtection="1">
      <alignment vertical="center" wrapText="1"/>
      <protection locked="0"/>
    </xf>
    <xf numFmtId="0" fontId="89" fillId="0" borderId="48" xfId="0" applyFont="1" applyBorder="1" applyAlignment="1" applyProtection="1">
      <alignment vertical="center" wrapText="1"/>
      <protection locked="0"/>
    </xf>
    <xf numFmtId="0" fontId="89" fillId="0" borderId="49" xfId="0" applyFont="1" applyBorder="1" applyAlignment="1" applyProtection="1">
      <alignment vertical="center" wrapText="1"/>
      <protection locked="0"/>
    </xf>
    <xf numFmtId="0" fontId="63" fillId="0" borderId="31" xfId="0" applyFont="1" applyBorder="1" applyAlignment="1" applyProtection="1">
      <alignment horizontal="left" vertical="center" wrapText="1"/>
      <protection locked="0"/>
    </xf>
    <xf numFmtId="0" fontId="63" fillId="0" borderId="48" xfId="0" applyFont="1" applyBorder="1" applyAlignment="1" applyProtection="1">
      <alignment horizontal="left" vertical="center" wrapText="1"/>
      <protection locked="0"/>
    </xf>
    <xf numFmtId="0" fontId="63" fillId="0" borderId="49" xfId="0" applyFont="1" applyBorder="1" applyAlignment="1" applyProtection="1">
      <alignment horizontal="left" vertical="center" wrapText="1"/>
      <protection locked="0"/>
    </xf>
    <xf numFmtId="0" fontId="89" fillId="31" borderId="31" xfId="0" applyFont="1" applyFill="1" applyBorder="1" applyAlignment="1">
      <alignment vertical="center" wrapText="1"/>
    </xf>
    <xf numFmtId="0" fontId="89" fillId="31" borderId="48" xfId="0" applyFont="1" applyFill="1" applyBorder="1" applyAlignment="1">
      <alignment vertical="center" wrapText="1"/>
    </xf>
    <xf numFmtId="0" fontId="89" fillId="31" borderId="49" xfId="0" applyFont="1" applyFill="1" applyBorder="1" applyAlignment="1">
      <alignment vertical="center" wrapText="1"/>
    </xf>
    <xf numFmtId="0" fontId="89" fillId="0" borderId="48" xfId="0" applyFont="1" applyBorder="1" applyAlignment="1" applyProtection="1">
      <alignment horizontal="left" vertical="center" wrapText="1"/>
      <protection locked="0"/>
    </xf>
    <xf numFmtId="0" fontId="89" fillId="0" borderId="49" xfId="0" applyFont="1" applyBorder="1" applyAlignment="1" applyProtection="1">
      <alignment horizontal="left" vertical="center" wrapText="1"/>
      <protection locked="0"/>
    </xf>
    <xf numFmtId="166" fontId="88" fillId="0" borderId="31" xfId="0" applyNumberFormat="1" applyFont="1" applyBorder="1" applyAlignment="1">
      <alignment horizontal="justify" vertical="center" wrapText="1"/>
    </xf>
    <xf numFmtId="0" fontId="88" fillId="0" borderId="48" xfId="0" applyFont="1" applyBorder="1" applyAlignment="1">
      <alignment horizontal="justify" vertical="center" wrapText="1"/>
    </xf>
    <xf numFmtId="0" fontId="88" fillId="0" borderId="49" xfId="0" applyFont="1" applyBorder="1" applyAlignment="1">
      <alignment horizontal="justify" vertical="center" wrapText="1"/>
    </xf>
    <xf numFmtId="0" fontId="89" fillId="0" borderId="31" xfId="0" applyFont="1" applyBorder="1" applyAlignment="1">
      <alignment horizontal="justify" vertical="center" wrapText="1"/>
    </xf>
    <xf numFmtId="0" fontId="89" fillId="0" borderId="48" xfId="0" applyFont="1" applyBorder="1" applyAlignment="1">
      <alignment horizontal="justify" vertical="center" wrapText="1"/>
    </xf>
    <xf numFmtId="0" fontId="89" fillId="0" borderId="49" xfId="0" applyFont="1" applyBorder="1" applyAlignment="1">
      <alignment horizontal="justify" vertical="center" wrapText="1"/>
    </xf>
    <xf numFmtId="0" fontId="63" fillId="0" borderId="31" xfId="0" applyFont="1" applyBorder="1" applyAlignment="1">
      <alignment horizontal="justify" vertical="center" wrapText="1"/>
    </xf>
    <xf numFmtId="166" fontId="88" fillId="0" borderId="117" xfId="0" applyNumberFormat="1" applyFont="1" applyBorder="1" applyAlignment="1">
      <alignment horizontal="left" vertical="center" wrapText="1"/>
    </xf>
    <xf numFmtId="0" fontId="88" fillId="0" borderId="118" xfId="0" applyFont="1" applyBorder="1" applyAlignment="1">
      <alignment horizontal="left" vertical="center" wrapText="1"/>
    </xf>
    <xf numFmtId="0" fontId="88" fillId="0" borderId="119" xfId="0" applyFont="1" applyBorder="1" applyAlignment="1">
      <alignment horizontal="left" vertical="center" wrapText="1"/>
    </xf>
    <xf numFmtId="0" fontId="88" fillId="0" borderId="70" xfId="0" applyFont="1" applyBorder="1" applyAlignment="1">
      <alignment horizontal="left" vertical="center" wrapText="1"/>
    </xf>
    <xf numFmtId="0" fontId="88" fillId="0" borderId="111" xfId="0" applyFont="1" applyBorder="1" applyAlignment="1">
      <alignment horizontal="left" vertical="center" wrapText="1"/>
    </xf>
    <xf numFmtId="0" fontId="88" fillId="0" borderId="113" xfId="0" applyFont="1" applyBorder="1" applyAlignment="1">
      <alignment horizontal="left" vertical="center" wrapText="1"/>
    </xf>
    <xf numFmtId="0" fontId="63" fillId="0" borderId="48" xfId="0" applyFont="1" applyBorder="1" applyAlignment="1">
      <alignment horizontal="justify" vertical="center" wrapText="1"/>
    </xf>
    <xf numFmtId="0" fontId="63" fillId="0" borderId="49" xfId="0" applyFont="1" applyBorder="1" applyAlignment="1">
      <alignment horizontal="justify" vertical="center" wrapText="1"/>
    </xf>
    <xf numFmtId="0" fontId="88" fillId="0" borderId="31" xfId="0" applyFont="1" applyBorder="1" applyAlignment="1" applyProtection="1">
      <alignment vertical="center" wrapText="1"/>
      <protection locked="0"/>
    </xf>
    <xf numFmtId="0" fontId="88" fillId="0" borderId="48" xfId="0" applyFont="1" applyBorder="1" applyAlignment="1" applyProtection="1">
      <alignment vertical="center" wrapText="1"/>
      <protection locked="0"/>
    </xf>
    <xf numFmtId="0" fontId="88" fillId="0" borderId="49" xfId="0" applyFont="1" applyBorder="1" applyAlignment="1" applyProtection="1">
      <alignment vertical="center" wrapText="1"/>
      <protection locked="0"/>
    </xf>
    <xf numFmtId="0" fontId="63" fillId="0" borderId="117" xfId="0" applyFont="1" applyBorder="1" applyAlignment="1">
      <alignment horizontal="left" vertical="center" wrapText="1"/>
    </xf>
    <xf numFmtId="0" fontId="63" fillId="0" borderId="118" xfId="0" applyFont="1" applyBorder="1" applyAlignment="1">
      <alignment horizontal="left" vertical="center" wrapText="1"/>
    </xf>
    <xf numFmtId="0" fontId="63" fillId="0" borderId="119" xfId="0" applyFont="1" applyBorder="1" applyAlignment="1">
      <alignment horizontal="left" vertical="center" wrapText="1"/>
    </xf>
    <xf numFmtId="0" fontId="63" fillId="0" borderId="70" xfId="0" applyFont="1" applyBorder="1" applyAlignment="1">
      <alignment horizontal="left" vertical="center" wrapText="1"/>
    </xf>
    <xf numFmtId="0" fontId="63" fillId="0" borderId="111" xfId="0" applyFont="1" applyBorder="1" applyAlignment="1">
      <alignment horizontal="left" vertical="center" wrapText="1"/>
    </xf>
    <xf numFmtId="0" fontId="63" fillId="0" borderId="113" xfId="0" applyFont="1" applyBorder="1" applyAlignment="1">
      <alignment horizontal="left" vertical="center" wrapText="1"/>
    </xf>
    <xf numFmtId="0" fontId="63" fillId="0" borderId="117" xfId="0" applyFont="1" applyBorder="1" applyAlignment="1">
      <alignment horizontal="justify" wrapText="1"/>
    </xf>
    <xf numFmtId="0" fontId="63" fillId="0" borderId="118" xfId="0" applyFont="1" applyBorder="1" applyAlignment="1">
      <alignment horizontal="justify" wrapText="1"/>
    </xf>
    <xf numFmtId="0" fontId="63" fillId="0" borderId="119" xfId="0" applyFont="1" applyBorder="1" applyAlignment="1">
      <alignment horizontal="justify" wrapText="1"/>
    </xf>
    <xf numFmtId="0" fontId="89" fillId="0" borderId="70" xfId="0" applyFont="1" applyBorder="1" applyAlignment="1">
      <alignment horizontal="justify" vertical="center" wrapText="1"/>
    </xf>
    <xf numFmtId="0" fontId="89" fillId="0" borderId="111" xfId="0" applyFont="1" applyBorder="1" applyAlignment="1">
      <alignment horizontal="justify" vertical="center" wrapText="1"/>
    </xf>
    <xf numFmtId="0" fontId="89" fillId="0" borderId="113" xfId="0" applyFont="1" applyBorder="1" applyAlignment="1">
      <alignment horizontal="justify" vertical="center" wrapText="1"/>
    </xf>
    <xf numFmtId="0" fontId="123" fillId="0" borderId="70" xfId="0" applyFont="1" applyBorder="1" applyAlignment="1">
      <alignment horizontal="justify" vertical="center" wrapText="1"/>
    </xf>
    <xf numFmtId="0" fontId="123" fillId="0" borderId="111" xfId="0" applyFont="1" applyBorder="1" applyAlignment="1">
      <alignment horizontal="justify" vertical="center" wrapText="1"/>
    </xf>
    <xf numFmtId="0" fontId="123" fillId="0" borderId="113" xfId="0" applyFont="1" applyBorder="1" applyAlignment="1">
      <alignment horizontal="justify" vertical="center" wrapText="1"/>
    </xf>
    <xf numFmtId="0" fontId="123" fillId="0" borderId="31" xfId="0" applyFont="1" applyBorder="1" applyAlignment="1">
      <alignment horizontal="justify" vertical="center" wrapText="1"/>
    </xf>
    <xf numFmtId="0" fontId="123" fillId="0" borderId="48" xfId="0" applyFont="1" applyBorder="1" applyAlignment="1">
      <alignment horizontal="justify" vertical="center" wrapText="1"/>
    </xf>
    <xf numFmtId="0" fontId="123" fillId="0" borderId="49" xfId="0" applyFont="1" applyBorder="1" applyAlignment="1">
      <alignment horizontal="justify" vertical="center" wrapText="1"/>
    </xf>
    <xf numFmtId="0" fontId="123" fillId="0" borderId="31" xfId="0" applyFont="1" applyBorder="1" applyAlignment="1">
      <alignment horizontal="left" vertical="center" wrapText="1"/>
    </xf>
    <xf numFmtId="0" fontId="120" fillId="0" borderId="48" xfId="0" applyFont="1" applyBorder="1" applyAlignment="1">
      <alignment horizontal="left" vertical="center" wrapText="1"/>
    </xf>
    <xf numFmtId="0" fontId="120" fillId="0" borderId="49" xfId="0" applyFont="1" applyBorder="1" applyAlignment="1">
      <alignment horizontal="left" vertical="center" wrapText="1"/>
    </xf>
    <xf numFmtId="0" fontId="98" fillId="0" borderId="31" xfId="0" applyFont="1" applyFill="1" applyBorder="1" applyAlignment="1" applyProtection="1">
      <alignment vertical="center" wrapText="1"/>
      <protection locked="0"/>
    </xf>
    <xf numFmtId="0" fontId="98" fillId="0" borderId="48" xfId="0" applyFont="1" applyFill="1" applyBorder="1" applyAlignment="1" applyProtection="1">
      <alignment vertical="center" wrapText="1"/>
      <protection locked="0"/>
    </xf>
    <xf numFmtId="0" fontId="98" fillId="0" borderId="49" xfId="0" applyFont="1" applyFill="1" applyBorder="1" applyAlignment="1" applyProtection="1">
      <alignment vertical="center" wrapText="1"/>
      <protection locked="0"/>
    </xf>
    <xf numFmtId="0" fontId="0" fillId="0" borderId="118" xfId="0" applyBorder="1" applyAlignment="1">
      <alignment horizontal="center"/>
    </xf>
    <xf numFmtId="0" fontId="0" fillId="0" borderId="31"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86" fillId="0" borderId="0" xfId="0" applyFont="1" applyAlignment="1">
      <alignment horizontal="center"/>
    </xf>
    <xf numFmtId="0" fontId="94" fillId="31" borderId="31" xfId="0" applyFont="1" applyFill="1" applyBorder="1" applyAlignment="1">
      <alignment horizontal="center" vertical="center" wrapText="1"/>
    </xf>
    <xf numFmtId="0" fontId="94" fillId="31" borderId="48" xfId="0" applyFont="1" applyFill="1" applyBorder="1" applyAlignment="1">
      <alignment horizontal="center" vertical="center"/>
    </xf>
    <xf numFmtId="0" fontId="94" fillId="31" borderId="49" xfId="0" applyFont="1" applyFill="1" applyBorder="1" applyAlignment="1">
      <alignment horizontal="center" vertical="center"/>
    </xf>
    <xf numFmtId="0" fontId="93" fillId="31" borderId="31" xfId="0" applyFont="1" applyFill="1" applyBorder="1" applyAlignment="1">
      <alignment horizontal="center" vertical="center"/>
    </xf>
    <xf numFmtId="0" fontId="93" fillId="31" borderId="48" xfId="0" applyFont="1" applyFill="1" applyBorder="1" applyAlignment="1">
      <alignment horizontal="center" vertical="center"/>
    </xf>
    <xf numFmtId="0" fontId="93" fillId="31" borderId="49" xfId="0" applyFont="1" applyFill="1" applyBorder="1" applyAlignment="1">
      <alignment horizontal="center" vertical="center"/>
    </xf>
    <xf numFmtId="0" fontId="24" fillId="0" borderId="31" xfId="0" applyFont="1" applyBorder="1" applyAlignment="1">
      <alignment horizontal="center" vertical="center" wrapText="1"/>
    </xf>
    <xf numFmtId="0" fontId="24" fillId="0" borderId="48" xfId="0" applyFont="1" applyBorder="1" applyAlignment="1">
      <alignment horizontal="center" vertical="center" wrapText="1"/>
    </xf>
    <xf numFmtId="0" fontId="24" fillId="0" borderId="49" xfId="0" applyFont="1" applyBorder="1" applyAlignment="1">
      <alignment horizontal="center" vertical="center" wrapText="1"/>
    </xf>
    <xf numFmtId="0" fontId="93" fillId="31" borderId="31" xfId="0" applyFont="1" applyFill="1" applyBorder="1" applyAlignment="1">
      <alignment horizontal="center" wrapText="1"/>
    </xf>
    <xf numFmtId="0" fontId="93" fillId="31" borderId="48" xfId="0" applyFont="1" applyFill="1" applyBorder="1" applyAlignment="1">
      <alignment horizontal="center" wrapText="1"/>
    </xf>
    <xf numFmtId="0" fontId="93" fillId="31" borderId="49" xfId="0" applyFont="1" applyFill="1" applyBorder="1" applyAlignment="1">
      <alignment horizontal="center" wrapText="1"/>
    </xf>
    <xf numFmtId="0" fontId="93" fillId="31" borderId="31" xfId="0" applyFont="1" applyFill="1" applyBorder="1" applyAlignment="1">
      <alignment horizontal="center"/>
    </xf>
    <xf numFmtId="0" fontId="93" fillId="31" borderId="48" xfId="0" applyFont="1" applyFill="1" applyBorder="1" applyAlignment="1">
      <alignment horizontal="center"/>
    </xf>
    <xf numFmtId="0" fontId="93" fillId="31" borderId="49" xfId="0" applyFont="1" applyFill="1" applyBorder="1" applyAlignment="1">
      <alignment horizontal="center"/>
    </xf>
    <xf numFmtId="0" fontId="63" fillId="0" borderId="31" xfId="0" applyNumberFormat="1" applyFont="1" applyBorder="1" applyAlignment="1" applyProtection="1">
      <alignment horizontal="left" vertical="center" wrapText="1"/>
      <protection locked="0"/>
    </xf>
    <xf numFmtId="0" fontId="63" fillId="0" borderId="48" xfId="0" applyNumberFormat="1" applyFont="1" applyBorder="1" applyAlignment="1" applyProtection="1">
      <alignment horizontal="left" vertical="center" wrapText="1"/>
      <protection locked="0"/>
    </xf>
    <xf numFmtId="0" fontId="63" fillId="0" borderId="49" xfId="0" applyNumberFormat="1" applyFont="1" applyBorder="1" applyAlignment="1" applyProtection="1">
      <alignment horizontal="left" vertical="center" wrapText="1"/>
      <protection locked="0"/>
    </xf>
    <xf numFmtId="0" fontId="87" fillId="33" borderId="31" xfId="0" applyFont="1" applyFill="1" applyBorder="1" applyAlignment="1">
      <alignment horizontal="center"/>
    </xf>
    <xf numFmtId="0" fontId="87" fillId="33" borderId="48" xfId="0" applyFont="1" applyFill="1" applyBorder="1" applyAlignment="1">
      <alignment horizontal="center"/>
    </xf>
    <xf numFmtId="0" fontId="87" fillId="33" borderId="49" xfId="0" applyFont="1" applyFill="1" applyBorder="1" applyAlignment="1">
      <alignment horizontal="center"/>
    </xf>
    <xf numFmtId="0" fontId="0" fillId="0" borderId="0" xfId="0" applyBorder="1" applyAlignment="1">
      <alignment horizontal="center"/>
    </xf>
    <xf numFmtId="0" fontId="0" fillId="0" borderId="0" xfId="0" applyBorder="1" applyAlignment="1">
      <alignment horizontal="center" wrapText="1"/>
    </xf>
    <xf numFmtId="0" fontId="0" fillId="0" borderId="118" xfId="0" applyBorder="1" applyAlignment="1">
      <alignment horizontal="center" wrapText="1"/>
    </xf>
    <xf numFmtId="166" fontId="17" fillId="41" borderId="0" xfId="92" applyFont="1" applyFill="1" applyAlignment="1" applyProtection="1">
      <alignment horizontal="center" vertical="center"/>
    </xf>
    <xf numFmtId="0" fontId="87" fillId="34" borderId="31" xfId="0" applyFont="1" applyFill="1" applyBorder="1" applyAlignment="1">
      <alignment horizontal="center"/>
    </xf>
    <xf numFmtId="0" fontId="87" fillId="34" borderId="48" xfId="0" applyFont="1" applyFill="1" applyBorder="1" applyAlignment="1">
      <alignment horizontal="center"/>
    </xf>
    <xf numFmtId="0" fontId="87" fillId="34" borderId="49" xfId="0" applyFont="1" applyFill="1" applyBorder="1" applyAlignment="1">
      <alignment horizontal="center"/>
    </xf>
    <xf numFmtId="9" fontId="89" fillId="0" borderId="31" xfId="112" applyFont="1" applyBorder="1" applyAlignment="1">
      <alignment horizontal="justify" vertical="center" wrapText="1"/>
    </xf>
    <xf numFmtId="9" fontId="89" fillId="0" borderId="48" xfId="112" applyFont="1" applyBorder="1" applyAlignment="1">
      <alignment horizontal="justify" vertical="center" wrapText="1"/>
    </xf>
    <xf numFmtId="9" fontId="89" fillId="0" borderId="49" xfId="112" applyFont="1" applyBorder="1" applyAlignment="1">
      <alignment horizontal="justify" vertical="center" wrapText="1"/>
    </xf>
    <xf numFmtId="166" fontId="88" fillId="0" borderId="31" xfId="0" applyNumberFormat="1" applyFont="1" applyBorder="1" applyAlignment="1">
      <alignment horizontal="left" vertical="center" wrapText="1"/>
    </xf>
    <xf numFmtId="0" fontId="88" fillId="0" borderId="48" xfId="0" applyFont="1" applyBorder="1" applyAlignment="1">
      <alignment horizontal="left" vertical="center" wrapText="1"/>
    </xf>
    <xf numFmtId="0" fontId="88" fillId="0" borderId="49" xfId="0" applyFont="1" applyBorder="1" applyAlignment="1">
      <alignment horizontal="left" vertical="center" wrapText="1"/>
    </xf>
    <xf numFmtId="0" fontId="88" fillId="0" borderId="48" xfId="0" applyFont="1" applyBorder="1" applyAlignment="1">
      <alignment horizontal="left" vertical="center"/>
    </xf>
    <xf numFmtId="0" fontId="88" fillId="0" borderId="49" xfId="0" applyFont="1" applyBorder="1" applyAlignment="1">
      <alignment horizontal="left" vertical="center"/>
    </xf>
    <xf numFmtId="0" fontId="88" fillId="0" borderId="48" xfId="0" applyFont="1" applyBorder="1" applyAlignment="1">
      <alignment horizontal="justify" vertical="center"/>
    </xf>
    <xf numFmtId="0" fontId="88" fillId="0" borderId="49" xfId="0" applyFont="1" applyBorder="1" applyAlignment="1">
      <alignment horizontal="justify" vertical="center"/>
    </xf>
    <xf numFmtId="0" fontId="115" fillId="0" borderId="0" xfId="0" applyFont="1" applyAlignment="1" applyProtection="1">
      <alignment horizontal="right"/>
    </xf>
    <xf numFmtId="0" fontId="0" fillId="31" borderId="31" xfId="0" applyFill="1" applyBorder="1" applyAlignment="1" applyProtection="1">
      <alignment horizontal="center"/>
    </xf>
    <xf numFmtId="0" fontId="0" fillId="31" borderId="49" xfId="0" applyFill="1" applyBorder="1" applyAlignment="1" applyProtection="1">
      <alignment horizontal="center"/>
    </xf>
    <xf numFmtId="0" fontId="0" fillId="28" borderId="120" xfId="0" applyFill="1" applyBorder="1" applyAlignment="1" applyProtection="1">
      <alignment horizontal="center" vertical="center" textRotation="90"/>
    </xf>
    <xf numFmtId="166" fontId="14" fillId="0" borderId="121" xfId="0" applyNumberFormat="1" applyFont="1" applyBorder="1" applyAlignment="1" applyProtection="1">
      <alignment horizontal="center"/>
    </xf>
    <xf numFmtId="0" fontId="14" fillId="0" borderId="122" xfId="0" applyFont="1" applyBorder="1" applyAlignment="1" applyProtection="1">
      <alignment horizontal="center"/>
    </xf>
    <xf numFmtId="0" fontId="14" fillId="0" borderId="123" xfId="0" applyFont="1" applyBorder="1" applyAlignment="1" applyProtection="1">
      <alignment horizontal="center"/>
    </xf>
    <xf numFmtId="49" fontId="2" fillId="31" borderId="124" xfId="0" applyNumberFormat="1" applyFont="1" applyFill="1" applyBorder="1" applyAlignment="1" applyProtection="1">
      <alignment horizontal="left" vertical="center" wrapText="1"/>
      <protection locked="0"/>
    </xf>
    <xf numFmtId="49" fontId="67" fillId="31" borderId="114" xfId="0" applyNumberFormat="1" applyFont="1" applyFill="1" applyBorder="1" applyAlignment="1" applyProtection="1">
      <alignment horizontal="left" vertical="center" wrapText="1"/>
      <protection locked="0"/>
    </xf>
    <xf numFmtId="49" fontId="67" fillId="31" borderId="70" xfId="0" applyNumberFormat="1" applyFont="1" applyFill="1" applyBorder="1" applyAlignment="1" applyProtection="1">
      <alignment horizontal="left" vertical="center" wrapText="1"/>
      <protection locked="0"/>
    </xf>
    <xf numFmtId="49" fontId="67" fillId="31" borderId="125" xfId="0" applyNumberFormat="1" applyFont="1" applyFill="1" applyBorder="1" applyAlignment="1" applyProtection="1">
      <alignment horizontal="left" vertical="center" wrapText="1"/>
      <protection locked="0"/>
    </xf>
    <xf numFmtId="49" fontId="67" fillId="31" borderId="12" xfId="0" applyNumberFormat="1" applyFont="1" applyFill="1" applyBorder="1" applyAlignment="1" applyProtection="1">
      <alignment horizontal="left" vertical="center" wrapText="1"/>
      <protection locked="0"/>
    </xf>
    <xf numFmtId="49" fontId="67" fillId="31" borderId="31" xfId="0" applyNumberFormat="1" applyFont="1" applyFill="1" applyBorder="1" applyAlignment="1" applyProtection="1">
      <alignment horizontal="left" vertical="center" wrapText="1"/>
      <protection locked="0"/>
    </xf>
    <xf numFmtId="0" fontId="26" fillId="0" borderId="126" xfId="0" applyFont="1" applyBorder="1" applyAlignment="1" applyProtection="1">
      <alignment horizontal="center" wrapText="1"/>
    </xf>
    <xf numFmtId="0" fontId="26" fillId="0" borderId="127" xfId="0" applyFont="1" applyBorder="1" applyAlignment="1" applyProtection="1">
      <alignment horizontal="center" wrapText="1"/>
    </xf>
    <xf numFmtId="0" fontId="26" fillId="0" borderId="128" xfId="0" applyFont="1" applyBorder="1" applyAlignment="1" applyProtection="1">
      <alignment horizontal="center" wrapText="1"/>
    </xf>
    <xf numFmtId="49" fontId="67" fillId="31" borderId="129" xfId="0" applyNumberFormat="1" applyFont="1" applyFill="1" applyBorder="1" applyAlignment="1" applyProtection="1">
      <alignment horizontal="center" vertical="center" wrapText="1"/>
      <protection locked="0"/>
    </xf>
    <xf numFmtId="49" fontId="67" fillId="31" borderId="124" xfId="0" applyNumberFormat="1" applyFont="1" applyFill="1" applyBorder="1" applyAlignment="1" applyProtection="1">
      <alignment horizontal="center" vertical="center" wrapText="1"/>
      <protection locked="0"/>
    </xf>
    <xf numFmtId="49" fontId="2" fillId="32" borderId="125" xfId="0" applyNumberFormat="1" applyFont="1" applyFill="1" applyBorder="1" applyAlignment="1" applyProtection="1">
      <alignment horizontal="left" vertical="center" wrapText="1"/>
      <protection locked="0"/>
    </xf>
    <xf numFmtId="49" fontId="67" fillId="32" borderId="12" xfId="0" applyNumberFormat="1" applyFont="1" applyFill="1" applyBorder="1" applyAlignment="1" applyProtection="1">
      <alignment horizontal="left" vertical="center" wrapText="1"/>
      <protection locked="0"/>
    </xf>
    <xf numFmtId="49" fontId="67" fillId="32" borderId="31" xfId="0" applyNumberFormat="1" applyFont="1" applyFill="1" applyBorder="1" applyAlignment="1" applyProtection="1">
      <alignment horizontal="left" vertical="center" wrapText="1"/>
      <protection locked="0"/>
    </xf>
    <xf numFmtId="49" fontId="67" fillId="32" borderId="125" xfId="0" applyNumberFormat="1" applyFont="1" applyFill="1" applyBorder="1" applyAlignment="1" applyProtection="1">
      <alignment horizontal="left" vertical="center" wrapText="1"/>
      <protection locked="0"/>
    </xf>
    <xf numFmtId="49" fontId="2" fillId="31" borderId="125" xfId="0" applyNumberFormat="1" applyFont="1" applyFill="1" applyBorder="1" applyAlignment="1" applyProtection="1">
      <alignment horizontal="left" vertical="center" wrapText="1"/>
      <protection locked="0"/>
    </xf>
    <xf numFmtId="49" fontId="14" fillId="0" borderId="27" xfId="0" applyNumberFormat="1" applyFont="1" applyBorder="1" applyAlignment="1" applyProtection="1">
      <alignment horizontal="center"/>
    </xf>
    <xf numFmtId="49" fontId="14" fillId="0" borderId="51" xfId="0" applyNumberFormat="1" applyFont="1" applyBorder="1" applyAlignment="1" applyProtection="1">
      <alignment horizontal="center"/>
    </xf>
    <xf numFmtId="0" fontId="67" fillId="31" borderId="130" xfId="0" applyNumberFormat="1" applyFont="1" applyFill="1" applyBorder="1" applyAlignment="1" applyProtection="1">
      <alignment horizontal="center" vertical="center" wrapText="1"/>
      <protection locked="0"/>
    </xf>
    <xf numFmtId="0" fontId="77" fillId="0" borderId="131" xfId="0" applyFont="1" applyFill="1" applyBorder="1" applyAlignment="1" applyProtection="1">
      <alignment horizontal="center" vertical="center"/>
    </xf>
    <xf numFmtId="0" fontId="77" fillId="0" borderId="132" xfId="0" applyFont="1" applyFill="1" applyBorder="1" applyAlignment="1" applyProtection="1">
      <alignment horizontal="center" vertical="center"/>
    </xf>
    <xf numFmtId="0" fontId="77" fillId="0" borderId="133" xfId="0" applyFont="1" applyFill="1" applyBorder="1" applyAlignment="1" applyProtection="1">
      <alignment horizontal="center" vertical="center"/>
    </xf>
    <xf numFmtId="166" fontId="61" fillId="41" borderId="0" xfId="81" applyFont="1" applyFill="1" applyAlignment="1" applyProtection="1">
      <alignment horizontal="center" vertical="center"/>
    </xf>
    <xf numFmtId="49" fontId="0" fillId="0" borderId="31" xfId="0" applyNumberFormat="1" applyBorder="1" applyAlignment="1" applyProtection="1">
      <alignment horizontal="center"/>
      <protection locked="0"/>
    </xf>
    <xf numFmtId="49" fontId="0" fillId="0" borderId="49" xfId="0" applyNumberFormat="1" applyBorder="1" applyAlignment="1" applyProtection="1">
      <alignment horizontal="center"/>
      <protection locked="0"/>
    </xf>
    <xf numFmtId="49" fontId="0" fillId="0" borderId="31" xfId="0" applyNumberFormat="1" applyFill="1" applyBorder="1" applyAlignment="1" applyProtection="1">
      <alignment horizontal="center"/>
      <protection locked="0"/>
    </xf>
    <xf numFmtId="49" fontId="0" fillId="0" borderId="48" xfId="0" applyNumberFormat="1" applyFill="1" applyBorder="1" applyAlignment="1" applyProtection="1">
      <alignment horizontal="center"/>
      <protection locked="0"/>
    </xf>
    <xf numFmtId="49" fontId="0" fillId="0" borderId="49" xfId="0" applyNumberFormat="1" applyFill="1" applyBorder="1" applyAlignment="1" applyProtection="1">
      <alignment horizontal="center"/>
      <protection locked="0"/>
    </xf>
    <xf numFmtId="0" fontId="115" fillId="0" borderId="54" xfId="0" applyFont="1" applyBorder="1" applyAlignment="1" applyProtection="1">
      <alignment horizontal="right"/>
    </xf>
    <xf numFmtId="0" fontId="115" fillId="0" borderId="134" xfId="0" applyFont="1" applyBorder="1" applyAlignment="1" applyProtection="1">
      <alignment horizontal="right"/>
    </xf>
    <xf numFmtId="3" fontId="0" fillId="0" borderId="31" xfId="0" applyNumberFormat="1" applyBorder="1" applyAlignment="1" applyProtection="1">
      <alignment horizontal="center"/>
      <protection locked="0"/>
    </xf>
    <xf numFmtId="3" fontId="0" fillId="0" borderId="49" xfId="0" applyNumberFormat="1" applyBorder="1" applyAlignment="1" applyProtection="1">
      <alignment horizontal="center"/>
      <protection locked="0"/>
    </xf>
    <xf numFmtId="49" fontId="1" fillId="0" borderId="12" xfId="0" applyNumberFormat="1" applyFont="1" applyBorder="1" applyAlignment="1" applyProtection="1">
      <alignment horizontal="center"/>
      <protection locked="0"/>
    </xf>
    <xf numFmtId="49" fontId="0" fillId="0" borderId="48" xfId="0" applyNumberFormat="1" applyBorder="1" applyAlignment="1" applyProtection="1">
      <alignment horizontal="center"/>
      <protection locked="0"/>
    </xf>
    <xf numFmtId="0" fontId="115" fillId="0" borderId="0" xfId="0" applyFont="1" applyBorder="1" applyAlignment="1" applyProtection="1">
      <alignment horizontal="right"/>
    </xf>
    <xf numFmtId="15" fontId="128" fillId="0" borderId="12" xfId="117" applyNumberFormat="1" applyFont="1" applyFill="1" applyBorder="1" applyAlignment="1" applyProtection="1">
      <alignment horizontal="center"/>
      <protection locked="0"/>
    </xf>
    <xf numFmtId="15" fontId="156" fillId="0" borderId="12" xfId="117" applyNumberFormat="1" applyFill="1" applyBorder="1" applyAlignment="1" applyProtection="1">
      <alignment horizontal="center"/>
      <protection locked="0"/>
    </xf>
    <xf numFmtId="0" fontId="67" fillId="37" borderId="135" xfId="0" applyFont="1" applyFill="1" applyBorder="1" applyAlignment="1" applyProtection="1">
      <alignment horizontal="left" vertical="center" wrapText="1"/>
    </xf>
    <xf numFmtId="0" fontId="67" fillId="37" borderId="48" xfId="0" applyFont="1" applyFill="1" applyBorder="1" applyAlignment="1" applyProtection="1">
      <alignment horizontal="left" vertical="center" wrapText="1"/>
    </xf>
    <xf numFmtId="0" fontId="67" fillId="37" borderId="136" xfId="0" applyFont="1" applyFill="1" applyBorder="1" applyAlignment="1" applyProtection="1">
      <alignment horizontal="left" vertical="center" wrapText="1"/>
    </xf>
    <xf numFmtId="49" fontId="2" fillId="42" borderId="125" xfId="0" applyNumberFormat="1" applyFont="1" applyFill="1" applyBorder="1" applyAlignment="1" applyProtection="1">
      <alignment horizontal="left" vertical="center" wrapText="1"/>
      <protection locked="0"/>
    </xf>
    <xf numFmtId="49" fontId="67" fillId="42" borderId="12" xfId="0" applyNumberFormat="1" applyFont="1" applyFill="1" applyBorder="1" applyAlignment="1" applyProtection="1">
      <alignment horizontal="left" vertical="center" wrapText="1"/>
      <protection locked="0"/>
    </xf>
    <xf numFmtId="49" fontId="67" fillId="42" borderId="31" xfId="0" applyNumberFormat="1" applyFont="1" applyFill="1" applyBorder="1" applyAlignment="1" applyProtection="1">
      <alignment horizontal="left" vertical="center" wrapText="1"/>
      <protection locked="0"/>
    </xf>
    <xf numFmtId="49" fontId="67" fillId="42" borderId="125" xfId="0" applyNumberFormat="1" applyFont="1" applyFill="1" applyBorder="1" applyAlignment="1" applyProtection="1">
      <alignment horizontal="left" vertical="center" wrapText="1"/>
      <protection locked="0"/>
    </xf>
    <xf numFmtId="166" fontId="15" fillId="43" borderId="12" xfId="117" applyFont="1" applyFill="1" applyBorder="1" applyAlignment="1" applyProtection="1">
      <alignment horizontal="center"/>
      <protection locked="0"/>
    </xf>
    <xf numFmtId="49" fontId="0" fillId="0" borderId="12" xfId="0" applyNumberFormat="1" applyBorder="1" applyAlignment="1" applyProtection="1">
      <alignment horizontal="center"/>
      <protection locked="0"/>
    </xf>
    <xf numFmtId="49" fontId="67" fillId="32" borderId="49" xfId="0" applyNumberFormat="1" applyFont="1" applyFill="1" applyBorder="1" applyAlignment="1" applyProtection="1">
      <alignment horizontal="center" vertical="center" wrapText="1"/>
      <protection locked="0"/>
    </xf>
    <xf numFmtId="0" fontId="0" fillId="0" borderId="137" xfId="0" applyBorder="1" applyAlignment="1" applyProtection="1">
      <alignment horizontal="center"/>
    </xf>
    <xf numFmtId="0" fontId="0" fillId="0" borderId="23" xfId="0" applyBorder="1" applyAlignment="1" applyProtection="1">
      <alignment horizontal="center"/>
    </xf>
    <xf numFmtId="0" fontId="84" fillId="0" borderId="138" xfId="0" applyFont="1" applyBorder="1" applyAlignment="1" applyProtection="1">
      <alignment horizontal="right"/>
    </xf>
    <xf numFmtId="0" fontId="124" fillId="0" borderId="138" xfId="0" applyFont="1" applyBorder="1" applyAlignment="1"/>
    <xf numFmtId="0" fontId="0" fillId="0" borderId="139" xfId="0" applyFill="1" applyBorder="1" applyAlignment="1" applyProtection="1">
      <alignment horizontal="center" vertical="center"/>
      <protection locked="0"/>
    </xf>
    <xf numFmtId="0" fontId="0" fillId="0" borderId="140" xfId="0" applyFill="1" applyBorder="1" applyAlignment="1" applyProtection="1">
      <alignment horizontal="center" vertical="center"/>
      <protection locked="0"/>
    </xf>
    <xf numFmtId="0" fontId="0" fillId="0" borderId="141" xfId="0" applyFill="1" applyBorder="1" applyAlignment="1" applyProtection="1">
      <alignment horizontal="center" vertical="center"/>
      <protection locked="0"/>
    </xf>
    <xf numFmtId="49" fontId="67" fillId="32" borderId="129" xfId="0" applyNumberFormat="1" applyFont="1" applyFill="1" applyBorder="1" applyAlignment="1" applyProtection="1">
      <alignment horizontal="center" vertical="center" wrapText="1"/>
      <protection locked="0"/>
    </xf>
    <xf numFmtId="49" fontId="67" fillId="32" borderId="124" xfId="0" applyNumberFormat="1" applyFont="1" applyFill="1" applyBorder="1" applyAlignment="1" applyProtection="1">
      <alignment horizontal="center" vertical="center" wrapText="1"/>
      <protection locked="0"/>
    </xf>
    <xf numFmtId="49" fontId="67" fillId="31" borderId="49" xfId="0" applyNumberFormat="1" applyFont="1" applyFill="1" applyBorder="1" applyAlignment="1" applyProtection="1">
      <alignment horizontal="center" vertical="center" wrapText="1"/>
      <protection locked="0"/>
    </xf>
    <xf numFmtId="0" fontId="67" fillId="32" borderId="130" xfId="0" applyNumberFormat="1" applyFont="1" applyFill="1" applyBorder="1" applyAlignment="1" applyProtection="1">
      <alignment horizontal="center" vertical="center" wrapText="1"/>
      <protection locked="0"/>
    </xf>
    <xf numFmtId="49" fontId="14" fillId="0" borderId="25" xfId="0" applyNumberFormat="1" applyFont="1" applyBorder="1" applyAlignment="1" applyProtection="1">
      <alignment horizontal="center"/>
    </xf>
    <xf numFmtId="49" fontId="14" fillId="0" borderId="12" xfId="0" applyNumberFormat="1" applyFont="1" applyBorder="1" applyAlignment="1" applyProtection="1">
      <alignment horizontal="center"/>
    </xf>
    <xf numFmtId="0" fontId="67" fillId="0" borderId="110" xfId="0" applyFont="1" applyFill="1" applyBorder="1" applyAlignment="1" applyProtection="1">
      <alignment horizontal="left" vertical="center" wrapText="1"/>
    </xf>
    <xf numFmtId="0" fontId="67" fillId="0" borderId="111" xfId="0" applyFont="1" applyFill="1" applyBorder="1" applyAlignment="1" applyProtection="1">
      <alignment horizontal="left" vertical="center" wrapText="1"/>
    </xf>
    <xf numFmtId="0" fontId="67" fillId="0" borderId="115" xfId="0" applyFont="1" applyFill="1" applyBorder="1" applyAlignment="1" applyProtection="1">
      <alignment horizontal="left" vertical="center" wrapText="1"/>
    </xf>
    <xf numFmtId="0" fontId="67" fillId="0" borderId="142" xfId="0" applyFont="1" applyFill="1" applyBorder="1" applyAlignment="1" applyProtection="1">
      <alignment horizontal="left" vertical="center" wrapText="1"/>
    </xf>
    <xf numFmtId="0" fontId="67" fillId="0" borderId="143" xfId="0" applyFont="1" applyFill="1" applyBorder="1" applyAlignment="1" applyProtection="1">
      <alignment horizontal="left" vertical="center" wrapText="1"/>
    </xf>
    <xf numFmtId="0" fontId="67" fillId="0" borderId="144" xfId="0" applyFont="1" applyFill="1" applyBorder="1" applyAlignment="1" applyProtection="1">
      <alignment horizontal="left" vertical="center" wrapText="1"/>
    </xf>
    <xf numFmtId="49" fontId="67" fillId="32" borderId="145" xfId="0" applyNumberFormat="1" applyFont="1" applyFill="1" applyBorder="1" applyAlignment="1" applyProtection="1">
      <alignment horizontal="left" vertical="center" wrapText="1"/>
      <protection locked="0"/>
    </xf>
    <xf numFmtId="49" fontId="67" fillId="32" borderId="99" xfId="0" applyNumberFormat="1" applyFont="1" applyFill="1" applyBorder="1" applyAlignment="1" applyProtection="1">
      <alignment horizontal="left" vertical="center" wrapText="1"/>
      <protection locked="0"/>
    </xf>
    <xf numFmtId="49" fontId="67" fillId="32" borderId="32" xfId="0" applyNumberFormat="1" applyFont="1" applyFill="1" applyBorder="1" applyAlignment="1" applyProtection="1">
      <alignment horizontal="left" vertical="center" wrapText="1"/>
      <protection locked="0"/>
    </xf>
    <xf numFmtId="0" fontId="67" fillId="37" borderId="130" xfId="0" applyFont="1" applyFill="1" applyBorder="1" applyAlignment="1" applyProtection="1">
      <alignment horizontal="center" vertical="center" wrapText="1"/>
    </xf>
    <xf numFmtId="0" fontId="67" fillId="37" borderId="49" xfId="0" applyFont="1" applyFill="1" applyBorder="1" applyAlignment="1" applyProtection="1">
      <alignment horizontal="center" vertical="center" wrapText="1"/>
    </xf>
    <xf numFmtId="0" fontId="67" fillId="0" borderId="130" xfId="0" applyFont="1" applyFill="1" applyBorder="1" applyAlignment="1" applyProtection="1">
      <alignment horizontal="center" vertical="center" wrapText="1"/>
    </xf>
    <xf numFmtId="0" fontId="67" fillId="0" borderId="146" xfId="0" applyFont="1" applyFill="1" applyBorder="1" applyAlignment="1" applyProtection="1">
      <alignment horizontal="center" vertical="center" wrapText="1"/>
    </xf>
    <xf numFmtId="0" fontId="67" fillId="0" borderId="49" xfId="0" applyFont="1" applyFill="1" applyBorder="1" applyAlignment="1" applyProtection="1">
      <alignment horizontal="center" vertical="center" wrapText="1"/>
    </xf>
    <xf numFmtId="0" fontId="67" fillId="0" borderId="153" xfId="0" applyFont="1" applyFill="1" applyBorder="1" applyAlignment="1" applyProtection="1">
      <alignment horizontal="center" vertical="center" wrapText="1"/>
    </xf>
    <xf numFmtId="0" fontId="67" fillId="31" borderId="49" xfId="0" applyNumberFormat="1" applyFont="1" applyFill="1" applyBorder="1" applyAlignment="1" applyProtection="1">
      <alignment horizontal="center" vertical="center" wrapText="1"/>
      <protection locked="0"/>
    </xf>
    <xf numFmtId="0" fontId="67" fillId="32" borderId="146" xfId="0" applyNumberFormat="1" applyFont="1" applyFill="1" applyBorder="1" applyAlignment="1" applyProtection="1">
      <alignment horizontal="center" vertical="center" wrapText="1"/>
      <protection locked="0"/>
    </xf>
    <xf numFmtId="49" fontId="67" fillId="32" borderId="153" xfId="0" applyNumberFormat="1" applyFont="1" applyFill="1" applyBorder="1" applyAlignment="1" applyProtection="1">
      <alignment horizontal="center" vertical="center" wrapText="1"/>
      <protection locked="0"/>
    </xf>
    <xf numFmtId="0" fontId="67" fillId="0" borderId="131" xfId="0" applyFont="1" applyFill="1" applyBorder="1" applyAlignment="1" applyProtection="1">
      <alignment horizontal="left" vertical="center" wrapText="1"/>
    </xf>
    <xf numFmtId="0" fontId="67" fillId="0" borderId="132" xfId="0" applyFont="1" applyFill="1" applyBorder="1" applyAlignment="1" applyProtection="1">
      <alignment horizontal="left" vertical="center" wrapText="1"/>
    </xf>
    <xf numFmtId="0" fontId="67" fillId="0" borderId="133" xfId="0" applyFont="1" applyFill="1" applyBorder="1" applyAlignment="1" applyProtection="1">
      <alignment horizontal="left" vertical="center" wrapText="1"/>
    </xf>
    <xf numFmtId="0" fontId="67" fillId="0" borderId="135" xfId="0" applyFont="1" applyFill="1" applyBorder="1" applyAlignment="1" applyProtection="1">
      <alignment horizontal="left" vertical="center" wrapText="1"/>
    </xf>
    <xf numFmtId="0" fontId="67" fillId="0" borderId="48" xfId="0" applyFont="1" applyFill="1" applyBorder="1" applyAlignment="1" applyProtection="1">
      <alignment horizontal="left" vertical="center" wrapText="1"/>
    </xf>
    <xf numFmtId="0" fontId="67" fillId="0" borderId="136" xfId="0" applyFont="1" applyFill="1" applyBorder="1" applyAlignment="1" applyProtection="1">
      <alignment horizontal="left" vertical="center" wrapText="1"/>
    </xf>
    <xf numFmtId="9" fontId="33" fillId="0" borderId="147" xfId="112" applyFont="1" applyFill="1" applyBorder="1" applyAlignment="1" applyProtection="1">
      <alignment horizontal="center" vertical="center"/>
    </xf>
    <xf numFmtId="9" fontId="33" fillId="0" borderId="148" xfId="112" applyFont="1" applyFill="1" applyBorder="1" applyAlignment="1" applyProtection="1">
      <alignment horizontal="center" vertical="center"/>
    </xf>
    <xf numFmtId="9" fontId="33" fillId="0" borderId="149" xfId="112" applyFont="1" applyFill="1" applyBorder="1" applyAlignment="1" applyProtection="1">
      <alignment horizontal="center" vertical="center"/>
    </xf>
    <xf numFmtId="49" fontId="2" fillId="32" borderId="129" xfId="0" applyNumberFormat="1" applyFont="1" applyFill="1" applyBorder="1" applyAlignment="1" applyProtection="1">
      <alignment horizontal="center" vertical="center" wrapText="1"/>
      <protection locked="0"/>
    </xf>
    <xf numFmtId="0" fontId="0" fillId="44" borderId="150" xfId="0" applyFill="1" applyBorder="1" applyAlignment="1" applyProtection="1">
      <alignment horizontal="center"/>
    </xf>
    <xf numFmtId="0" fontId="0" fillId="44" borderId="151" xfId="0" applyFill="1" applyBorder="1" applyAlignment="1" applyProtection="1">
      <alignment horizontal="center"/>
    </xf>
    <xf numFmtId="0" fontId="0" fillId="44" borderId="152" xfId="0" applyFill="1" applyBorder="1" applyAlignment="1" applyProtection="1">
      <alignment horizontal="center"/>
    </xf>
    <xf numFmtId="166" fontId="106" fillId="41" borderId="0" xfId="81" applyFont="1" applyFill="1" applyAlignment="1" applyProtection="1">
      <alignment horizontal="center" vertical="center"/>
    </xf>
    <xf numFmtId="166" fontId="24" fillId="33" borderId="45" xfId="117" applyFont="1" applyFill="1" applyBorder="1" applyAlignment="1" applyProtection="1">
      <alignment horizontal="center"/>
    </xf>
    <xf numFmtId="166" fontId="33" fillId="33" borderId="0" xfId="97" applyFont="1" applyFill="1" applyAlignment="1" applyProtection="1">
      <alignment horizontal="center" vertical="center" wrapText="1"/>
    </xf>
    <xf numFmtId="176" fontId="24" fillId="33" borderId="45" xfId="117" applyNumberFormat="1" applyFont="1" applyFill="1" applyBorder="1" applyAlignment="1" applyProtection="1">
      <alignment horizontal="center" vertical="center"/>
    </xf>
    <xf numFmtId="166" fontId="1" fillId="0" borderId="45" xfId="117" applyFont="1" applyBorder="1" applyAlignment="1" applyProtection="1">
      <alignment horizontal="right"/>
    </xf>
    <xf numFmtId="166" fontId="1" fillId="0" borderId="45" xfId="117" applyFont="1" applyFill="1" applyBorder="1" applyAlignment="1" applyProtection="1">
      <alignment horizontal="right"/>
    </xf>
    <xf numFmtId="166" fontId="20" fillId="0" borderId="0" xfId="97" applyFont="1" applyFill="1" applyAlignment="1" applyProtection="1">
      <alignment horizontal="right" vertical="center"/>
    </xf>
    <xf numFmtId="166" fontId="24" fillId="33" borderId="0" xfId="97" applyFont="1" applyFill="1" applyAlignment="1" applyProtection="1">
      <alignment horizontal="center" vertical="center" wrapText="1"/>
    </xf>
    <xf numFmtId="166" fontId="118" fillId="40" borderId="45" xfId="117" applyFont="1" applyFill="1" applyBorder="1" applyAlignment="1" applyProtection="1">
      <alignment horizontal="center"/>
    </xf>
    <xf numFmtId="15" fontId="24" fillId="33" borderId="45" xfId="117" applyNumberFormat="1" applyFont="1" applyFill="1" applyBorder="1" applyAlignment="1" applyProtection="1">
      <alignment horizontal="center"/>
    </xf>
    <xf numFmtId="0" fontId="0" fillId="0" borderId="45" xfId="0" applyBorder="1" applyAlignment="1"/>
    <xf numFmtId="0" fontId="112" fillId="0" borderId="0" xfId="0" applyFont="1" applyAlignment="1" applyProtection="1">
      <alignment horizontal="center"/>
    </xf>
    <xf numFmtId="166" fontId="111" fillId="0" borderId="150" xfId="0" applyNumberFormat="1" applyFont="1" applyBorder="1" applyAlignment="1" applyProtection="1">
      <alignment horizontal="center" vertical="center" wrapText="1"/>
    </xf>
    <xf numFmtId="166" fontId="111" fillId="0" borderId="151" xfId="0" applyNumberFormat="1" applyFont="1" applyBorder="1" applyAlignment="1" applyProtection="1">
      <alignment horizontal="center" vertical="center" wrapText="1"/>
    </xf>
    <xf numFmtId="166" fontId="111" fillId="0" borderId="152" xfId="0" applyNumberFormat="1" applyFont="1" applyBorder="1" applyAlignment="1" applyProtection="1">
      <alignment horizontal="center" vertical="center" wrapText="1"/>
    </xf>
    <xf numFmtId="0" fontId="0" fillId="0" borderId="154" xfId="0" applyBorder="1" applyAlignment="1" applyProtection="1">
      <alignment horizontal="center"/>
    </xf>
    <xf numFmtId="0" fontId="0" fillId="0" borderId="68" xfId="0" applyBorder="1" applyAlignment="1" applyProtection="1">
      <alignment horizontal="center"/>
    </xf>
    <xf numFmtId="0" fontId="119" fillId="0" borderId="155" xfId="0" applyFont="1" applyFill="1" applyBorder="1" applyAlignment="1" applyProtection="1">
      <alignment horizontal="left" wrapText="1"/>
    </xf>
    <xf numFmtId="0" fontId="119" fillId="0" borderId="100" xfId="0" applyFont="1" applyFill="1" applyBorder="1" applyAlignment="1" applyProtection="1">
      <alignment horizontal="left" wrapText="1"/>
    </xf>
    <xf numFmtId="0" fontId="30" fillId="31" borderId="31" xfId="0" applyFont="1" applyFill="1" applyBorder="1" applyAlignment="1" applyProtection="1">
      <alignment horizontal="left" wrapText="1"/>
      <protection locked="0"/>
    </xf>
    <xf numFmtId="0" fontId="0" fillId="0" borderId="48" xfId="0" applyBorder="1" applyAlignment="1" applyProtection="1">
      <alignment horizontal="left" wrapText="1"/>
      <protection locked="0"/>
    </xf>
    <xf numFmtId="0" fontId="0" fillId="0" borderId="49" xfId="0" applyBorder="1" applyAlignment="1" applyProtection="1">
      <alignment horizontal="left" wrapText="1"/>
      <protection locked="0"/>
    </xf>
    <xf numFmtId="166" fontId="14" fillId="0" borderId="0" xfId="0" applyNumberFormat="1" applyFont="1" applyAlignment="1" applyProtection="1">
      <alignment horizontal="center" wrapText="1"/>
    </xf>
    <xf numFmtId="166" fontId="28" fillId="0" borderId="0" xfId="0" applyNumberFormat="1" applyFont="1" applyAlignment="1" applyProtection="1">
      <alignment horizontal="right"/>
    </xf>
    <xf numFmtId="15" fontId="28" fillId="0" borderId="0" xfId="0" applyNumberFormat="1" applyFont="1" applyAlignment="1" applyProtection="1">
      <alignment horizontal="right"/>
    </xf>
    <xf numFmtId="166" fontId="14" fillId="0" borderId="0" xfId="0" applyNumberFormat="1" applyFont="1" applyAlignment="1" applyProtection="1">
      <alignment horizontal="center"/>
    </xf>
    <xf numFmtId="166" fontId="28" fillId="0" borderId="0" xfId="0" applyNumberFormat="1" applyFont="1" applyAlignment="1" applyProtection="1">
      <alignment horizontal="left"/>
    </xf>
    <xf numFmtId="166" fontId="15" fillId="40" borderId="0" xfId="117" applyFont="1" applyFill="1" applyBorder="1" applyAlignment="1" applyProtection="1">
      <alignment horizontal="center"/>
    </xf>
    <xf numFmtId="0" fontId="34" fillId="31" borderId="31" xfId="0" applyFont="1" applyFill="1" applyBorder="1" applyAlignment="1" applyProtection="1">
      <alignment horizontal="left" wrapText="1"/>
      <protection locked="0"/>
    </xf>
    <xf numFmtId="0" fontId="34" fillId="31" borderId="48" xfId="0" applyFont="1" applyFill="1" applyBorder="1" applyAlignment="1" applyProtection="1">
      <alignment horizontal="left" wrapText="1"/>
      <protection locked="0"/>
    </xf>
    <xf numFmtId="0" fontId="34" fillId="31" borderId="49" xfId="0" applyFont="1" applyFill="1" applyBorder="1" applyAlignment="1" applyProtection="1">
      <alignment horizontal="left" wrapText="1"/>
      <protection locked="0"/>
    </xf>
    <xf numFmtId="0" fontId="119" fillId="0" borderId="156" xfId="0" applyFont="1" applyFill="1" applyBorder="1" applyAlignment="1" applyProtection="1">
      <alignment horizontal="left" wrapText="1"/>
    </xf>
    <xf numFmtId="0" fontId="119" fillId="0" borderId="157" xfId="0" applyFont="1" applyFill="1" applyBorder="1" applyAlignment="1" applyProtection="1">
      <alignment horizontal="left" wrapText="1"/>
    </xf>
    <xf numFmtId="0" fontId="85" fillId="0" borderId="0" xfId="0" applyFont="1" applyAlignment="1">
      <alignment horizontal="left" wrapText="1"/>
    </xf>
    <xf numFmtId="0" fontId="0" fillId="0" borderId="48" xfId="0" applyBorder="1" applyAlignment="1">
      <alignment horizontal="left" wrapText="1"/>
    </xf>
    <xf numFmtId="0" fontId="0" fillId="0" borderId="49" xfId="0" applyBorder="1" applyAlignment="1">
      <alignment horizontal="left" wrapText="1"/>
    </xf>
    <xf numFmtId="166" fontId="28" fillId="0" borderId="0" xfId="0" applyNumberFormat="1" applyFont="1" applyAlignment="1">
      <alignment horizontal="left"/>
    </xf>
    <xf numFmtId="166" fontId="14" fillId="0" borderId="0" xfId="0" applyNumberFormat="1" applyFont="1" applyAlignment="1">
      <alignment horizontal="center"/>
    </xf>
    <xf numFmtId="166" fontId="61" fillId="41" borderId="0" xfId="93" applyFont="1" applyFill="1" applyAlignment="1">
      <alignment horizontal="center" vertical="center"/>
    </xf>
    <xf numFmtId="0" fontId="112" fillId="0" borderId="0" xfId="0" applyFont="1" applyAlignment="1">
      <alignment horizontal="center"/>
    </xf>
    <xf numFmtId="166" fontId="28" fillId="0" borderId="0" xfId="0" applyNumberFormat="1" applyFont="1" applyAlignment="1">
      <alignment horizontal="right"/>
    </xf>
    <xf numFmtId="0" fontId="0" fillId="0" borderId="139" xfId="0" applyFill="1" applyBorder="1" applyAlignment="1" applyProtection="1">
      <alignment horizontal="center" vertical="center"/>
    </xf>
    <xf numFmtId="0" fontId="0" fillId="0" borderId="140" xfId="0" applyFill="1" applyBorder="1" applyAlignment="1" applyProtection="1">
      <alignment horizontal="center" vertical="center"/>
    </xf>
    <xf numFmtId="0" fontId="0" fillId="0" borderId="141" xfId="0" applyFill="1" applyBorder="1" applyAlignment="1" applyProtection="1">
      <alignment horizontal="center" vertical="center"/>
    </xf>
    <xf numFmtId="15" fontId="28" fillId="0" borderId="0" xfId="0" applyNumberFormat="1" applyFont="1" applyAlignment="1">
      <alignment horizontal="right"/>
    </xf>
    <xf numFmtId="0" fontId="14" fillId="0" borderId="0" xfId="0" applyFont="1" applyBorder="1" applyAlignment="1">
      <alignment horizontal="center"/>
    </xf>
    <xf numFmtId="0" fontId="34" fillId="31" borderId="31" xfId="0" applyFont="1" applyFill="1" applyBorder="1" applyAlignment="1" applyProtection="1">
      <alignment horizontal="left" vertical="top" wrapText="1"/>
      <protection locked="0"/>
    </xf>
    <xf numFmtId="0" fontId="0" fillId="0" borderId="48" xfId="0" applyBorder="1" applyAlignment="1">
      <alignment horizontal="left" vertical="top" wrapText="1"/>
    </xf>
    <xf numFmtId="0" fontId="0" fillId="0" borderId="49" xfId="0" applyBorder="1" applyAlignment="1">
      <alignment horizontal="left" vertical="top" wrapText="1"/>
    </xf>
    <xf numFmtId="0" fontId="34" fillId="31" borderId="48" xfId="0" applyFont="1" applyFill="1" applyBorder="1" applyAlignment="1" applyProtection="1">
      <alignment horizontal="left" vertical="top" wrapText="1"/>
      <protection locked="0"/>
    </xf>
    <xf numFmtId="0" fontId="34" fillId="31" borderId="49" xfId="0" applyFont="1" applyFill="1" applyBorder="1" applyAlignment="1" applyProtection="1">
      <alignment horizontal="left" vertical="top" wrapText="1"/>
      <protection locked="0"/>
    </xf>
    <xf numFmtId="0" fontId="34" fillId="0" borderId="118" xfId="0" applyFont="1" applyBorder="1" applyAlignment="1" applyProtection="1">
      <alignment horizontal="left" vertical="center"/>
    </xf>
    <xf numFmtId="0" fontId="34" fillId="29" borderId="158" xfId="0" applyFont="1" applyFill="1" applyBorder="1" applyAlignment="1" applyProtection="1">
      <alignment horizontal="left"/>
      <protection locked="0"/>
    </xf>
    <xf numFmtId="0" fontId="34" fillId="29" borderId="0" xfId="0" applyFont="1" applyFill="1" applyBorder="1" applyAlignment="1" applyProtection="1">
      <alignment horizontal="left"/>
      <protection locked="0"/>
    </xf>
    <xf numFmtId="0" fontId="34" fillId="29" borderId="46" xfId="0" applyFont="1" applyFill="1" applyBorder="1" applyAlignment="1" applyProtection="1">
      <alignment horizontal="left"/>
      <protection locked="0"/>
    </xf>
    <xf numFmtId="0" fontId="34" fillId="0" borderId="12" xfId="0" applyFont="1" applyBorder="1" applyAlignment="1" applyProtection="1">
      <alignment vertical="center" wrapText="1"/>
    </xf>
    <xf numFmtId="9" fontId="28" fillId="0" borderId="31" xfId="112" applyFont="1" applyBorder="1" applyAlignment="1" applyProtection="1">
      <alignment horizontal="center" vertical="center" wrapText="1"/>
    </xf>
    <xf numFmtId="9" fontId="28" fillId="0" borderId="48" xfId="112" applyFont="1" applyBorder="1" applyAlignment="1" applyProtection="1">
      <alignment horizontal="center" vertical="center" wrapText="1"/>
    </xf>
    <xf numFmtId="9" fontId="28" fillId="0" borderId="49" xfId="112" applyFont="1" applyBorder="1" applyAlignment="1" applyProtection="1">
      <alignment horizontal="center" vertical="center" wrapText="1"/>
    </xf>
    <xf numFmtId="0" fontId="34" fillId="29" borderId="118" xfId="0" applyFont="1" applyFill="1" applyBorder="1" applyAlignment="1" applyProtection="1">
      <alignment horizontal="left"/>
    </xf>
    <xf numFmtId="0" fontId="34" fillId="29" borderId="118" xfId="0" applyFont="1" applyFill="1" applyBorder="1" applyAlignment="1" applyProtection="1">
      <alignment horizontal="left" vertical="center" wrapText="1"/>
    </xf>
    <xf numFmtId="0" fontId="34" fillId="47" borderId="12" xfId="0" applyFont="1" applyFill="1" applyBorder="1" applyAlignment="1" applyProtection="1">
      <alignment vertical="center" wrapText="1"/>
    </xf>
    <xf numFmtId="0" fontId="34" fillId="0" borderId="31" xfId="0" applyFont="1" applyBorder="1" applyAlignment="1" applyProtection="1">
      <alignment vertical="center" wrapText="1"/>
    </xf>
    <xf numFmtId="0" fontId="34" fillId="0" borderId="48" xfId="0" applyFont="1" applyBorder="1" applyAlignment="1" applyProtection="1">
      <alignment vertical="center" wrapText="1"/>
    </xf>
    <xf numFmtId="0" fontId="34" fillId="0" borderId="49" xfId="0" applyFont="1" applyBorder="1" applyAlignment="1" applyProtection="1">
      <alignment vertical="center" wrapText="1"/>
    </xf>
    <xf numFmtId="9" fontId="34" fillId="31" borderId="12" xfId="112" applyFont="1" applyFill="1" applyBorder="1" applyAlignment="1" applyProtection="1">
      <alignment horizontal="left" vertical="center" wrapText="1"/>
      <protection locked="0"/>
    </xf>
    <xf numFmtId="0" fontId="34" fillId="29" borderId="0" xfId="0" applyFont="1" applyFill="1" applyBorder="1" applyAlignment="1" applyProtection="1">
      <alignment horizontal="left"/>
    </xf>
    <xf numFmtId="0" fontId="33" fillId="0" borderId="111" xfId="0" applyFont="1" applyBorder="1" applyAlignment="1" applyProtection="1">
      <alignment horizontal="center"/>
    </xf>
    <xf numFmtId="0" fontId="34" fillId="0" borderId="12" xfId="0" applyFont="1" applyBorder="1" applyAlignment="1" applyProtection="1">
      <alignment horizontal="center" vertical="center" wrapText="1"/>
    </xf>
    <xf numFmtId="0" fontId="34" fillId="29" borderId="0" xfId="0" applyFont="1" applyFill="1" applyAlignment="1" applyProtection="1">
      <alignment horizontal="center" vertical="center" wrapText="1"/>
    </xf>
    <xf numFmtId="0" fontId="34" fillId="29" borderId="0" xfId="0" applyFont="1" applyFill="1" applyAlignment="1" applyProtection="1">
      <alignment horizontal="left"/>
      <protection locked="0"/>
    </xf>
    <xf numFmtId="0" fontId="34" fillId="0" borderId="31"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49" xfId="0" applyFont="1" applyBorder="1" applyAlignment="1" applyProtection="1">
      <alignment horizontal="center" vertical="center"/>
    </xf>
    <xf numFmtId="9" fontId="37" fillId="44" borderId="31" xfId="112" applyFont="1" applyFill="1" applyBorder="1" applyAlignment="1" applyProtection="1">
      <alignment horizontal="center" vertical="center" wrapText="1"/>
    </xf>
    <xf numFmtId="9" fontId="37" fillId="44" borderId="49" xfId="112" applyFont="1" applyFill="1" applyBorder="1" applyAlignment="1" applyProtection="1">
      <alignment horizontal="center" vertical="center" wrapText="1"/>
    </xf>
    <xf numFmtId="9" fontId="37" fillId="45" borderId="31" xfId="112" applyFont="1" applyFill="1" applyBorder="1" applyAlignment="1" applyProtection="1">
      <alignment horizontal="center" vertical="center" wrapText="1"/>
    </xf>
    <xf numFmtId="9" fontId="37" fillId="45" borderId="49" xfId="112" applyFont="1" applyFill="1" applyBorder="1" applyAlignment="1" applyProtection="1">
      <alignment horizontal="center" vertical="center" wrapText="1"/>
    </xf>
    <xf numFmtId="166" fontId="61" fillId="41" borderId="0" xfId="93" applyFont="1" applyFill="1" applyAlignment="1" applyProtection="1">
      <alignment horizontal="center" vertical="center"/>
    </xf>
    <xf numFmtId="166" fontId="112" fillId="0" borderId="0" xfId="0" applyNumberFormat="1" applyFont="1" applyAlignment="1" applyProtection="1">
      <alignment horizontal="center"/>
    </xf>
    <xf numFmtId="166" fontId="33" fillId="0" borderId="0" xfId="0" applyNumberFormat="1" applyFont="1" applyAlignment="1" applyProtection="1">
      <alignment horizontal="center"/>
    </xf>
    <xf numFmtId="166" fontId="15" fillId="40" borderId="0" xfId="118" applyFont="1" applyFill="1" applyBorder="1" applyAlignment="1" applyProtection="1">
      <alignment horizontal="center"/>
    </xf>
    <xf numFmtId="9" fontId="2" fillId="0" borderId="159" xfId="112" applyNumberFormat="1" applyFont="1" applyFill="1" applyBorder="1" applyAlignment="1" applyProtection="1">
      <alignment horizontal="left" vertical="center" wrapText="1"/>
    </xf>
    <xf numFmtId="0" fontId="2" fillId="0" borderId="160" xfId="112" applyNumberFormat="1" applyFont="1" applyFill="1" applyBorder="1" applyAlignment="1" applyProtection="1">
      <alignment horizontal="left" vertical="center" wrapText="1"/>
    </xf>
    <xf numFmtId="0" fontId="2" fillId="0" borderId="161" xfId="112" applyNumberFormat="1" applyFont="1" applyFill="1" applyBorder="1" applyAlignment="1" applyProtection="1">
      <alignment horizontal="left" vertical="center" wrapText="1"/>
    </xf>
    <xf numFmtId="0" fontId="60" fillId="31" borderId="162" xfId="0" applyFont="1" applyFill="1" applyBorder="1" applyAlignment="1" applyProtection="1">
      <alignment horizontal="center" vertical="center"/>
    </xf>
    <xf numFmtId="0" fontId="60" fillId="31" borderId="163" xfId="0" applyFont="1" applyFill="1" applyBorder="1" applyAlignment="1" applyProtection="1">
      <alignment horizontal="center" vertical="center"/>
    </xf>
    <xf numFmtId="0" fontId="60" fillId="31" borderId="164" xfId="0" applyFont="1" applyFill="1" applyBorder="1" applyAlignment="1" applyProtection="1">
      <alignment horizontal="center" vertical="center"/>
    </xf>
    <xf numFmtId="0" fontId="80" fillId="0" borderId="165" xfId="0" applyNumberFormat="1" applyFont="1" applyFill="1" applyBorder="1" applyAlignment="1" applyProtection="1">
      <alignment horizontal="left" vertical="center" wrapText="1"/>
    </xf>
    <xf numFmtId="0" fontId="80" fillId="0" borderId="166" xfId="0" applyNumberFormat="1" applyFont="1" applyFill="1" applyBorder="1" applyAlignment="1" applyProtection="1">
      <alignment horizontal="left" vertical="center" wrapText="1"/>
    </xf>
    <xf numFmtId="0" fontId="80" fillId="0" borderId="167" xfId="0" applyNumberFormat="1" applyFont="1" applyFill="1" applyBorder="1" applyAlignment="1" applyProtection="1">
      <alignment horizontal="left" vertical="center" wrapText="1"/>
    </xf>
    <xf numFmtId="0" fontId="2" fillId="31" borderId="168" xfId="0" applyFont="1" applyFill="1" applyBorder="1" applyAlignment="1" applyProtection="1">
      <alignment horizontal="center" vertical="top" wrapText="1"/>
      <protection locked="0"/>
    </xf>
    <xf numFmtId="0" fontId="2" fillId="31" borderId="169" xfId="0" applyFont="1" applyFill="1" applyBorder="1" applyAlignment="1" applyProtection="1">
      <alignment horizontal="center" vertical="top" wrapText="1"/>
      <protection locked="0"/>
    </xf>
    <xf numFmtId="0" fontId="2" fillId="31" borderId="170" xfId="0" applyFont="1" applyFill="1" applyBorder="1" applyAlignment="1" applyProtection="1">
      <alignment horizontal="center" vertical="top" wrapText="1"/>
      <protection locked="0"/>
    </xf>
    <xf numFmtId="0" fontId="2" fillId="31" borderId="186" xfId="0" applyFont="1" applyFill="1" applyBorder="1" applyAlignment="1" applyProtection="1">
      <alignment horizontal="center" vertical="top" wrapText="1"/>
      <protection locked="0"/>
    </xf>
    <xf numFmtId="0" fontId="2" fillId="31" borderId="187" xfId="0" applyFont="1" applyFill="1" applyBorder="1" applyAlignment="1" applyProtection="1">
      <alignment horizontal="center" vertical="top" wrapText="1"/>
      <protection locked="0"/>
    </xf>
    <xf numFmtId="0" fontId="2" fillId="31" borderId="188" xfId="0" applyFont="1" applyFill="1" applyBorder="1" applyAlignment="1" applyProtection="1">
      <alignment horizontal="center" vertical="top" wrapText="1"/>
      <protection locked="0"/>
    </xf>
    <xf numFmtId="0" fontId="2" fillId="0" borderId="159" xfId="112" applyNumberFormat="1" applyFont="1" applyFill="1" applyBorder="1" applyAlignment="1" applyProtection="1">
      <alignment horizontal="left" vertical="center" wrapText="1"/>
    </xf>
    <xf numFmtId="0" fontId="80" fillId="0" borderId="175" xfId="0" applyNumberFormat="1" applyFont="1" applyFill="1" applyBorder="1" applyAlignment="1" applyProtection="1">
      <alignment horizontal="left" vertical="top" wrapText="1"/>
    </xf>
    <xf numFmtId="0" fontId="80" fillId="0" borderId="176" xfId="0" applyNumberFormat="1" applyFont="1" applyFill="1" applyBorder="1" applyAlignment="1" applyProtection="1">
      <alignment horizontal="left" vertical="top" wrapText="1"/>
    </xf>
    <xf numFmtId="0" fontId="79" fillId="28" borderId="14" xfId="0" applyFont="1" applyFill="1" applyBorder="1" applyAlignment="1" applyProtection="1">
      <alignment horizontal="center" vertical="center"/>
    </xf>
    <xf numFmtId="0" fontId="80" fillId="0" borderId="189" xfId="0" applyNumberFormat="1" applyFont="1" applyFill="1" applyBorder="1" applyAlignment="1" applyProtection="1">
      <alignment horizontal="left" vertical="top" wrapText="1"/>
    </xf>
    <xf numFmtId="0" fontId="80" fillId="0" borderId="190" xfId="0" applyNumberFormat="1" applyFont="1" applyFill="1" applyBorder="1" applyAlignment="1" applyProtection="1">
      <alignment horizontal="left" vertical="top" wrapText="1"/>
    </xf>
    <xf numFmtId="0" fontId="80" fillId="0" borderId="173" xfId="0" applyNumberFormat="1" applyFont="1" applyFill="1" applyBorder="1" applyAlignment="1" applyProtection="1">
      <alignment horizontal="left" vertical="top" wrapText="1"/>
    </xf>
    <xf numFmtId="0" fontId="80" fillId="0" borderId="191" xfId="0" applyNumberFormat="1" applyFont="1" applyFill="1" applyBorder="1" applyAlignment="1" applyProtection="1">
      <alignment horizontal="left" vertical="top" wrapText="1"/>
    </xf>
    <xf numFmtId="49" fontId="2" fillId="34" borderId="192" xfId="0" applyNumberFormat="1" applyFont="1" applyFill="1" applyBorder="1" applyAlignment="1" applyProtection="1">
      <alignment horizontal="center" vertical="center"/>
      <protection locked="0"/>
    </xf>
    <xf numFmtId="49" fontId="2" fillId="34" borderId="160" xfId="0" applyNumberFormat="1" applyFont="1" applyFill="1" applyBorder="1" applyAlignment="1" applyProtection="1">
      <alignment horizontal="center" vertical="center"/>
      <protection locked="0"/>
    </xf>
    <xf numFmtId="49" fontId="2" fillId="34" borderId="193" xfId="0" applyNumberFormat="1" applyFont="1" applyFill="1" applyBorder="1" applyAlignment="1" applyProtection="1">
      <alignment horizontal="center" vertical="center"/>
      <protection locked="0"/>
    </xf>
    <xf numFmtId="49" fontId="2" fillId="34" borderId="194" xfId="0" applyNumberFormat="1" applyFont="1" applyFill="1" applyBorder="1" applyAlignment="1" applyProtection="1">
      <alignment horizontal="center" vertical="center"/>
      <protection locked="0"/>
    </xf>
    <xf numFmtId="49" fontId="2" fillId="34" borderId="195" xfId="0" applyNumberFormat="1" applyFont="1" applyFill="1" applyBorder="1" applyAlignment="1" applyProtection="1">
      <alignment horizontal="center" vertical="center"/>
      <protection locked="0"/>
    </xf>
    <xf numFmtId="49" fontId="2" fillId="34" borderId="196" xfId="0" applyNumberFormat="1" applyFont="1" applyFill="1" applyBorder="1" applyAlignment="1" applyProtection="1">
      <alignment horizontal="center" vertical="center"/>
      <protection locked="0"/>
    </xf>
    <xf numFmtId="0" fontId="78" fillId="0" borderId="0" xfId="0" applyFont="1" applyFill="1" applyBorder="1" applyAlignment="1" applyProtection="1">
      <alignment horizontal="center"/>
    </xf>
    <xf numFmtId="0" fontId="78" fillId="0" borderId="177" xfId="0" applyFont="1" applyFill="1" applyBorder="1" applyAlignment="1" applyProtection="1">
      <alignment horizontal="center"/>
    </xf>
    <xf numFmtId="0" fontId="80" fillId="0" borderId="174" xfId="0" applyNumberFormat="1" applyFont="1" applyFill="1" applyBorder="1" applyAlignment="1" applyProtection="1">
      <alignment horizontal="left" vertical="top" wrapText="1"/>
    </xf>
    <xf numFmtId="0" fontId="126" fillId="33" borderId="178" xfId="0" applyFont="1" applyFill="1" applyBorder="1" applyAlignment="1" applyProtection="1">
      <alignment horizontal="center" vertical="center"/>
    </xf>
    <xf numFmtId="0" fontId="126" fillId="33" borderId="179" xfId="0" applyFont="1" applyFill="1" applyBorder="1" applyAlignment="1" applyProtection="1">
      <alignment horizontal="center" vertical="center"/>
    </xf>
    <xf numFmtId="0" fontId="0" fillId="0" borderId="179" xfId="0" applyBorder="1" applyAlignment="1">
      <alignment horizontal="center" vertical="center"/>
    </xf>
    <xf numFmtId="0" fontId="126" fillId="33" borderId="180" xfId="0" applyFont="1" applyFill="1" applyBorder="1" applyAlignment="1" applyProtection="1">
      <alignment horizontal="center" vertical="center"/>
    </xf>
    <xf numFmtId="0" fontId="126" fillId="33" borderId="181" xfId="0" applyFont="1" applyFill="1" applyBorder="1" applyAlignment="1" applyProtection="1">
      <alignment horizontal="center" vertical="center"/>
    </xf>
    <xf numFmtId="0" fontId="126" fillId="33" borderId="182" xfId="0" applyFont="1" applyFill="1" applyBorder="1" applyAlignment="1" applyProtection="1">
      <alignment horizontal="center" vertical="center"/>
    </xf>
    <xf numFmtId="0" fontId="2" fillId="33" borderId="183" xfId="0" applyFont="1" applyFill="1" applyBorder="1" applyAlignment="1" applyProtection="1">
      <alignment horizontal="center" vertical="top" wrapText="1"/>
      <protection locked="0"/>
    </xf>
    <xf numFmtId="0" fontId="2" fillId="33" borderId="184" xfId="0" applyFont="1" applyFill="1" applyBorder="1" applyAlignment="1" applyProtection="1">
      <alignment horizontal="center" vertical="top" wrapText="1"/>
      <protection locked="0"/>
    </xf>
    <xf numFmtId="0" fontId="2" fillId="33" borderId="185" xfId="0" applyFont="1" applyFill="1" applyBorder="1" applyAlignment="1" applyProtection="1">
      <alignment horizontal="center" vertical="top" wrapText="1"/>
      <protection locked="0"/>
    </xf>
    <xf numFmtId="0" fontId="112" fillId="0" borderId="0" xfId="0" applyFont="1" applyBorder="1" applyAlignment="1" applyProtection="1">
      <alignment horizontal="center"/>
    </xf>
    <xf numFmtId="0" fontId="60" fillId="34" borderId="197" xfId="0" applyFont="1" applyFill="1" applyBorder="1" applyAlignment="1" applyProtection="1">
      <alignment horizontal="center" vertical="center"/>
    </xf>
    <xf numFmtId="0" fontId="60" fillId="34" borderId="198" xfId="0" applyFont="1" applyFill="1" applyBorder="1" applyAlignment="1" applyProtection="1">
      <alignment horizontal="center" vertical="center"/>
    </xf>
    <xf numFmtId="0" fontId="60" fillId="34" borderId="199" xfId="0" applyFont="1" applyFill="1" applyBorder="1" applyAlignment="1" applyProtection="1">
      <alignment horizontal="center" vertical="center"/>
    </xf>
    <xf numFmtId="0" fontId="2" fillId="33" borderId="200" xfId="0" applyFont="1" applyFill="1" applyBorder="1" applyAlignment="1" applyProtection="1">
      <alignment horizontal="center" vertical="top" wrapText="1"/>
      <protection locked="0"/>
    </xf>
    <xf numFmtId="0" fontId="2" fillId="33" borderId="201" xfId="0" applyFont="1" applyFill="1" applyBorder="1" applyAlignment="1" applyProtection="1">
      <alignment horizontal="center" vertical="top" wrapText="1"/>
      <protection locked="0"/>
    </xf>
    <xf numFmtId="0" fontId="2" fillId="33" borderId="202" xfId="0" applyFont="1" applyFill="1" applyBorder="1" applyAlignment="1" applyProtection="1">
      <alignment horizontal="center" vertical="top" wrapText="1"/>
      <protection locked="0"/>
    </xf>
    <xf numFmtId="0" fontId="2" fillId="33" borderId="203" xfId="0" applyFont="1" applyFill="1" applyBorder="1" applyAlignment="1" applyProtection="1">
      <alignment horizontal="center" vertical="top" wrapText="1"/>
      <protection locked="0"/>
    </xf>
    <xf numFmtId="0" fontId="2" fillId="33" borderId="204" xfId="0" applyFont="1" applyFill="1" applyBorder="1" applyAlignment="1" applyProtection="1">
      <alignment horizontal="center" vertical="top" wrapText="1"/>
      <protection locked="0"/>
    </xf>
    <xf numFmtId="0" fontId="2" fillId="33" borderId="205" xfId="0" applyFont="1" applyFill="1" applyBorder="1" applyAlignment="1" applyProtection="1">
      <alignment horizontal="center" vertical="top" wrapText="1"/>
      <protection locked="0"/>
    </xf>
    <xf numFmtId="0" fontId="78" fillId="0" borderId="206" xfId="0" applyFont="1" applyFill="1" applyBorder="1" applyAlignment="1" applyProtection="1">
      <alignment horizontal="center"/>
    </xf>
    <xf numFmtId="49" fontId="2" fillId="34" borderId="207" xfId="0" applyNumberFormat="1" applyFont="1" applyFill="1" applyBorder="1" applyAlignment="1" applyProtection="1">
      <alignment horizontal="center" vertical="center"/>
      <protection locked="0"/>
    </xf>
    <xf numFmtId="49" fontId="2" fillId="34" borderId="16" xfId="0" applyNumberFormat="1" applyFont="1" applyFill="1" applyBorder="1" applyAlignment="1" applyProtection="1">
      <alignment horizontal="center" vertical="center"/>
      <protection locked="0"/>
    </xf>
    <xf numFmtId="49" fontId="2" fillId="34" borderId="208" xfId="0" applyNumberFormat="1" applyFont="1" applyFill="1" applyBorder="1" applyAlignment="1" applyProtection="1">
      <alignment horizontal="center" vertical="center"/>
      <protection locked="0"/>
    </xf>
    <xf numFmtId="0" fontId="80" fillId="0" borderId="171" xfId="0" applyNumberFormat="1" applyFont="1" applyFill="1" applyBorder="1" applyAlignment="1" applyProtection="1">
      <alignment horizontal="left" vertical="top" wrapText="1"/>
    </xf>
    <xf numFmtId="0" fontId="80" fillId="0" borderId="172" xfId="0" applyNumberFormat="1" applyFont="1" applyFill="1" applyBorder="1" applyAlignment="1" applyProtection="1">
      <alignment horizontal="left" vertical="top" wrapText="1"/>
    </xf>
    <xf numFmtId="0" fontId="2" fillId="31" borderId="209" xfId="0" applyFont="1" applyFill="1" applyBorder="1" applyAlignment="1" applyProtection="1">
      <alignment horizontal="center" vertical="top" wrapText="1"/>
      <protection locked="0"/>
    </xf>
    <xf numFmtId="0" fontId="2" fillId="31" borderId="210" xfId="0" applyFont="1" applyFill="1" applyBorder="1" applyAlignment="1" applyProtection="1">
      <alignment horizontal="center" vertical="top" wrapText="1"/>
      <protection locked="0"/>
    </xf>
    <xf numFmtId="0" fontId="2" fillId="31" borderId="211" xfId="0" applyFont="1" applyFill="1" applyBorder="1" applyAlignment="1" applyProtection="1">
      <alignment horizontal="center" vertical="top" wrapText="1"/>
      <protection locked="0"/>
    </xf>
    <xf numFmtId="0" fontId="21" fillId="0" borderId="41" xfId="0" applyFont="1" applyBorder="1" applyAlignment="1" applyProtection="1">
      <alignment horizontal="left"/>
      <protection locked="0"/>
    </xf>
    <xf numFmtId="0" fontId="21" fillId="0" borderId="213" xfId="0" applyFont="1" applyBorder="1" applyAlignment="1" applyProtection="1">
      <alignment horizontal="left"/>
      <protection locked="0"/>
    </xf>
    <xf numFmtId="0" fontId="21" fillId="0" borderId="214" xfId="0" applyFont="1" applyBorder="1" applyAlignment="1" applyProtection="1">
      <alignment horizontal="left"/>
      <protection locked="0"/>
    </xf>
    <xf numFmtId="0" fontId="21" fillId="0" borderId="215" xfId="0" applyFont="1" applyBorder="1" applyAlignment="1" applyProtection="1">
      <alignment horizontal="left"/>
      <protection locked="0"/>
    </xf>
    <xf numFmtId="0" fontId="21" fillId="0" borderId="216" xfId="0" applyFont="1" applyBorder="1" applyAlignment="1" applyProtection="1">
      <alignment horizontal="left"/>
      <protection locked="0"/>
    </xf>
    <xf numFmtId="166" fontId="15" fillId="40" borderId="0" xfId="119" applyFont="1" applyFill="1" applyBorder="1" applyAlignment="1" applyProtection="1">
      <alignment horizontal="center"/>
      <protection locked="0"/>
    </xf>
    <xf numFmtId="0" fontId="21" fillId="0" borderId="41" xfId="0" applyFont="1" applyFill="1" applyBorder="1" applyAlignment="1" applyProtection="1">
      <alignment horizontal="left"/>
      <protection locked="0"/>
    </xf>
    <xf numFmtId="0" fontId="21" fillId="0" borderId="217" xfId="0" applyFont="1" applyFill="1" applyBorder="1" applyAlignment="1" applyProtection="1">
      <alignment horizontal="left"/>
      <protection locked="0"/>
    </xf>
    <xf numFmtId="0" fontId="21" fillId="0" borderId="213" xfId="0" applyFont="1" applyFill="1" applyBorder="1" applyAlignment="1" applyProtection="1">
      <alignment horizontal="left"/>
      <protection locked="0"/>
    </xf>
    <xf numFmtId="0" fontId="21" fillId="0" borderId="214" xfId="0" applyFont="1" applyFill="1" applyBorder="1" applyAlignment="1" applyProtection="1">
      <alignment horizontal="left"/>
      <protection locked="0"/>
    </xf>
    <xf numFmtId="0" fontId="77" fillId="30" borderId="224" xfId="109" applyNumberFormat="1" applyFont="1" applyFill="1" applyBorder="1" applyAlignment="1">
      <alignment horizontal="center" vertical="center" wrapText="1"/>
    </xf>
    <xf numFmtId="0" fontId="77" fillId="30" borderId="225" xfId="109" applyNumberFormat="1" applyFont="1" applyFill="1" applyBorder="1" applyAlignment="1">
      <alignment horizontal="center" vertical="center" wrapText="1"/>
    </xf>
    <xf numFmtId="0" fontId="77" fillId="30" borderId="226" xfId="109" applyNumberFormat="1" applyFont="1" applyFill="1" applyBorder="1" applyAlignment="1">
      <alignment horizontal="center" vertical="center" wrapText="1"/>
    </xf>
    <xf numFmtId="0" fontId="0" fillId="31" borderId="117" xfId="0" applyFill="1" applyBorder="1" applyAlignment="1" applyProtection="1">
      <alignment horizontal="center"/>
      <protection locked="0"/>
    </xf>
    <xf numFmtId="0" fontId="0" fillId="31" borderId="118" xfId="0" applyFill="1" applyBorder="1" applyAlignment="1" applyProtection="1">
      <alignment horizontal="center"/>
      <protection locked="0"/>
    </xf>
    <xf numFmtId="0" fontId="0" fillId="31" borderId="119" xfId="0" applyFill="1" applyBorder="1" applyAlignment="1" applyProtection="1">
      <alignment horizontal="center"/>
      <protection locked="0"/>
    </xf>
    <xf numFmtId="0" fontId="0" fillId="31" borderId="70" xfId="0" applyFill="1" applyBorder="1" applyAlignment="1" applyProtection="1">
      <alignment horizontal="center"/>
      <protection locked="0"/>
    </xf>
    <xf numFmtId="0" fontId="0" fillId="31" borderId="111" xfId="0" applyFill="1" applyBorder="1" applyAlignment="1" applyProtection="1">
      <alignment horizontal="center"/>
      <protection locked="0"/>
    </xf>
    <xf numFmtId="0" fontId="0" fillId="31" borderId="113" xfId="0" applyFill="1" applyBorder="1" applyAlignment="1" applyProtection="1">
      <alignment horizontal="center"/>
      <protection locked="0"/>
    </xf>
    <xf numFmtId="0" fontId="77" fillId="30" borderId="15" xfId="109" applyNumberFormat="1" applyFont="1" applyFill="1" applyBorder="1" applyAlignment="1">
      <alignment horizontal="center" vertical="center" wrapText="1"/>
    </xf>
    <xf numFmtId="0" fontId="77" fillId="30" borderId="212" xfId="109" applyNumberFormat="1" applyFont="1" applyFill="1" applyBorder="1" applyAlignment="1">
      <alignment horizontal="center" vertical="center" wrapText="1"/>
    </xf>
    <xf numFmtId="0" fontId="21" fillId="0" borderId="220" xfId="0" applyFont="1" applyBorder="1" applyAlignment="1" applyProtection="1">
      <alignment horizontal="left"/>
      <protection locked="0"/>
    </xf>
    <xf numFmtId="0" fontId="21" fillId="0" borderId="221" xfId="0" applyFont="1" applyBorder="1" applyAlignment="1" applyProtection="1">
      <alignment horizontal="left"/>
      <protection locked="0"/>
    </xf>
    <xf numFmtId="0" fontId="21" fillId="0" borderId="218" xfId="0" applyFont="1" applyFill="1" applyBorder="1" applyAlignment="1" applyProtection="1">
      <alignment horizontal="left"/>
      <protection locked="0"/>
    </xf>
    <xf numFmtId="0" fontId="21" fillId="0" borderId="160" xfId="0" applyFont="1" applyFill="1" applyBorder="1" applyAlignment="1" applyProtection="1">
      <alignment horizontal="left"/>
      <protection locked="0"/>
    </xf>
    <xf numFmtId="0" fontId="21" fillId="0" borderId="219" xfId="0" applyFont="1" applyFill="1" applyBorder="1" applyAlignment="1" applyProtection="1">
      <alignment horizontal="left"/>
      <protection locked="0"/>
    </xf>
    <xf numFmtId="0" fontId="77" fillId="30" borderId="227" xfId="109" applyNumberFormat="1" applyFont="1" applyFill="1" applyBorder="1" applyAlignment="1">
      <alignment horizontal="center" vertical="center" wrapText="1"/>
    </xf>
    <xf numFmtId="0" fontId="21" fillId="0" borderId="215" xfId="0" applyFont="1" applyFill="1" applyBorder="1" applyAlignment="1" applyProtection="1">
      <alignment horizontal="left"/>
      <protection locked="0"/>
    </xf>
    <xf numFmtId="0" fontId="21" fillId="0" borderId="216" xfId="0" applyFont="1" applyFill="1" applyBorder="1" applyAlignment="1" applyProtection="1">
      <alignment horizontal="left"/>
      <protection locked="0"/>
    </xf>
    <xf numFmtId="0" fontId="21" fillId="0" borderId="217" xfId="0" applyFont="1" applyBorder="1" applyAlignment="1" applyProtection="1">
      <alignment horizontal="left"/>
      <protection locked="0"/>
    </xf>
    <xf numFmtId="0" fontId="99" fillId="30" borderId="222" xfId="0" applyFont="1" applyFill="1" applyBorder="1" applyAlignment="1">
      <alignment horizontal="center" vertical="center" textRotation="90"/>
    </xf>
    <xf numFmtId="0" fontId="0" fillId="30" borderId="97" xfId="0" applyFill="1" applyBorder="1" applyAlignment="1">
      <alignment horizontal="center" vertical="center" textRotation="90"/>
    </xf>
    <xf numFmtId="0" fontId="0" fillId="30" borderId="114" xfId="0" applyFill="1" applyBorder="1" applyAlignment="1">
      <alignment horizontal="center" vertical="center" textRotation="90"/>
    </xf>
    <xf numFmtId="0" fontId="21" fillId="0" borderId="160" xfId="0" applyFont="1" applyFill="1" applyBorder="1" applyAlignment="1" applyProtection="1">
      <alignment horizontal="left" vertical="center" wrapText="1"/>
      <protection locked="0"/>
    </xf>
    <xf numFmtId="0" fontId="21" fillId="0" borderId="219" xfId="0" applyFont="1" applyFill="1" applyBorder="1" applyAlignment="1" applyProtection="1">
      <alignment horizontal="left" vertical="center" wrapText="1"/>
      <protection locked="0"/>
    </xf>
    <xf numFmtId="0" fontId="21" fillId="0" borderId="223" xfId="0" applyFont="1" applyFill="1" applyBorder="1" applyAlignment="1" applyProtection="1">
      <alignment horizontal="left"/>
      <protection locked="0"/>
    </xf>
    <xf numFmtId="0" fontId="21" fillId="0" borderId="220" xfId="0" applyFont="1" applyFill="1" applyBorder="1" applyAlignment="1" applyProtection="1">
      <alignment horizontal="left"/>
      <protection locked="0"/>
    </xf>
    <xf numFmtId="0" fontId="21" fillId="0" borderId="236" xfId="0" applyFont="1" applyFill="1" applyBorder="1" applyAlignment="1" applyProtection="1">
      <alignment horizontal="left" vertical="top" wrapText="1"/>
      <protection locked="0"/>
    </xf>
    <xf numFmtId="0" fontId="21" fillId="0" borderId="237" xfId="0" applyFont="1" applyFill="1" applyBorder="1" applyAlignment="1" applyProtection="1">
      <alignment horizontal="left" vertical="top" wrapText="1"/>
      <protection locked="0"/>
    </xf>
    <xf numFmtId="0" fontId="21" fillId="0" borderId="238" xfId="0" applyFont="1" applyFill="1" applyBorder="1" applyAlignment="1" applyProtection="1">
      <alignment horizontal="left" vertical="top" wrapText="1"/>
      <protection locked="0"/>
    </xf>
    <xf numFmtId="0" fontId="21" fillId="0" borderId="231" xfId="0" applyFont="1" applyFill="1" applyBorder="1" applyAlignment="1" applyProtection="1">
      <alignment horizontal="left" vertical="top" wrapText="1"/>
      <protection locked="0"/>
    </xf>
    <xf numFmtId="0" fontId="21" fillId="0" borderId="195" xfId="0" applyFont="1" applyFill="1" applyBorder="1" applyAlignment="1" applyProtection="1">
      <alignment horizontal="left" vertical="top" wrapText="1"/>
      <protection locked="0"/>
    </xf>
    <xf numFmtId="0" fontId="21" fillId="0" borderId="239" xfId="0" applyFont="1" applyFill="1" applyBorder="1" applyAlignment="1" applyProtection="1">
      <alignment horizontal="left" vertical="top" wrapText="1"/>
      <protection locked="0"/>
    </xf>
    <xf numFmtId="0" fontId="33" fillId="0" borderId="0" xfId="0" applyFont="1" applyAlignment="1">
      <alignment horizontal="center"/>
    </xf>
    <xf numFmtId="0" fontId="21" fillId="0" borderId="221" xfId="0" applyFont="1" applyFill="1" applyBorder="1" applyAlignment="1" applyProtection="1">
      <alignment horizontal="left"/>
      <protection locked="0"/>
    </xf>
    <xf numFmtId="0" fontId="21" fillId="0" borderId="228" xfId="0" applyFont="1" applyFill="1" applyBorder="1" applyAlignment="1" applyProtection="1">
      <alignment horizontal="left" vertical="top" wrapText="1"/>
      <protection locked="0"/>
    </xf>
    <xf numFmtId="0" fontId="21" fillId="0" borderId="229" xfId="0" applyFont="1" applyFill="1" applyBorder="1" applyAlignment="1" applyProtection="1">
      <alignment horizontal="left" vertical="top" wrapText="1"/>
      <protection locked="0"/>
    </xf>
    <xf numFmtId="0" fontId="21" fillId="0" borderId="230" xfId="0" applyFont="1" applyFill="1" applyBorder="1" applyAlignment="1" applyProtection="1">
      <alignment horizontal="left" vertical="top" wrapText="1"/>
      <protection locked="0"/>
    </xf>
    <xf numFmtId="0" fontId="21" fillId="0" borderId="232" xfId="0" applyFont="1" applyFill="1" applyBorder="1" applyAlignment="1" applyProtection="1">
      <alignment horizontal="left" vertical="top" wrapText="1"/>
      <protection locked="0"/>
    </xf>
    <xf numFmtId="0" fontId="21" fillId="0" borderId="233" xfId="0" applyFont="1" applyFill="1" applyBorder="1" applyAlignment="1" applyProtection="1">
      <alignment horizontal="left"/>
      <protection locked="0"/>
    </xf>
    <xf numFmtId="0" fontId="21" fillId="0" borderId="234" xfId="0" applyFont="1" applyFill="1" applyBorder="1" applyAlignment="1" applyProtection="1">
      <alignment horizontal="left"/>
      <protection locked="0"/>
    </xf>
    <xf numFmtId="0" fontId="21" fillId="0" borderId="235" xfId="0" applyFont="1" applyFill="1" applyBorder="1" applyAlignment="1" applyProtection="1">
      <alignment horizontal="left"/>
      <protection locked="0"/>
    </xf>
    <xf numFmtId="0" fontId="21" fillId="0" borderId="234" xfId="0" applyFont="1" applyFill="1" applyBorder="1" applyAlignment="1" applyProtection="1">
      <alignment horizontal="left" vertical="center" wrapText="1"/>
      <protection locked="0"/>
    </xf>
    <xf numFmtId="0" fontId="21" fillId="0" borderId="235" xfId="0" applyFont="1" applyFill="1" applyBorder="1" applyAlignment="1" applyProtection="1">
      <alignment horizontal="left" vertical="center" wrapText="1"/>
      <protection locked="0"/>
    </xf>
    <xf numFmtId="0" fontId="21" fillId="0" borderId="223" xfId="0" applyFont="1" applyBorder="1" applyAlignment="1" applyProtection="1">
      <alignment horizontal="left"/>
      <protection locked="0"/>
    </xf>
    <xf numFmtId="166" fontId="17" fillId="41" borderId="0" xfId="81" applyFont="1" applyFill="1" applyAlignment="1">
      <alignment horizontal="center" vertical="center"/>
    </xf>
  </cellXfs>
  <cellStyles count="153">
    <cellStyle name="_TB_Calc_number" xfId="1"/>
    <cellStyle name="_TB_Calc_percent" xfId="2"/>
    <cellStyle name="_TB_def_number" xfId="3"/>
    <cellStyle name="_TB_def_percent" xfId="4"/>
    <cellStyle name="_TB_subtitle2" xfId="5"/>
    <cellStyle name="20% - Accent1" xfId="6"/>
    <cellStyle name="20% - Accent2" xfId="7"/>
    <cellStyle name="20% - Accent3" xfId="8"/>
    <cellStyle name="20% - Accent4" xfId="9"/>
    <cellStyle name="20% - Accent5" xfId="10"/>
    <cellStyle name="20% - Accent6" xfId="11"/>
    <cellStyle name="20% - Акцент1" xfId="12"/>
    <cellStyle name="20% - Акцент2" xfId="13"/>
    <cellStyle name="20% - Акцент3" xfId="14"/>
    <cellStyle name="20% - Акцент4" xfId="15"/>
    <cellStyle name="20% - Акцент5" xfId="16"/>
    <cellStyle name="20% - Акцент6" xfId="17"/>
    <cellStyle name="40% - Accent1" xfId="18"/>
    <cellStyle name="40% - Accent2" xfId="19"/>
    <cellStyle name="40% - Accent3" xfId="20"/>
    <cellStyle name="40% - Accent4" xfId="21"/>
    <cellStyle name="40% - Accent5" xfId="22"/>
    <cellStyle name="40% - Accent6" xfId="23"/>
    <cellStyle name="40% - Акцент1" xfId="24"/>
    <cellStyle name="40% - Акцент2" xfId="25"/>
    <cellStyle name="40% - Акцент3" xfId="26"/>
    <cellStyle name="40% - Акцент4" xfId="27"/>
    <cellStyle name="40% - Акцент5" xfId="28"/>
    <cellStyle name="40% - Акцент6" xfId="29"/>
    <cellStyle name="60% - Accent1" xfId="30"/>
    <cellStyle name="60% - Accent2" xfId="31"/>
    <cellStyle name="60% - Accent3" xfId="32"/>
    <cellStyle name="60% - Accent4" xfId="33"/>
    <cellStyle name="60% - Accent5" xfId="34"/>
    <cellStyle name="60% - Accent6" xfId="35"/>
    <cellStyle name="60% - Акцент1" xfId="36"/>
    <cellStyle name="60% - Акцент2" xfId="37"/>
    <cellStyle name="60% - Акцент3" xfId="38"/>
    <cellStyle name="60% - Акцент4" xfId="39"/>
    <cellStyle name="60% - Акцент5" xfId="40"/>
    <cellStyle name="60% - Акцент6" xfId="41"/>
    <cellStyle name="Accent1" xfId="42"/>
    <cellStyle name="Accent2" xfId="43"/>
    <cellStyle name="Accent3" xfId="44"/>
    <cellStyle name="Accent4" xfId="45"/>
    <cellStyle name="Accent5" xfId="46"/>
    <cellStyle name="Accent6" xfId="47"/>
    <cellStyle name="Bad" xfId="48"/>
    <cellStyle name="Calculation" xfId="49"/>
    <cellStyle name="Check Cell" xfId="50"/>
    <cellStyle name="Comma" xfId="51" builtinId="3"/>
    <cellStyle name="Comma 2" xfId="52"/>
    <cellStyle name="Comma 2 2" xfId="53"/>
    <cellStyle name="Comma 2 3" xfId="54"/>
    <cellStyle name="Comma 3" xfId="55"/>
    <cellStyle name="Comma 3 2" xfId="56"/>
    <cellStyle name="Comma 4" xfId="57"/>
    <cellStyle name="Comma 5" xfId="58"/>
    <cellStyle name="Comma 5 2" xfId="59"/>
    <cellStyle name="Comma 6" xfId="60"/>
    <cellStyle name="Comma 6 2" xfId="61"/>
    <cellStyle name="Comma 7" xfId="62"/>
    <cellStyle name="Comma 8" xfId="63"/>
    <cellStyle name="Currency 2" xfId="64"/>
    <cellStyle name="Currency 3" xfId="65"/>
    <cellStyle name="Euro" xfId="66"/>
    <cellStyle name="Explanatory Text" xfId="67"/>
    <cellStyle name="Followed Hyperlink" xfId="150" builtinId="9" hidden="1"/>
    <cellStyle name="Followed Hyperlink" xfId="152" builtinId="9" hidden="1"/>
    <cellStyle name="Good" xfId="68"/>
    <cellStyle name="Heading 1" xfId="69"/>
    <cellStyle name="Heading 2" xfId="70"/>
    <cellStyle name="Heading 3" xfId="71"/>
    <cellStyle name="Heading 4" xfId="72"/>
    <cellStyle name="Hyperlink" xfId="149" builtinId="8" hidden="1"/>
    <cellStyle name="Hyperlink" xfId="151" builtinId="8" hidden="1"/>
    <cellStyle name="Hyperlink 2" xfId="73"/>
    <cellStyle name="Hyperlink 3" xfId="74"/>
    <cellStyle name="Input" xfId="75"/>
    <cellStyle name="Linked Cell" xfId="76"/>
    <cellStyle name="Millares 2" xfId="77"/>
    <cellStyle name="Normal" xfId="0" builtinId="0"/>
    <cellStyle name="Normal 10" xfId="78"/>
    <cellStyle name="Normal 11" xfId="79"/>
    <cellStyle name="Normal 12" xfId="80"/>
    <cellStyle name="Normal 2" xfId="81"/>
    <cellStyle name="Normal 2 2" xfId="82"/>
    <cellStyle name="Normal 2 2 2" xfId="83"/>
    <cellStyle name="Normal 2 3" xfId="84"/>
    <cellStyle name="Normal 2 3 2" xfId="85"/>
    <cellStyle name="Normal 2 4" xfId="86"/>
    <cellStyle name="Normal 2 4 2" xfId="87"/>
    <cellStyle name="Normal 2 5" xfId="88"/>
    <cellStyle name="Normal 2 6" xfId="89"/>
    <cellStyle name="Normal 2 7" xfId="90"/>
    <cellStyle name="Normal 2 8" xfId="91"/>
    <cellStyle name="Normal 2_Dashboard ver 2.2 ES" xfId="92"/>
    <cellStyle name="Normal 2_Prototipo" xfId="93"/>
    <cellStyle name="Normal 3" xfId="94"/>
    <cellStyle name="Normal 3 2" xfId="95"/>
    <cellStyle name="Normal 3 3" xfId="96"/>
    <cellStyle name="Normal 4" xfId="97"/>
    <cellStyle name="Normal 4 2" xfId="98"/>
    <cellStyle name="Normal 5" xfId="99"/>
    <cellStyle name="Normal 5 2" xfId="100"/>
    <cellStyle name="Normal 5 3" xfId="101"/>
    <cellStyle name="Normal 5 4" xfId="102"/>
    <cellStyle name="Normal 6" xfId="103"/>
    <cellStyle name="Normal 6 2" xfId="104"/>
    <cellStyle name="Normal 7 2" xfId="105"/>
    <cellStyle name="Normal 7 3" xfId="106"/>
    <cellStyle name="Normal 8 2" xfId="107"/>
    <cellStyle name="Normal 9" xfId="108"/>
    <cellStyle name="Normal_TZ_R3HIV_Phase_2_21_August_08" xfId="109"/>
    <cellStyle name="Note" xfId="110"/>
    <cellStyle name="Output" xfId="111"/>
    <cellStyle name="Percent" xfId="112" builtinId="5"/>
    <cellStyle name="Percent 2" xfId="113"/>
    <cellStyle name="Percent 3" xfId="114"/>
    <cellStyle name="Percent 4" xfId="115"/>
    <cellStyle name="Title" xfId="116"/>
    <cellStyle name="Título 3 3" xfId="117"/>
    <cellStyle name="Título 3 3_Prototipo" xfId="118"/>
    <cellStyle name="Título 3 3_PrototipoRep1" xfId="119"/>
    <cellStyle name="Título 3 7" xfId="120"/>
    <cellStyle name="Warning Text" xfId="121"/>
    <cellStyle name="Акцент1" xfId="122"/>
    <cellStyle name="Акцент2" xfId="123"/>
    <cellStyle name="Акцент3" xfId="124"/>
    <cellStyle name="Акцент4" xfId="125"/>
    <cellStyle name="Акцент5" xfId="126"/>
    <cellStyle name="Акцент6" xfId="127"/>
    <cellStyle name="Ввод " xfId="128"/>
    <cellStyle name="Вывод" xfId="129"/>
    <cellStyle name="Вычисление" xfId="130"/>
    <cellStyle name="Заголовок 1" xfId="131"/>
    <cellStyle name="Заголовок 2" xfId="132"/>
    <cellStyle name="Заголовок 3" xfId="133"/>
    <cellStyle name="Заголовок 4" xfId="134"/>
    <cellStyle name="Итог" xfId="135"/>
    <cellStyle name="Контрольная ячейка" xfId="136"/>
    <cellStyle name="Название" xfId="137"/>
    <cellStyle name="Нейтральный" xfId="138"/>
    <cellStyle name="Обычный 2" xfId="139"/>
    <cellStyle name="Обычный 3" xfId="140"/>
    <cellStyle name="Обычный_Книга1" xfId="141"/>
    <cellStyle name="Плохой" xfId="142"/>
    <cellStyle name="Пояснение" xfId="143"/>
    <cellStyle name="Примечание" xfId="144"/>
    <cellStyle name="Связанная ячейка" xfId="145"/>
    <cellStyle name="Текст предупреждения" xfId="146"/>
    <cellStyle name="Финансовый_AZE budget templates 21 May" xfId="147"/>
    <cellStyle name="Хороший" xfId="148"/>
  </cellStyles>
  <dxfs count="43">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42"/>
        </patternFill>
      </fill>
    </dxf>
    <dxf>
      <fill>
        <patternFill>
          <bgColor indexed="42"/>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9"/>
          <c:y val="5.2401746724890799E-2"/>
          <c:w val="0.80996068152031397"/>
          <c:h val="0.64192139737991305"/>
        </c:manualLayout>
      </c:layout>
      <c:barChart>
        <c:barDir val="col"/>
        <c:grouping val="clustered"/>
        <c:varyColors val="0"/>
        <c:ser>
          <c:idx val="0"/>
          <c:order val="0"/>
          <c:tx>
            <c:strRef>
              <c:f>'Data Entry'!$B$33</c:f>
              <c:strCache>
                <c:ptCount val="1"/>
                <c:pt idx="0">
                  <c:v>Cumulative budget</c:v>
                </c:pt>
              </c:strCache>
            </c:strRef>
          </c:tx>
          <c:spPr>
            <a:solidFill>
              <a:srgbClr val="993366"/>
            </a:solidFill>
            <a:ln w="3175">
              <a:solidFill>
                <a:srgbClr val="000000"/>
              </a:solidFill>
              <a:prstDash val="solid"/>
            </a:ln>
            <a:effectLst>
              <a:outerShdw dist="35921" dir="2700000" algn="br">
                <a:srgbClr val="000000"/>
              </a:outerShdw>
            </a:effectLst>
          </c:spPr>
          <c:invertIfNegative val="0"/>
          <c:val>
            <c:numRef>
              <c:f>'Data Entry'!$C$33:$N$33</c:f>
              <c:numCache>
                <c:formatCode>#,##0</c:formatCode>
                <c:ptCount val="12"/>
                <c:pt idx="0">
                  <c:v>921623.07000000007</c:v>
                </c:pt>
                <c:pt idx="1">
                  <c:v>1347642.61</c:v>
                </c:pt>
                <c:pt idx="2">
                  <c:v>4270045.2</c:v>
                </c:pt>
                <c:pt idx="3">
                  <c:v>4789702.1500000004</c:v>
                </c:pt>
                <c:pt idx="4">
                  <c:v>8274041.8300000001</c:v>
                </c:pt>
                <c:pt idx="5">
                  <c:v>8548696.8300000001</c:v>
                </c:pt>
                <c:pt idx="6">
                  <c:v>8858606.8300000001</c:v>
                </c:pt>
                <c:pt idx="7">
                  <c:v>9290105.8300000001</c:v>
                </c:pt>
                <c:pt idx="8">
                  <c:v>11182991.83</c:v>
                </c:pt>
                <c:pt idx="9">
                  <c:v>0</c:v>
                </c:pt>
                <c:pt idx="10">
                  <c:v>0</c:v>
                </c:pt>
                <c:pt idx="11">
                  <c:v>0</c:v>
                </c:pt>
              </c:numCache>
            </c:numRef>
          </c:val>
          <c:extLst xmlns:c16r2="http://schemas.microsoft.com/office/drawing/2015/06/chart">
            <c:ext xmlns:c16="http://schemas.microsoft.com/office/drawing/2014/chart" uri="{C3380CC4-5D6E-409C-BE32-E72D297353CC}">
              <c16:uniqueId val="{00000000-2EDE-45CC-B2A8-F11083D5D0D4}"/>
            </c:ext>
          </c:extLst>
        </c:ser>
        <c:ser>
          <c:idx val="1"/>
          <c:order val="1"/>
          <c:tx>
            <c:strRef>
              <c:f>'Data Entry'!$B$34</c:f>
              <c:strCache>
                <c:ptCount val="1"/>
                <c:pt idx="0">
                  <c:v>Cumulative disbursements</c:v>
                </c:pt>
              </c:strCache>
            </c:strRef>
          </c:tx>
          <c:spPr>
            <a:solidFill>
              <a:srgbClr val="0070C0"/>
            </a:solidFill>
            <a:ln w="3175">
              <a:solidFill>
                <a:srgbClr val="000000"/>
              </a:solidFill>
              <a:prstDash val="solid"/>
            </a:ln>
            <a:effectLst>
              <a:outerShdw dist="35921" dir="2700000" algn="br">
                <a:srgbClr val="000000"/>
              </a:outerShdw>
            </a:effectLst>
          </c:spPr>
          <c:invertIfNegative val="0"/>
          <c:val>
            <c:numRef>
              <c:f>'Data Entry'!$C$34:$N$34</c:f>
              <c:numCache>
                <c:formatCode>#,##0</c:formatCode>
                <c:ptCount val="12"/>
                <c:pt idx="0">
                  <c:v>691821</c:v>
                </c:pt>
                <c:pt idx="1">
                  <c:v>1393192</c:v>
                </c:pt>
                <c:pt idx="2">
                  <c:v>3784655</c:v>
                </c:pt>
                <c:pt idx="3">
                  <c:v>3784655</c:v>
                </c:pt>
                <c:pt idx="4">
                  <c:v>3828649.7</c:v>
                </c:pt>
                <c:pt idx="5">
                  <c:v>3828649.7</c:v>
                </c:pt>
                <c:pt idx="6">
                  <c:v>5197547.1400000006</c:v>
                </c:pt>
                <c:pt idx="7">
                  <c:v>7215160.040000001</c:v>
                </c:pt>
                <c:pt idx="8">
                  <c:v>7215160.040000001</c:v>
                </c:pt>
                <c:pt idx="9">
                  <c:v>0</c:v>
                </c:pt>
                <c:pt idx="10">
                  <c:v>0</c:v>
                </c:pt>
                <c:pt idx="11">
                  <c:v>0</c:v>
                </c:pt>
              </c:numCache>
            </c:numRef>
          </c:val>
          <c:extLst xmlns:c16r2="http://schemas.microsoft.com/office/drawing/2015/06/chart">
            <c:ext xmlns:c16="http://schemas.microsoft.com/office/drawing/2014/chart" uri="{C3380CC4-5D6E-409C-BE32-E72D297353CC}">
              <c16:uniqueId val="{00000001-2EDE-45CC-B2A8-F11083D5D0D4}"/>
            </c:ext>
          </c:extLst>
        </c:ser>
        <c:dLbls>
          <c:showLegendKey val="0"/>
          <c:showVal val="0"/>
          <c:showCatName val="0"/>
          <c:showSerName val="0"/>
          <c:showPercent val="0"/>
          <c:showBubbleSize val="0"/>
        </c:dLbls>
        <c:gapWidth val="70"/>
        <c:axId val="15045632"/>
        <c:axId val="16023552"/>
      </c:barChart>
      <c:catAx>
        <c:axId val="15045632"/>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en-US"/>
                  <a:t>Reporting Period</a:t>
                </a:r>
              </a:p>
            </c:rich>
          </c:tx>
          <c:layout>
            <c:manualLayout>
              <c:xMode val="edge"/>
              <c:yMode val="edge"/>
              <c:x val="0.48066290143051499"/>
              <c:y val="0.786956412107875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en-US"/>
          </a:p>
        </c:txPr>
        <c:crossAx val="16023552"/>
        <c:crosses val="autoZero"/>
        <c:auto val="1"/>
        <c:lblAlgn val="ctr"/>
        <c:lblOffset val="100"/>
        <c:tickLblSkip val="1"/>
        <c:tickMarkSkip val="1"/>
        <c:noMultiLvlLbl val="0"/>
      </c:catAx>
      <c:valAx>
        <c:axId val="1602355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15045632"/>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675" b="0" i="0" u="none" strike="noStrike" baseline="0">
                <a:solidFill>
                  <a:srgbClr val="000000"/>
                </a:solidFill>
                <a:latin typeface="Arial"/>
                <a:ea typeface="Arial"/>
                <a:cs typeface="Arial"/>
              </a:defRPr>
            </a:pPr>
            <a:endParaRPr lang="en-US"/>
          </a:p>
        </c:txPr>
      </c:legendEntry>
      <c:legendEntry>
        <c:idx val="1"/>
        <c:txPr>
          <a:bodyPr/>
          <a:lstStyle/>
          <a:p>
            <a:pPr>
              <a:defRPr sz="675" b="0" i="0" u="none" strike="noStrike" baseline="0">
                <a:solidFill>
                  <a:srgbClr val="000000"/>
                </a:solidFill>
                <a:latin typeface="Arial"/>
                <a:ea typeface="Arial"/>
                <a:cs typeface="Arial"/>
              </a:defRPr>
            </a:pPr>
            <a:endParaRPr lang="en-US"/>
          </a:p>
        </c:txPr>
      </c:legendEntry>
      <c:layout>
        <c:manualLayout>
          <c:xMode val="edge"/>
          <c:yMode val="edge"/>
          <c:x val="7.8536504926412995E-2"/>
          <c:y val="0.86029364233400996"/>
          <c:w val="0.845576672025944"/>
          <c:h val="0.10480716111359401"/>
        </c:manualLayout>
      </c:layout>
      <c:overlay val="0"/>
      <c:spPr>
        <a:solidFill>
          <a:srgbClr val="FFFFFF"/>
        </a:solidFill>
        <a:ln w="3175">
          <a:solidFill>
            <a:srgbClr val="000000"/>
          </a:solidFill>
          <a:prstDash val="solid"/>
        </a:ln>
      </c:spPr>
      <c:txPr>
        <a:bodyPr/>
        <a:lstStyle/>
        <a:p>
          <a:pPr>
            <a:defRPr sz="48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Entry'!$G$122</c:f>
              <c:strCache>
                <c:ptCount val="1"/>
                <c:pt idx="0">
                  <c:v>Target</c:v>
                </c:pt>
              </c:strCache>
            </c:strRef>
          </c:tx>
          <c:spPr>
            <a:solidFill>
              <a:srgbClr val="0066CC"/>
            </a:solidFill>
            <a:ln w="25400">
              <a:noFill/>
            </a:ln>
          </c:spPr>
          <c:invertIfNegative val="0"/>
          <c:val>
            <c:numRef>
              <c:f>'Data Entry'!$H$122:$S$122</c:f>
              <c:numCache>
                <c:formatCode>#,##0</c:formatCode>
                <c:ptCount val="12"/>
                <c:pt idx="0">
                  <c:v>1018</c:v>
                </c:pt>
                <c:pt idx="1">
                  <c:v>1018</c:v>
                </c:pt>
                <c:pt idx="2">
                  <c:v>1017</c:v>
                </c:pt>
                <c:pt idx="3">
                  <c:v>1016</c:v>
                </c:pt>
                <c:pt idx="4">
                  <c:v>2032</c:v>
                </c:pt>
                <c:pt idx="5">
                  <c:v>1016</c:v>
                </c:pt>
                <c:pt idx="6">
                  <c:v>4063</c:v>
                </c:pt>
                <c:pt idx="7">
                  <c:v>1014</c:v>
                </c:pt>
                <c:pt idx="8">
                  <c:v>1014</c:v>
                </c:pt>
              </c:numCache>
            </c:numRef>
          </c:val>
          <c:extLst xmlns:c16r2="http://schemas.microsoft.com/office/drawing/2015/06/chart">
            <c:ext xmlns:c16="http://schemas.microsoft.com/office/drawing/2014/chart" uri="{C3380CC4-5D6E-409C-BE32-E72D297353CC}">
              <c16:uniqueId val="{00000000-8B8C-4178-9908-32382413E02E}"/>
            </c:ext>
          </c:extLst>
        </c:ser>
        <c:ser>
          <c:idx val="1"/>
          <c:order val="1"/>
          <c:tx>
            <c:strRef>
              <c:f>'Data Entry'!$G$123</c:f>
              <c:strCache>
                <c:ptCount val="1"/>
                <c:pt idx="0">
                  <c:v>Achieved </c:v>
                </c:pt>
              </c:strCache>
            </c:strRef>
          </c:tx>
          <c:spPr>
            <a:solidFill>
              <a:srgbClr val="00CCFF"/>
            </a:solidFill>
            <a:ln w="12700">
              <a:solidFill>
                <a:srgbClr val="000000"/>
              </a:solidFill>
              <a:prstDash val="solid"/>
            </a:ln>
          </c:spPr>
          <c:invertIfNegative val="0"/>
          <c:val>
            <c:numRef>
              <c:f>'Data Entry'!$H$123:$S$123</c:f>
              <c:numCache>
                <c:formatCode>#,##0</c:formatCode>
                <c:ptCount val="12"/>
                <c:pt idx="0">
                  <c:v>702</c:v>
                </c:pt>
                <c:pt idx="1">
                  <c:v>646</c:v>
                </c:pt>
                <c:pt idx="2">
                  <c:v>784</c:v>
                </c:pt>
                <c:pt idx="3">
                  <c:v>757</c:v>
                </c:pt>
                <c:pt idx="4">
                  <c:v>1676</c:v>
                </c:pt>
                <c:pt idx="5">
                  <c:v>701</c:v>
                </c:pt>
                <c:pt idx="6">
                  <c:v>3136</c:v>
                </c:pt>
                <c:pt idx="7">
                  <c:v>761</c:v>
                </c:pt>
                <c:pt idx="8">
                  <c:v>796</c:v>
                </c:pt>
              </c:numCache>
            </c:numRef>
          </c:val>
          <c:extLst xmlns:c16r2="http://schemas.microsoft.com/office/drawing/2015/06/chart">
            <c:ext xmlns:c16="http://schemas.microsoft.com/office/drawing/2014/chart" uri="{C3380CC4-5D6E-409C-BE32-E72D297353CC}">
              <c16:uniqueId val="{00000001-8B8C-4178-9908-32382413E02E}"/>
            </c:ext>
          </c:extLst>
        </c:ser>
        <c:dLbls>
          <c:showLegendKey val="0"/>
          <c:showVal val="0"/>
          <c:showCatName val="0"/>
          <c:showSerName val="0"/>
          <c:showPercent val="0"/>
          <c:showBubbleSize val="0"/>
        </c:dLbls>
        <c:gapWidth val="150"/>
        <c:axId val="194426368"/>
        <c:axId val="201806336"/>
      </c:barChart>
      <c:catAx>
        <c:axId val="194426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201806336"/>
        <c:crosses val="autoZero"/>
        <c:auto val="1"/>
        <c:lblAlgn val="ctr"/>
        <c:lblOffset val="100"/>
        <c:tickLblSkip val="1"/>
        <c:tickMarkSkip val="1"/>
        <c:noMultiLvlLbl val="0"/>
      </c:catAx>
      <c:valAx>
        <c:axId val="201806336"/>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94426368"/>
        <c:crosses val="autoZero"/>
        <c:crossBetween val="between"/>
      </c:valAx>
      <c:spPr>
        <a:noFill/>
        <a:ln w="25400">
          <a:noFill/>
        </a:ln>
      </c:spPr>
    </c:plotArea>
    <c:legend>
      <c:legendPos val="r"/>
      <c:layout>
        <c:manualLayout>
          <c:xMode val="edge"/>
          <c:yMode val="edge"/>
          <c:x val="0.1433614154874"/>
          <c:y val="0.89531544159074405"/>
          <c:w val="0.56295541728612597"/>
          <c:h val="7.3300627997416601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Entry'!$G$118</c:f>
              <c:strCache>
                <c:ptCount val="1"/>
                <c:pt idx="0">
                  <c:v>Target</c:v>
                </c:pt>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Entry'!$H$118:$S$118</c:f>
              <c:numCache>
                <c:formatCode>#,##0</c:formatCode>
                <c:ptCount val="12"/>
                <c:pt idx="0" formatCode="0.00">
                  <c:v>63</c:v>
                </c:pt>
                <c:pt idx="1">
                  <c:v>65</c:v>
                </c:pt>
                <c:pt idx="2">
                  <c:v>65</c:v>
                </c:pt>
                <c:pt idx="3">
                  <c:v>75</c:v>
                </c:pt>
                <c:pt idx="4">
                  <c:v>75</c:v>
                </c:pt>
                <c:pt idx="5">
                  <c:v>75</c:v>
                </c:pt>
                <c:pt idx="6">
                  <c:v>75</c:v>
                </c:pt>
                <c:pt idx="7">
                  <c:v>75</c:v>
                </c:pt>
                <c:pt idx="8">
                  <c:v>75</c:v>
                </c:pt>
              </c:numCache>
            </c:numRef>
          </c:val>
          <c:extLst xmlns:c16r2="http://schemas.microsoft.com/office/drawing/2015/06/chart">
            <c:ext xmlns:c16="http://schemas.microsoft.com/office/drawing/2014/chart" uri="{C3380CC4-5D6E-409C-BE32-E72D297353CC}">
              <c16:uniqueId val="{00000000-BC80-4E29-8DEA-6873B50E4CE2}"/>
            </c:ext>
          </c:extLst>
        </c:ser>
        <c:ser>
          <c:idx val="1"/>
          <c:order val="1"/>
          <c:tx>
            <c:strRef>
              <c:f>'Data Entry'!$G$119</c:f>
              <c:strCache>
                <c:ptCount val="1"/>
                <c:pt idx="0">
                  <c:v>Achieved </c:v>
                </c:pt>
              </c:strCache>
            </c:strRef>
          </c:tx>
          <c:spPr>
            <a:solidFill>
              <a:srgbClr val="00CCFF"/>
            </a:solidFill>
            <a:ln w="12700">
              <a:solidFill>
                <a:srgbClr val="000000"/>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Entry'!$H$119:$S$119</c:f>
              <c:numCache>
                <c:formatCode>#,##0</c:formatCode>
                <c:ptCount val="12"/>
                <c:pt idx="0">
                  <c:v>113</c:v>
                </c:pt>
                <c:pt idx="1">
                  <c:v>108</c:v>
                </c:pt>
                <c:pt idx="2">
                  <c:v>63</c:v>
                </c:pt>
                <c:pt idx="3">
                  <c:v>66</c:v>
                </c:pt>
                <c:pt idx="4">
                  <c:v>82</c:v>
                </c:pt>
                <c:pt idx="5">
                  <c:v>82</c:v>
                </c:pt>
                <c:pt idx="6">
                  <c:v>88</c:v>
                </c:pt>
                <c:pt idx="7">
                  <c:v>91</c:v>
                </c:pt>
                <c:pt idx="8">
                  <c:v>89</c:v>
                </c:pt>
              </c:numCache>
            </c:numRef>
          </c:val>
          <c:extLst xmlns:c16r2="http://schemas.microsoft.com/office/drawing/2015/06/chart">
            <c:ext xmlns:c16="http://schemas.microsoft.com/office/drawing/2014/chart" uri="{C3380CC4-5D6E-409C-BE32-E72D297353CC}">
              <c16:uniqueId val="{00000001-BC80-4E29-8DEA-6873B50E4CE2}"/>
            </c:ext>
          </c:extLst>
        </c:ser>
        <c:dLbls>
          <c:showLegendKey val="0"/>
          <c:showVal val="0"/>
          <c:showCatName val="0"/>
          <c:showSerName val="0"/>
          <c:showPercent val="0"/>
          <c:showBubbleSize val="0"/>
        </c:dLbls>
        <c:gapWidth val="150"/>
        <c:axId val="194338816"/>
        <c:axId val="201808064"/>
      </c:barChart>
      <c:catAx>
        <c:axId val="194338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201808064"/>
        <c:crosses val="autoZero"/>
        <c:auto val="1"/>
        <c:lblAlgn val="ctr"/>
        <c:lblOffset val="100"/>
        <c:tickLblSkip val="1"/>
        <c:tickMarkSkip val="1"/>
        <c:noMultiLvlLbl val="0"/>
      </c:catAx>
      <c:valAx>
        <c:axId val="201808064"/>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94338816"/>
        <c:crosses val="autoZero"/>
        <c:crossBetween val="between"/>
      </c:valAx>
      <c:spPr>
        <a:noFill/>
        <a:ln w="25400">
          <a:noFill/>
        </a:ln>
      </c:spPr>
    </c:plotArea>
    <c:legend>
      <c:legendPos val="r"/>
      <c:layout>
        <c:manualLayout>
          <c:xMode val="edge"/>
          <c:yMode val="edge"/>
          <c:x val="0.15790026246719199"/>
          <c:y val="0.88778402699662595"/>
          <c:w val="0.56493143620205399"/>
          <c:h val="7.1430714017890598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Disbursements to PR</a:t>
            </a:r>
          </a:p>
        </c:rich>
      </c:tx>
      <c:overlay val="0"/>
      <c:spPr>
        <a:noFill/>
        <a:ln w="25400">
          <a:noFill/>
        </a:ln>
      </c:spPr>
    </c:title>
    <c:autoTitleDeleted val="0"/>
    <c:plotArea>
      <c:layout/>
      <c:areaChart>
        <c:grouping val="standard"/>
        <c:varyColors val="0"/>
        <c:ser>
          <c:idx val="0"/>
          <c:order val="0"/>
          <c:tx>
            <c:strRef>
              <c:f>'Data Entry'!$B$33</c:f>
              <c:strCache>
                <c:ptCount val="1"/>
                <c:pt idx="0">
                  <c:v>Cumulative budget</c:v>
                </c:pt>
              </c:strCache>
            </c:strRef>
          </c:tx>
          <c:spPr>
            <a:solidFill>
              <a:srgbClr val="339966"/>
            </a:solidFill>
            <a:ln w="12700">
              <a:solidFill>
                <a:srgbClr val="0000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Entry'!$C$33:$M$33</c:f>
              <c:numCache>
                <c:formatCode>#,##0</c:formatCode>
                <c:ptCount val="11"/>
                <c:pt idx="0">
                  <c:v>921623.07000000007</c:v>
                </c:pt>
                <c:pt idx="1">
                  <c:v>1347642.61</c:v>
                </c:pt>
                <c:pt idx="2">
                  <c:v>4270045.2</c:v>
                </c:pt>
                <c:pt idx="3">
                  <c:v>4789702.1500000004</c:v>
                </c:pt>
                <c:pt idx="4">
                  <c:v>8274041.8300000001</c:v>
                </c:pt>
                <c:pt idx="5">
                  <c:v>8548696.8300000001</c:v>
                </c:pt>
                <c:pt idx="6">
                  <c:v>8858606.8300000001</c:v>
                </c:pt>
                <c:pt idx="7">
                  <c:v>9290105.8300000001</c:v>
                </c:pt>
                <c:pt idx="8">
                  <c:v>11182991.83</c:v>
                </c:pt>
                <c:pt idx="9">
                  <c:v>0</c:v>
                </c:pt>
                <c:pt idx="10">
                  <c:v>0</c:v>
                </c:pt>
              </c:numCache>
            </c:numRef>
          </c:val>
          <c:extLst xmlns:c16r2="http://schemas.microsoft.com/office/drawing/2015/06/chart">
            <c:ext xmlns:c16="http://schemas.microsoft.com/office/drawing/2014/chart" uri="{C3380CC4-5D6E-409C-BE32-E72D297353CC}">
              <c16:uniqueId val="{00000000-E05E-4726-AFD9-11E55C5D3683}"/>
            </c:ext>
          </c:extLst>
        </c:ser>
        <c:ser>
          <c:idx val="1"/>
          <c:order val="1"/>
          <c:tx>
            <c:strRef>
              <c:f>'Data Entry'!$B$34</c:f>
              <c:strCache>
                <c:ptCount val="1"/>
                <c:pt idx="0">
                  <c:v>Cumulative disbursements</c:v>
                </c:pt>
              </c:strCache>
            </c:strRef>
          </c:tx>
          <c:spPr>
            <a:gradFill rotWithShape="0">
              <a:gsLst>
                <a:gs pos="0">
                  <a:srgbClr val="CCFFCC"/>
                </a:gs>
                <a:gs pos="100000">
                  <a:srgbClr val="E3FFE3"/>
                </a:gs>
              </a:gsLst>
              <a:lin ang="5400000" scaled="1"/>
            </a:gradFill>
            <a:ln w="12700">
              <a:solidFill>
                <a:srgbClr val="FFCC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Entry'!$C$34:$M$34</c:f>
              <c:numCache>
                <c:formatCode>#,##0</c:formatCode>
                <c:ptCount val="11"/>
                <c:pt idx="0">
                  <c:v>691821</c:v>
                </c:pt>
                <c:pt idx="1">
                  <c:v>1393192</c:v>
                </c:pt>
                <c:pt idx="2">
                  <c:v>3784655</c:v>
                </c:pt>
                <c:pt idx="3">
                  <c:v>3784655</c:v>
                </c:pt>
                <c:pt idx="4">
                  <c:v>3828649.7</c:v>
                </c:pt>
                <c:pt idx="5">
                  <c:v>3828649.7</c:v>
                </c:pt>
                <c:pt idx="6">
                  <c:v>5197547.1400000006</c:v>
                </c:pt>
                <c:pt idx="7">
                  <c:v>7215160.040000001</c:v>
                </c:pt>
                <c:pt idx="8">
                  <c:v>7215160.040000001</c:v>
                </c:pt>
                <c:pt idx="9">
                  <c:v>0</c:v>
                </c:pt>
                <c:pt idx="10">
                  <c:v>0</c:v>
                </c:pt>
              </c:numCache>
            </c:numRef>
          </c:val>
          <c:extLst xmlns:c16r2="http://schemas.microsoft.com/office/drawing/2015/06/chart">
            <c:ext xmlns:c16="http://schemas.microsoft.com/office/drawing/2014/chart" uri="{C3380CC4-5D6E-409C-BE32-E72D297353CC}">
              <c16:uniqueId val="{00000001-E05E-4726-AFD9-11E55C5D3683}"/>
            </c:ext>
          </c:extLst>
        </c:ser>
        <c:dLbls>
          <c:showLegendKey val="0"/>
          <c:showVal val="0"/>
          <c:showCatName val="0"/>
          <c:showSerName val="0"/>
          <c:showPercent val="0"/>
          <c:showBubbleSize val="0"/>
        </c:dLbls>
        <c:dropLines>
          <c:spPr>
            <a:ln w="3175">
              <a:solidFill>
                <a:srgbClr val="000000"/>
              </a:solidFill>
              <a:prstDash val="solid"/>
            </a:ln>
          </c:spPr>
        </c:dropLines>
        <c:axId val="201917440"/>
        <c:axId val="201687616"/>
      </c:areaChart>
      <c:catAx>
        <c:axId val="201917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US"/>
          </a:p>
        </c:txPr>
        <c:crossAx val="201687616"/>
        <c:crosses val="autoZero"/>
        <c:auto val="1"/>
        <c:lblAlgn val="ctr"/>
        <c:lblOffset val="100"/>
        <c:tickLblSkip val="8"/>
        <c:tickMarkSkip val="1"/>
        <c:noMultiLvlLbl val="0"/>
      </c:catAx>
      <c:valAx>
        <c:axId val="201687616"/>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01917440"/>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99"/>
          <c:y val="7.5694015811474599E-2"/>
          <c:w val="0.74366824572258605"/>
          <c:h val="0.58032078788797203"/>
        </c:manualLayout>
      </c:layout>
      <c:barChart>
        <c:barDir val="col"/>
        <c:grouping val="stacked"/>
        <c:varyColors val="0"/>
        <c:ser>
          <c:idx val="0"/>
          <c:order val="0"/>
          <c:spPr>
            <a:solidFill>
              <a:srgbClr val="376092"/>
            </a:solidFill>
            <a:ln w="3175">
              <a:solidFill>
                <a:srgbClr val="000000"/>
              </a:solidFill>
              <a:prstDash val="solid"/>
            </a:ln>
            <a:effectLst>
              <a:outerShdw dist="35921" dir="2700000" algn="br">
                <a:srgbClr val="000000"/>
              </a:outerShdw>
            </a:effectLst>
          </c:spPr>
          <c:invertIfNegative val="0"/>
          <c:cat>
            <c:strRef>
              <c:f>'Data Entry'!$B$52:$B$55</c:f>
              <c:strCache>
                <c:ptCount val="4"/>
                <c:pt idx="0">
                  <c:v>Disbursed by Global Fund</c:v>
                </c:pt>
                <c:pt idx="1">
                  <c:v>PR expenditure and disbursement</c:v>
                </c:pt>
                <c:pt idx="2">
                  <c:v>Disbursed to SRs</c:v>
                </c:pt>
                <c:pt idx="3">
                  <c:v>SR expenditures</c:v>
                </c:pt>
              </c:strCache>
            </c:strRef>
          </c:cat>
          <c:val>
            <c:numRef>
              <c:f>'Data Entry'!$C$52:$C$55</c:f>
              <c:numCache>
                <c:formatCode>#,##0</c:formatCode>
                <c:ptCount val="4"/>
                <c:pt idx="0">
                  <c:v>7215160.3399999999</c:v>
                </c:pt>
                <c:pt idx="1">
                  <c:v>5168084.2159741698</c:v>
                </c:pt>
                <c:pt idx="2">
                  <c:v>656287.42611181398</c:v>
                </c:pt>
                <c:pt idx="3">
                  <c:v>657653.10653551319</c:v>
                </c:pt>
              </c:numCache>
            </c:numRef>
          </c:val>
          <c:extLst xmlns:c16r2="http://schemas.microsoft.com/office/drawing/2015/06/chart">
            <c:ext xmlns:c16="http://schemas.microsoft.com/office/drawing/2014/chart" uri="{C3380CC4-5D6E-409C-BE32-E72D297353CC}">
              <c16:uniqueId val="{00000000-FA6B-4E6D-BFBE-23C808F31704}"/>
            </c:ext>
          </c:extLst>
        </c:ser>
        <c:ser>
          <c:idx val="1"/>
          <c:order val="1"/>
          <c:spPr>
            <a:solidFill>
              <a:srgbClr val="93CDDD"/>
            </a:solidFill>
            <a:ln w="3175">
              <a:solidFill>
                <a:srgbClr val="000000"/>
              </a:solidFill>
              <a:prstDash val="solid"/>
            </a:ln>
            <a:effectLst>
              <a:outerShdw dist="35921" dir="2700000" algn="br">
                <a:srgbClr val="000000"/>
              </a:outerShdw>
            </a:effectLst>
          </c:spPr>
          <c:invertIfNegative val="0"/>
          <c:cat>
            <c:strRef>
              <c:f>'Data Entry'!$B$52:$B$55</c:f>
              <c:strCache>
                <c:ptCount val="4"/>
                <c:pt idx="0">
                  <c:v>Disbursed by Global Fund</c:v>
                </c:pt>
                <c:pt idx="1">
                  <c:v>PR expenditure and disbursement</c:v>
                </c:pt>
                <c:pt idx="2">
                  <c:v>Disbursed to SRs</c:v>
                </c:pt>
                <c:pt idx="3">
                  <c:v>SR expenditures</c:v>
                </c:pt>
              </c:strCache>
            </c:strRef>
          </c:cat>
          <c:val>
            <c:numRef>
              <c:f>'Data Entry'!$D$52:$D$55</c:f>
              <c:numCache>
                <c:formatCode>#,##0</c:formatCode>
                <c:ptCount val="4"/>
                <c:pt idx="0">
                  <c:v>0</c:v>
                </c:pt>
                <c:pt idx="1">
                  <c:v>362957</c:v>
                </c:pt>
                <c:pt idx="2">
                  <c:v>79619</c:v>
                </c:pt>
                <c:pt idx="3">
                  <c:v>95987.49021250385</c:v>
                </c:pt>
              </c:numCache>
            </c:numRef>
          </c:val>
          <c:extLst xmlns:c16r2="http://schemas.microsoft.com/office/drawing/2015/06/chart">
            <c:ext xmlns:c16="http://schemas.microsoft.com/office/drawing/2014/chart" uri="{C3380CC4-5D6E-409C-BE32-E72D297353CC}">
              <c16:uniqueId val="{00000001-FA6B-4E6D-BFBE-23C808F31704}"/>
            </c:ext>
          </c:extLst>
        </c:ser>
        <c:dLbls>
          <c:showLegendKey val="0"/>
          <c:showVal val="0"/>
          <c:showCatName val="0"/>
          <c:showSerName val="0"/>
          <c:showPercent val="0"/>
          <c:showBubbleSize val="0"/>
        </c:dLbls>
        <c:gapWidth val="150"/>
        <c:overlap val="100"/>
        <c:axId val="14229504"/>
        <c:axId val="16025280"/>
      </c:barChart>
      <c:catAx>
        <c:axId val="1422950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6025280"/>
        <c:crossesAt val="0"/>
        <c:auto val="1"/>
        <c:lblAlgn val="ctr"/>
        <c:lblOffset val="100"/>
        <c:noMultiLvlLbl val="0"/>
      </c:catAx>
      <c:valAx>
        <c:axId val="16025280"/>
        <c:scaling>
          <c:orientation val="minMax"/>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229504"/>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en-US"/>
          </a:p>
        </c:txPr>
      </c:dTable>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
          <c:y val="9.3877551020408095E-2"/>
          <c:w val="0.84029484029484003"/>
          <c:h val="0.53469387755102105"/>
        </c:manualLayout>
      </c:layout>
      <c:barChart>
        <c:barDir val="col"/>
        <c:grouping val="clustered"/>
        <c:varyColors val="0"/>
        <c:ser>
          <c:idx val="0"/>
          <c:order val="0"/>
          <c:spPr>
            <a:solidFill>
              <a:srgbClr val="993366"/>
            </a:solidFill>
            <a:ln w="3175">
              <a:solidFill>
                <a:srgbClr val="000000"/>
              </a:solidFill>
              <a:prstDash val="solid"/>
            </a:ln>
            <a:effectLst>
              <a:outerShdw dist="35921" dir="2700000" algn="br">
                <a:srgbClr val="000000"/>
              </a:outerShdw>
            </a:effectLst>
          </c:spPr>
          <c:invertIfNegative val="0"/>
          <c:cat>
            <c:strRef>
              <c:f>'Data Entry'!$B$39:$B$43</c:f>
              <c:strCache>
                <c:ptCount val="5"/>
                <c:pt idx="0">
                  <c:v>1- To strengthen the national TB Control Program management, coordination, monitoring and evaluation</c:v>
                </c:pt>
                <c:pt idx="1">
                  <c:v>2-Improve diagnosis of TB including M/XDR TB</c:v>
                </c:pt>
                <c:pt idx="2">
                  <c:v>3-To insure quality treatment of all forms of TB</c:v>
                </c:pt>
                <c:pt idx="3">
                  <c:v>4-To insure adherence to TB treatment by intensive patient support and follow up</c:v>
                </c:pt>
                <c:pt idx="4">
                  <c:v>5-Project nanagement of the PR</c:v>
                </c:pt>
              </c:strCache>
            </c:strRef>
          </c:cat>
          <c:val>
            <c:numRef>
              <c:f>'Data Entry'!$C$39:$C$43</c:f>
              <c:numCache>
                <c:formatCode>#,##0</c:formatCode>
                <c:ptCount val="5"/>
                <c:pt idx="0">
                  <c:v>542335.79</c:v>
                </c:pt>
                <c:pt idx="1">
                  <c:v>1646826.27</c:v>
                </c:pt>
                <c:pt idx="2">
                  <c:v>6487408.9699999997</c:v>
                </c:pt>
                <c:pt idx="3">
                  <c:v>1942323</c:v>
                </c:pt>
                <c:pt idx="4">
                  <c:v>564097.91</c:v>
                </c:pt>
              </c:numCache>
            </c:numRef>
          </c:val>
          <c:extLst xmlns:c16r2="http://schemas.microsoft.com/office/drawing/2015/06/chart">
            <c:ext xmlns:c16="http://schemas.microsoft.com/office/drawing/2014/chart" uri="{C3380CC4-5D6E-409C-BE32-E72D297353CC}">
              <c16:uniqueId val="{00000000-6244-4C95-83C5-A4801AA959DA}"/>
            </c:ext>
          </c:extLst>
        </c:ser>
        <c:ser>
          <c:idx val="1"/>
          <c:order val="1"/>
          <c:spPr>
            <a:solidFill>
              <a:srgbClr val="CCC1DA"/>
            </a:solidFill>
            <a:ln w="3175">
              <a:solidFill>
                <a:srgbClr val="800000"/>
              </a:solidFill>
              <a:prstDash val="solid"/>
            </a:ln>
            <a:effectLst>
              <a:outerShdw dist="35921" dir="2700000" algn="br">
                <a:srgbClr val="000000"/>
              </a:outerShdw>
            </a:effectLst>
          </c:spPr>
          <c:invertIfNegative val="0"/>
          <c:cat>
            <c:strRef>
              <c:f>'Data Entry'!$B$39:$B$43</c:f>
              <c:strCache>
                <c:ptCount val="5"/>
                <c:pt idx="0">
                  <c:v>1- To strengthen the national TB Control Program management, coordination, monitoring and evaluation</c:v>
                </c:pt>
                <c:pt idx="1">
                  <c:v>2-Improve diagnosis of TB including M/XDR TB</c:v>
                </c:pt>
                <c:pt idx="2">
                  <c:v>3-To insure quality treatment of all forms of TB</c:v>
                </c:pt>
                <c:pt idx="3">
                  <c:v>4-To insure adherence to TB treatment by intensive patient support and follow up</c:v>
                </c:pt>
                <c:pt idx="4">
                  <c:v>5-Project nanagement of the PR</c:v>
                </c:pt>
              </c:strCache>
            </c:strRef>
          </c:cat>
          <c:val>
            <c:numRef>
              <c:f>'Data Entry'!$D$39:$D$43</c:f>
              <c:numCache>
                <c:formatCode>#,##0</c:formatCode>
                <c:ptCount val="5"/>
                <c:pt idx="0">
                  <c:v>419782</c:v>
                </c:pt>
                <c:pt idx="1">
                  <c:v>874492.75978815602</c:v>
                </c:pt>
                <c:pt idx="2">
                  <c:v>2901677.9248955101</c:v>
                </c:pt>
                <c:pt idx="3">
                  <c:v>835922</c:v>
                </c:pt>
                <c:pt idx="4">
                  <c:v>499166.53129050299</c:v>
                </c:pt>
              </c:numCache>
            </c:numRef>
          </c:val>
          <c:extLst xmlns:c16r2="http://schemas.microsoft.com/office/drawing/2015/06/chart">
            <c:ext xmlns:c16="http://schemas.microsoft.com/office/drawing/2014/chart" uri="{C3380CC4-5D6E-409C-BE32-E72D297353CC}">
              <c16:uniqueId val="{00000001-6244-4C95-83C5-A4801AA959DA}"/>
            </c:ext>
          </c:extLst>
        </c:ser>
        <c:dLbls>
          <c:showLegendKey val="0"/>
          <c:showVal val="0"/>
          <c:showCatName val="0"/>
          <c:showSerName val="0"/>
          <c:showPercent val="0"/>
          <c:showBubbleSize val="0"/>
        </c:dLbls>
        <c:gapWidth val="150"/>
        <c:axId val="14231552"/>
        <c:axId val="16027008"/>
      </c:barChart>
      <c:catAx>
        <c:axId val="14231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6027008"/>
        <c:crosses val="autoZero"/>
        <c:auto val="1"/>
        <c:lblAlgn val="ctr"/>
        <c:lblOffset val="100"/>
        <c:tickMarkSkip val="1"/>
        <c:noMultiLvlLbl val="0"/>
      </c:catAx>
      <c:valAx>
        <c:axId val="1602700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14231552"/>
        <c:crosses val="autoZero"/>
        <c:crossBetween val="between"/>
      </c:valAx>
      <c:dTable>
        <c:showHorzBorder val="1"/>
        <c:showVertBorder val="1"/>
        <c:showOutline val="1"/>
        <c:showKeys val="1"/>
        <c:spPr>
          <a:ln w="3175">
            <a:solidFill>
              <a:srgbClr val="000000"/>
            </a:solidFill>
            <a:prstDash val="solid"/>
          </a:ln>
        </c:spPr>
        <c:txPr>
          <a:bodyPr/>
          <a:lstStyle/>
          <a:p>
            <a:pPr rtl="0">
              <a:defRPr sz="425" b="0" i="0" u="none" strike="noStrike" baseline="0">
                <a:solidFill>
                  <a:srgbClr val="000000"/>
                </a:solidFill>
                <a:latin typeface="Arial"/>
                <a:ea typeface="Arial"/>
                <a:cs typeface="Arial"/>
              </a:defRPr>
            </a:pPr>
            <a:endParaRPr lang="en-US"/>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440741526190799E-2"/>
          <c:y val="0.195653558463248"/>
          <c:w val="0.86864496640476696"/>
          <c:h val="0.42029282929142098"/>
        </c:manualLayout>
      </c:layout>
      <c:barChart>
        <c:barDir val="bar"/>
        <c:grouping val="percentStacked"/>
        <c:varyColors val="0"/>
        <c:ser>
          <c:idx val="0"/>
          <c:order val="0"/>
          <c:tx>
            <c:strRef>
              <c:f>'Data Entry'!$C$78</c:f>
              <c:strCache>
                <c:ptCount val="1"/>
                <c:pt idx="0">
                  <c:v>Planned</c:v>
                </c:pt>
              </c:strCache>
            </c:strRef>
          </c:tx>
          <c:spPr>
            <a:noFill/>
            <a:ln w="25400">
              <a:noFill/>
            </a:ln>
            <a:effectLst>
              <a:outerShdw dist="35921" dir="2700000" algn="br">
                <a:srgbClr val="000000"/>
              </a:outerShdw>
            </a:effectLst>
          </c:spPr>
          <c:invertIfNegative val="0"/>
          <c:dLbls>
            <c:dLbl>
              <c:idx val="0"/>
              <c:layout>
                <c:manualLayout>
                  <c:x val="0.25756013242089298"/>
                  <c:y val="-0.29611370761718198"/>
                </c:manualLayout>
              </c:layout>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1"/>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CE0-4E34-990B-54AEBE4C65AE}"/>
                </c:ext>
              </c:extLst>
            </c:dLbl>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Entry'!$C$79</c:f>
              <c:numCache>
                <c:formatCode>General</c:formatCode>
                <c:ptCount val="1"/>
                <c:pt idx="0">
                  <c:v>11</c:v>
                </c:pt>
              </c:numCache>
            </c:numRef>
          </c:val>
          <c:extLst xmlns:c16r2="http://schemas.microsoft.com/office/drawing/2015/06/chart">
            <c:ext xmlns:c16="http://schemas.microsoft.com/office/drawing/2014/chart" uri="{C3380CC4-5D6E-409C-BE32-E72D297353CC}">
              <c16:uniqueId val="{00000001-DCE0-4E34-990B-54AEBE4C65AE}"/>
            </c:ext>
          </c:extLst>
        </c:ser>
        <c:dLbls>
          <c:showLegendKey val="0"/>
          <c:showVal val="0"/>
          <c:showCatName val="0"/>
          <c:showSerName val="0"/>
          <c:showPercent val="0"/>
          <c:showBubbleSize val="0"/>
        </c:dLbls>
        <c:gapWidth val="79"/>
        <c:overlap val="100"/>
        <c:axId val="194307072"/>
        <c:axId val="16029888"/>
      </c:barChart>
      <c:barChart>
        <c:barDir val="bar"/>
        <c:grouping val="percentStacked"/>
        <c:varyColors val="0"/>
        <c:ser>
          <c:idx val="1"/>
          <c:order val="1"/>
          <c:tx>
            <c:strRef>
              <c:f>'Data Entry'!$D$78</c:f>
              <c:strCache>
                <c:ptCount val="1"/>
                <c:pt idx="0">
                  <c:v>Filled</c:v>
                </c:pt>
              </c:strCache>
            </c:strRef>
          </c:tx>
          <c:spPr>
            <a:solidFill>
              <a:srgbClr val="99CC00"/>
            </a:solidFill>
            <a:ln w="25400">
              <a:noFill/>
            </a:ln>
            <a:effectLst>
              <a:outerShdw dist="35921" dir="2700000" algn="br">
                <a:srgbClr val="000000"/>
              </a:outerShdw>
            </a:effectLst>
          </c:spPr>
          <c:invertIfNegative val="0"/>
          <c:dLbls>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Entry'!$D$79</c:f>
              <c:numCache>
                <c:formatCode>General</c:formatCode>
                <c:ptCount val="1"/>
                <c:pt idx="0">
                  <c:v>11</c:v>
                </c:pt>
              </c:numCache>
            </c:numRef>
          </c:val>
          <c:extLst xmlns:c16r2="http://schemas.microsoft.com/office/drawing/2015/06/chart">
            <c:ext xmlns:c16="http://schemas.microsoft.com/office/drawing/2014/chart" uri="{C3380CC4-5D6E-409C-BE32-E72D297353CC}">
              <c16:uniqueId val="{00000002-DCE0-4E34-990B-54AEBE4C65AE}"/>
            </c:ext>
          </c:extLst>
        </c:ser>
        <c:ser>
          <c:idx val="2"/>
          <c:order val="2"/>
          <c:tx>
            <c:strRef>
              <c:f>'Data Entry'!$E$78</c:f>
              <c:strCache>
                <c:ptCount val="1"/>
                <c:pt idx="0">
                  <c:v>Vacant</c:v>
                </c:pt>
              </c:strCache>
            </c:strRef>
          </c:tx>
          <c:spPr>
            <a:solidFill>
              <a:srgbClr val="FF7171"/>
            </a:solidFill>
            <a:ln w="25400">
              <a:noFill/>
            </a:ln>
            <a:effectLst>
              <a:outerShdw dist="35921" dir="2700000" algn="br">
                <a:srgbClr val="000000"/>
              </a:outerShdw>
            </a:effectLst>
          </c:spPr>
          <c:invertIfNegative val="0"/>
          <c:dLbls>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Entry'!$E$79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3-DCE0-4E34-990B-54AEBE4C65AE}"/>
            </c:ext>
          </c:extLst>
        </c:ser>
        <c:dLbls>
          <c:showLegendKey val="0"/>
          <c:showVal val="0"/>
          <c:showCatName val="0"/>
          <c:showSerName val="0"/>
          <c:showPercent val="0"/>
          <c:showBubbleSize val="0"/>
        </c:dLbls>
        <c:gapWidth val="191"/>
        <c:overlap val="100"/>
        <c:axId val="194760192"/>
        <c:axId val="16030464"/>
      </c:barChart>
      <c:catAx>
        <c:axId val="194307072"/>
        <c:scaling>
          <c:orientation val="minMax"/>
        </c:scaling>
        <c:delete val="1"/>
        <c:axPos val="l"/>
        <c:majorTickMark val="out"/>
        <c:minorTickMark val="none"/>
        <c:tickLblPos val="none"/>
        <c:crossAx val="16029888"/>
        <c:crosses val="autoZero"/>
        <c:auto val="1"/>
        <c:lblAlgn val="ctr"/>
        <c:lblOffset val="100"/>
        <c:noMultiLvlLbl val="0"/>
      </c:catAx>
      <c:valAx>
        <c:axId val="16029888"/>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94307072"/>
        <c:crosses val="max"/>
        <c:crossBetween val="between"/>
      </c:valAx>
      <c:catAx>
        <c:axId val="194760192"/>
        <c:scaling>
          <c:orientation val="minMax"/>
        </c:scaling>
        <c:delete val="1"/>
        <c:axPos val="l"/>
        <c:majorTickMark val="out"/>
        <c:minorTickMark val="none"/>
        <c:tickLblPos val="none"/>
        <c:crossAx val="16030464"/>
        <c:crosses val="autoZero"/>
        <c:auto val="0"/>
        <c:lblAlgn val="ctr"/>
        <c:lblOffset val="100"/>
        <c:noMultiLvlLbl val="0"/>
      </c:catAx>
      <c:valAx>
        <c:axId val="16030464"/>
        <c:scaling>
          <c:orientation val="minMax"/>
        </c:scaling>
        <c:delete val="0"/>
        <c:axPos val="b"/>
        <c:numFmt formatCode="0%" sourceLinked="1"/>
        <c:majorTickMark val="none"/>
        <c:minorTickMark val="none"/>
        <c:tickLblPos val="none"/>
        <c:spPr>
          <a:ln w="3175">
            <a:solidFill>
              <a:srgbClr val="000000"/>
            </a:solidFill>
            <a:prstDash val="solid"/>
          </a:ln>
        </c:spPr>
        <c:crossAx val="194760192"/>
        <c:crosses val="autoZero"/>
        <c:crossBetween val="between"/>
      </c:valAx>
      <c:spPr>
        <a:solidFill>
          <a:srgbClr val="FFFFFF"/>
        </a:solidFill>
        <a:ln w="25400">
          <a:noFill/>
        </a:ln>
      </c:spPr>
    </c:plotArea>
    <c:legend>
      <c:legendPos val="r"/>
      <c:legendEntry>
        <c:idx val="0"/>
        <c:delete val="1"/>
      </c:legendEntry>
      <c:layout>
        <c:manualLayout>
          <c:xMode val="edge"/>
          <c:yMode val="edge"/>
          <c:x val="0.28724297760652301"/>
          <c:y val="0.76645171178420202"/>
          <c:w val="0.18723985033785701"/>
          <c:h val="0.14599076575282099"/>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794E-2"/>
          <c:y val="0.13661275087917801"/>
          <c:w val="0.89702517162471396"/>
          <c:h val="0.60656061390354898"/>
        </c:manualLayout>
      </c:layout>
      <c:barChart>
        <c:barDir val="col"/>
        <c:grouping val="clustered"/>
        <c:varyColors val="0"/>
        <c:ser>
          <c:idx val="0"/>
          <c:order val="0"/>
          <c:tx>
            <c:strRef>
              <c:f>'Data Entry'!$C$83</c:f>
              <c:strCache>
                <c:ptCount val="1"/>
                <c:pt idx="0">
                  <c:v>Identified</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Entry'!$C$84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F6E4-44AB-9867-FF7715B5D45C}"/>
            </c:ext>
          </c:extLst>
        </c:ser>
        <c:ser>
          <c:idx val="1"/>
          <c:order val="1"/>
          <c:tx>
            <c:strRef>
              <c:f>'Data Entry'!$D$83</c:f>
              <c:strCache>
                <c:ptCount val="1"/>
                <c:pt idx="0">
                  <c:v>Assessed</c:v>
                </c:pt>
              </c:strCache>
            </c:strRef>
          </c:tx>
          <c:spPr>
            <a:solidFill>
              <a:srgbClr val="C0C0C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Entry'!$D$84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F6E4-44AB-9867-FF7715B5D45C}"/>
            </c:ext>
          </c:extLst>
        </c:ser>
        <c:ser>
          <c:idx val="2"/>
          <c:order val="2"/>
          <c:tx>
            <c:strRef>
              <c:f>'Data Entry'!$E$83</c:f>
              <c:strCache>
                <c:ptCount val="1"/>
                <c:pt idx="0">
                  <c:v>Approved</c:v>
                </c:pt>
              </c:strCache>
            </c:strRef>
          </c:tx>
          <c:spPr>
            <a:solidFill>
              <a:srgbClr val="969696"/>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Entry'!$E$84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F6E4-44AB-9867-FF7715B5D45C}"/>
            </c:ext>
          </c:extLst>
        </c:ser>
        <c:ser>
          <c:idx val="3"/>
          <c:order val="3"/>
          <c:tx>
            <c:strRef>
              <c:f>'Data Entry'!$F$83</c:f>
              <c:strCache>
                <c:ptCount val="1"/>
                <c:pt idx="0">
                  <c:v>Signed</c:v>
                </c:pt>
              </c:strCache>
            </c:strRef>
          </c:tx>
          <c:spPr>
            <a:solidFill>
              <a:srgbClr val="80808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Entry'!$F$84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F6E4-44AB-9867-FF7715B5D45C}"/>
            </c:ext>
          </c:extLst>
        </c:ser>
        <c:ser>
          <c:idx val="4"/>
          <c:order val="4"/>
          <c:tx>
            <c:strRef>
              <c:f>'Data Entry'!$G$83</c:f>
              <c:strCache>
                <c:ptCount val="1"/>
                <c:pt idx="0">
                  <c:v>Receiving Funding</c:v>
                </c:pt>
              </c:strCache>
            </c:strRef>
          </c:tx>
          <c:spPr>
            <a:solidFill>
              <a:srgbClr val="333333"/>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Entry'!$G$84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F6E4-44AB-9867-FF7715B5D45C}"/>
            </c:ext>
          </c:extLst>
        </c:ser>
        <c:dLbls>
          <c:showLegendKey val="0"/>
          <c:showVal val="0"/>
          <c:showCatName val="0"/>
          <c:showSerName val="0"/>
          <c:showPercent val="0"/>
          <c:showBubbleSize val="0"/>
        </c:dLbls>
        <c:gapWidth val="150"/>
        <c:overlap val="-20"/>
        <c:axId val="194308608"/>
        <c:axId val="194700416"/>
      </c:barChart>
      <c:catAx>
        <c:axId val="194308608"/>
        <c:scaling>
          <c:orientation val="minMax"/>
        </c:scaling>
        <c:delete val="0"/>
        <c:axPos val="b"/>
        <c:majorTickMark val="none"/>
        <c:minorTickMark val="none"/>
        <c:tickLblPos val="none"/>
        <c:spPr>
          <a:ln w="3175">
            <a:solidFill>
              <a:srgbClr val="000000"/>
            </a:solidFill>
            <a:prstDash val="solid"/>
          </a:ln>
        </c:spPr>
        <c:crossAx val="194700416"/>
        <c:crosses val="autoZero"/>
        <c:auto val="0"/>
        <c:lblAlgn val="ctr"/>
        <c:lblOffset val="100"/>
        <c:tickMarkSkip val="1"/>
        <c:noMultiLvlLbl val="0"/>
      </c:catAx>
      <c:valAx>
        <c:axId val="19470041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4308608"/>
        <c:crosses val="autoZero"/>
        <c:crossBetween val="between"/>
      </c:valAx>
      <c:spPr>
        <a:noFill/>
        <a:ln w="25400">
          <a:noFill/>
        </a:ln>
      </c:spPr>
    </c:plotArea>
    <c:legend>
      <c:legendPos val="r"/>
      <c:layout>
        <c:manualLayout>
          <c:xMode val="edge"/>
          <c:yMode val="edge"/>
          <c:x val="9.6247088832205799E-2"/>
          <c:y val="0.83063149893148602"/>
          <c:w val="0.84509703892647203"/>
          <c:h val="9.2899617056064698E-2"/>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101"/>
          <c:y val="5.6000000000000001E-2"/>
          <c:w val="0.54462242562929097"/>
          <c:h val="0.56000000000000005"/>
        </c:manualLayout>
      </c:layout>
      <c:barChart>
        <c:barDir val="bar"/>
        <c:grouping val="percentStacked"/>
        <c:varyColors val="0"/>
        <c:ser>
          <c:idx val="0"/>
          <c:order val="0"/>
          <c:tx>
            <c:strRef>
              <c:f>'Data Entry'!$D$71</c:f>
              <c:strCache>
                <c:ptCount val="1"/>
                <c:pt idx="0">
                  <c:v>Fulfilled</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Entry'!$B$72:$B$73</c:f>
              <c:strCache>
                <c:ptCount val="2"/>
                <c:pt idx="0">
                  <c:v>Conditions precedent (CPs)</c:v>
                </c:pt>
                <c:pt idx="1">
                  <c:v>Time Bound Actions (TBAs)</c:v>
                </c:pt>
              </c:strCache>
            </c:strRef>
          </c:cat>
          <c:val>
            <c:numRef>
              <c:f>'Data Entry'!$D$72:$D$73</c:f>
              <c:numCache>
                <c:formatCode>0</c:formatCode>
                <c:ptCount val="2"/>
                <c:pt idx="0">
                  <c:v>6</c:v>
                </c:pt>
                <c:pt idx="1">
                  <c:v>5</c:v>
                </c:pt>
              </c:numCache>
            </c:numRef>
          </c:val>
          <c:extLst xmlns:c16r2="http://schemas.microsoft.com/office/drawing/2015/06/chart">
            <c:ext xmlns:c16="http://schemas.microsoft.com/office/drawing/2014/chart" uri="{C3380CC4-5D6E-409C-BE32-E72D297353CC}">
              <c16:uniqueId val="{00000000-4666-4A03-B835-5942EC598F8B}"/>
            </c:ext>
          </c:extLst>
        </c:ser>
        <c:ser>
          <c:idx val="1"/>
          <c:order val="1"/>
          <c:tx>
            <c:strRef>
              <c:f>'Data Entry'!$E$71</c:f>
              <c:strCache>
                <c:ptCount val="1"/>
                <c:pt idx="0">
                  <c:v>Not fulfilled, but within deadline</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Entry'!$B$72:$B$73</c:f>
              <c:strCache>
                <c:ptCount val="2"/>
                <c:pt idx="0">
                  <c:v>Conditions precedent (CPs)</c:v>
                </c:pt>
                <c:pt idx="1">
                  <c:v>Time Bound Actions (TBAs)</c:v>
                </c:pt>
              </c:strCache>
            </c:strRef>
          </c:cat>
          <c:val>
            <c:numRef>
              <c:f>'Data Entry'!$E$72:$E$73</c:f>
              <c:numCache>
                <c:formatCode>0</c:formatCode>
                <c:ptCount val="2"/>
                <c:pt idx="0">
                  <c:v>0</c:v>
                </c:pt>
                <c:pt idx="1">
                  <c:v>1</c:v>
                </c:pt>
              </c:numCache>
            </c:numRef>
          </c:val>
          <c:extLst xmlns:c16r2="http://schemas.microsoft.com/office/drawing/2015/06/chart">
            <c:ext xmlns:c16="http://schemas.microsoft.com/office/drawing/2014/chart" uri="{C3380CC4-5D6E-409C-BE32-E72D297353CC}">
              <c16:uniqueId val="{00000001-4666-4A03-B835-5942EC598F8B}"/>
            </c:ext>
          </c:extLst>
        </c:ser>
        <c:ser>
          <c:idx val="2"/>
          <c:order val="2"/>
          <c:tx>
            <c:strRef>
              <c:f>'Data Entry'!$F$71</c:f>
              <c:strCache>
                <c:ptCount val="1"/>
                <c:pt idx="0">
                  <c:v>Not fulfilled, and past the deadline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Entry'!$B$72:$B$73</c:f>
              <c:strCache>
                <c:ptCount val="2"/>
                <c:pt idx="0">
                  <c:v>Conditions precedent (CPs)</c:v>
                </c:pt>
                <c:pt idx="1">
                  <c:v>Time Bound Actions (TBAs)</c:v>
                </c:pt>
              </c:strCache>
            </c:strRef>
          </c:cat>
          <c:val>
            <c:numRef>
              <c:f>'Data Entry'!$F$72:$F$73</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2-4666-4A03-B835-5942EC598F8B}"/>
            </c:ext>
          </c:extLst>
        </c:ser>
        <c:dLbls>
          <c:showLegendKey val="0"/>
          <c:showVal val="0"/>
          <c:showCatName val="0"/>
          <c:showSerName val="0"/>
          <c:showPercent val="0"/>
          <c:showBubbleSize val="0"/>
        </c:dLbls>
        <c:gapWidth val="70"/>
        <c:overlap val="100"/>
        <c:axId val="194309632"/>
        <c:axId val="194702720"/>
      </c:barChart>
      <c:catAx>
        <c:axId val="19430963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4702720"/>
        <c:crosses val="autoZero"/>
        <c:auto val="1"/>
        <c:lblAlgn val="ctr"/>
        <c:lblOffset val="100"/>
        <c:tickLblSkip val="1"/>
        <c:tickMarkSkip val="1"/>
        <c:noMultiLvlLbl val="0"/>
      </c:catAx>
      <c:valAx>
        <c:axId val="194702720"/>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4309632"/>
        <c:crosses val="autoZero"/>
        <c:crossBetween val="between"/>
      </c:valAx>
      <c:spPr>
        <a:noFill/>
        <a:ln w="25400">
          <a:noFill/>
        </a:ln>
      </c:spPr>
    </c:plotArea>
    <c:legend>
      <c:legendPos val="r"/>
      <c:layout>
        <c:manualLayout>
          <c:xMode val="edge"/>
          <c:yMode val="edge"/>
          <c:x val="1.36991095291171E-2"/>
          <c:y val="0.77780527434070701"/>
          <c:w val="0.94295161734920097"/>
          <c:h val="0.14286214223222099"/>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5901"/>
          <c:y val="0.121547289222444"/>
          <c:w val="0.60327318841303301"/>
          <c:h val="0.55248767828383505"/>
        </c:manualLayout>
      </c:layout>
      <c:barChart>
        <c:barDir val="bar"/>
        <c:grouping val="percentStacked"/>
        <c:varyColors val="0"/>
        <c:ser>
          <c:idx val="1"/>
          <c:order val="0"/>
          <c:tx>
            <c:strRef>
              <c:f>'Data Entry'!$D$88</c:f>
              <c:strCache>
                <c:ptCount val="1"/>
                <c:pt idx="0">
                  <c:v># Received</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Entry'!$B$89:$B$90</c:f>
              <c:strCache>
                <c:ptCount val="2"/>
                <c:pt idx="0">
                  <c:v>SSR to SR</c:v>
                </c:pt>
                <c:pt idx="1">
                  <c:v>SRs to PR</c:v>
                </c:pt>
              </c:strCache>
            </c:strRef>
          </c:cat>
          <c:val>
            <c:numRef>
              <c:f>'Data Entry'!$D$89:$D$90</c:f>
              <c:numCache>
                <c:formatCode>0</c:formatCode>
                <c:ptCount val="2"/>
                <c:pt idx="1">
                  <c:v>3</c:v>
                </c:pt>
              </c:numCache>
            </c:numRef>
          </c:val>
          <c:extLst xmlns:c16r2="http://schemas.microsoft.com/office/drawing/2015/06/chart">
            <c:ext xmlns:c16="http://schemas.microsoft.com/office/drawing/2014/chart" uri="{C3380CC4-5D6E-409C-BE32-E72D297353CC}">
              <c16:uniqueId val="{00000000-3C59-40BF-BF98-42E4D966C631}"/>
            </c:ext>
          </c:extLst>
        </c:ser>
        <c:ser>
          <c:idx val="2"/>
          <c:order val="1"/>
          <c:tx>
            <c:strRef>
              <c:f>'Data Entry'!$E$88</c:f>
              <c:strCache>
                <c:ptCount val="1"/>
                <c:pt idx="0">
                  <c:v>Pending</c:v>
                </c:pt>
              </c:strCache>
            </c:strRef>
          </c:tx>
          <c:spPr>
            <a:solidFill>
              <a:srgbClr val="FF505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Entry'!$B$89:$B$90</c:f>
              <c:strCache>
                <c:ptCount val="2"/>
                <c:pt idx="0">
                  <c:v>SSR to SR</c:v>
                </c:pt>
                <c:pt idx="1">
                  <c:v>SRs to PR</c:v>
                </c:pt>
              </c:strCache>
            </c:strRef>
          </c:cat>
          <c:val>
            <c:numRef>
              <c:f>'Data Entry'!$E$89:$E$90</c:f>
              <c:numCache>
                <c:formatCode>General</c:formatCode>
                <c:ptCount val="2"/>
                <c:pt idx="0" formatCode="0">
                  <c:v>0</c:v>
                </c:pt>
                <c:pt idx="1">
                  <c:v>0</c:v>
                </c:pt>
              </c:numCache>
            </c:numRef>
          </c:val>
          <c:extLst xmlns:c16r2="http://schemas.microsoft.com/office/drawing/2015/06/chart">
            <c:ext xmlns:c16="http://schemas.microsoft.com/office/drawing/2014/chart" uri="{C3380CC4-5D6E-409C-BE32-E72D297353CC}">
              <c16:uniqueId val="{00000001-3C59-40BF-BF98-42E4D966C631}"/>
            </c:ext>
          </c:extLst>
        </c:ser>
        <c:dLbls>
          <c:showLegendKey val="0"/>
          <c:showVal val="0"/>
          <c:showCatName val="0"/>
          <c:showSerName val="0"/>
          <c:showPercent val="0"/>
          <c:showBubbleSize val="0"/>
        </c:dLbls>
        <c:gapWidth val="101"/>
        <c:overlap val="100"/>
        <c:axId val="194823680"/>
        <c:axId val="194705024"/>
      </c:barChart>
      <c:catAx>
        <c:axId val="19482368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94705024"/>
        <c:crosses val="autoZero"/>
        <c:auto val="1"/>
        <c:lblAlgn val="ctr"/>
        <c:lblOffset val="100"/>
        <c:noMultiLvlLbl val="0"/>
      </c:catAx>
      <c:valAx>
        <c:axId val="194705024"/>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94823680"/>
        <c:crosses val="max"/>
        <c:crossBetween val="between"/>
      </c:valAx>
      <c:spPr>
        <a:solidFill>
          <a:srgbClr val="FFFFFF"/>
        </a:solidFill>
        <a:ln w="25400">
          <a:noFill/>
        </a:ln>
      </c:spPr>
    </c:plotArea>
    <c:legend>
      <c:legendPos val="r"/>
      <c:legendEntry>
        <c:idx val="0"/>
        <c:txPr>
          <a:bodyPr/>
          <a:lstStyle/>
          <a:p>
            <a:pPr>
              <a:defRPr sz="570" b="0" i="0" u="none" strike="noStrike" baseline="0">
                <a:solidFill>
                  <a:srgbClr val="000000"/>
                </a:solidFill>
                <a:latin typeface="Calibri"/>
                <a:ea typeface="Calibri"/>
                <a:cs typeface="Calibri"/>
              </a:defRPr>
            </a:pPr>
            <a:endParaRPr lang="en-US"/>
          </a:p>
        </c:txPr>
      </c:legendEntry>
      <c:legendEntry>
        <c:idx val="1"/>
        <c:txPr>
          <a:bodyPr/>
          <a:lstStyle/>
          <a:p>
            <a:pPr>
              <a:defRPr sz="570" b="0" i="0" u="none" strike="noStrike" baseline="0">
                <a:solidFill>
                  <a:srgbClr val="000000"/>
                </a:solidFill>
                <a:latin typeface="Calibri"/>
                <a:ea typeface="Calibri"/>
                <a:cs typeface="Calibri"/>
              </a:defRPr>
            </a:pPr>
            <a:endParaRPr lang="en-US"/>
          </a:p>
        </c:txPr>
      </c:legendEntry>
      <c:layout>
        <c:manualLayout>
          <c:xMode val="edge"/>
          <c:yMode val="edge"/>
          <c:x val="0.33837247714725299"/>
          <c:y val="0.79672867814600101"/>
          <c:w val="0.34699361933206602"/>
          <c:h val="0.131872169824926"/>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001"/>
          <c:y val="0.10989010989011"/>
          <c:w val="0.81094724363350201"/>
          <c:h val="0.54395604395604402"/>
        </c:manualLayout>
      </c:layout>
      <c:lineChart>
        <c:grouping val="standard"/>
        <c:varyColors val="0"/>
        <c:ser>
          <c:idx val="0"/>
          <c:order val="0"/>
          <c:tx>
            <c:strRef>
              <c:f>'Data Entry'!$B$98</c:f>
              <c:strCache>
                <c:ptCount val="1"/>
                <c:pt idx="0">
                  <c:v>Budget Approved cumulative*</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 Entry'!$C$98:$N$98</c:f>
              <c:numCache>
                <c:formatCode>#,##0</c:formatCode>
                <c:ptCount val="12"/>
                <c:pt idx="0">
                  <c:v>412658</c:v>
                </c:pt>
                <c:pt idx="1">
                  <c:v>412658</c:v>
                </c:pt>
                <c:pt idx="2">
                  <c:v>2591762</c:v>
                </c:pt>
                <c:pt idx="3">
                  <c:v>2766035</c:v>
                </c:pt>
                <c:pt idx="4">
                  <c:v>5726750</c:v>
                </c:pt>
                <c:pt idx="5">
                  <c:v>5726750</c:v>
                </c:pt>
                <c:pt idx="6">
                  <c:v>5738450</c:v>
                </c:pt>
                <c:pt idx="7">
                  <c:v>5855249</c:v>
                </c:pt>
                <c:pt idx="8">
                  <c:v>7336969</c:v>
                </c:pt>
                <c:pt idx="9">
                  <c:v>7336969</c:v>
                </c:pt>
                <c:pt idx="10">
                  <c:v>7336969</c:v>
                </c:pt>
                <c:pt idx="11">
                  <c:v>7336969</c:v>
                </c:pt>
              </c:numCache>
            </c:numRef>
          </c:val>
          <c:smooth val="0"/>
          <c:extLst xmlns:c16r2="http://schemas.microsoft.com/office/drawing/2015/06/chart">
            <c:ext xmlns:c16="http://schemas.microsoft.com/office/drawing/2014/chart" uri="{C3380CC4-5D6E-409C-BE32-E72D297353CC}">
              <c16:uniqueId val="{00000000-D5B8-4C27-A6F7-34B9CFC945C4}"/>
            </c:ext>
          </c:extLst>
        </c:ser>
        <c:ser>
          <c:idx val="1"/>
          <c:order val="1"/>
          <c:tx>
            <c:strRef>
              <c:f>'Data Entry'!$B$99</c:f>
              <c:strCache>
                <c:ptCount val="1"/>
                <c:pt idx="0">
                  <c:v>Obligations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'Data Entry'!$C$99:$N$99</c:f>
              <c:numCache>
                <c:formatCode>#,##0</c:formatCode>
                <c:ptCount val="12"/>
                <c:pt idx="0">
                  <c:v>0</c:v>
                </c:pt>
                <c:pt idx="1">
                  <c:v>0</c:v>
                </c:pt>
                <c:pt idx="2">
                  <c:v>0</c:v>
                </c:pt>
                <c:pt idx="3">
                  <c:v>9722.0265959650369</c:v>
                </c:pt>
                <c:pt idx="4">
                  <c:v>289507.02659596503</c:v>
                </c:pt>
                <c:pt idx="5">
                  <c:v>378003.36852896464</c:v>
                </c:pt>
                <c:pt idx="6">
                  <c:v>517814.36852896464</c:v>
                </c:pt>
                <c:pt idx="7">
                  <c:v>580976.5256478301</c:v>
                </c:pt>
                <c:pt idx="8">
                  <c:v>765836.01132691849</c:v>
                </c:pt>
                <c:pt idx="9">
                  <c:v>765836.01132691849</c:v>
                </c:pt>
                <c:pt idx="10">
                  <c:v>765836.01132691849</c:v>
                </c:pt>
                <c:pt idx="11">
                  <c:v>765836.01132691849</c:v>
                </c:pt>
              </c:numCache>
            </c:numRef>
          </c:val>
          <c:smooth val="0"/>
          <c:extLst xmlns:c16r2="http://schemas.microsoft.com/office/drawing/2015/06/chart">
            <c:ext xmlns:c16="http://schemas.microsoft.com/office/drawing/2014/chart" uri="{C3380CC4-5D6E-409C-BE32-E72D297353CC}">
              <c16:uniqueId val="{00000001-D5B8-4C27-A6F7-34B9CFC945C4}"/>
            </c:ext>
          </c:extLst>
        </c:ser>
        <c:ser>
          <c:idx val="2"/>
          <c:order val="2"/>
          <c:tx>
            <c:strRef>
              <c:f>'Data Entry'!$B$100</c:f>
              <c:strCache>
                <c:ptCount val="1"/>
                <c:pt idx="0">
                  <c:v>Expenditures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'Data Entry'!$C$100:$N$100</c:f>
              <c:numCache>
                <c:formatCode>#,##0</c:formatCode>
                <c:ptCount val="12"/>
                <c:pt idx="0">
                  <c:v>0</c:v>
                </c:pt>
                <c:pt idx="1">
                  <c:v>0</c:v>
                </c:pt>
                <c:pt idx="2">
                  <c:v>2411851</c:v>
                </c:pt>
                <c:pt idx="3">
                  <c:v>2423139</c:v>
                </c:pt>
                <c:pt idx="4">
                  <c:v>2463996</c:v>
                </c:pt>
                <c:pt idx="5">
                  <c:v>2850881</c:v>
                </c:pt>
                <c:pt idx="6">
                  <c:v>3057751</c:v>
                </c:pt>
                <c:pt idx="7">
                  <c:v>3224248</c:v>
                </c:pt>
                <c:pt idx="8">
                  <c:v>3331755</c:v>
                </c:pt>
                <c:pt idx="9">
                  <c:v>3331755</c:v>
                </c:pt>
                <c:pt idx="10">
                  <c:v>3331755</c:v>
                </c:pt>
                <c:pt idx="11">
                  <c:v>3331755</c:v>
                </c:pt>
              </c:numCache>
            </c:numRef>
          </c:val>
          <c:smooth val="0"/>
          <c:extLst xmlns:c16r2="http://schemas.microsoft.com/office/drawing/2015/06/chart">
            <c:ext xmlns:c16="http://schemas.microsoft.com/office/drawing/2014/chart" uri="{C3380CC4-5D6E-409C-BE32-E72D297353CC}">
              <c16:uniqueId val="{00000002-D5B8-4C27-A6F7-34B9CFC945C4}"/>
            </c:ext>
          </c:extLst>
        </c:ser>
        <c:dLbls>
          <c:showLegendKey val="0"/>
          <c:showVal val="0"/>
          <c:showCatName val="0"/>
          <c:showSerName val="0"/>
          <c:showPercent val="0"/>
          <c:showBubbleSize val="0"/>
        </c:dLbls>
        <c:marker val="1"/>
        <c:smooth val="0"/>
        <c:axId val="194824704"/>
        <c:axId val="201801728"/>
      </c:lineChart>
      <c:catAx>
        <c:axId val="194824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201801728"/>
        <c:crosses val="autoZero"/>
        <c:auto val="1"/>
        <c:lblAlgn val="ctr"/>
        <c:lblOffset val="100"/>
        <c:tickLblSkip val="1"/>
        <c:tickMarkSkip val="1"/>
        <c:noMultiLvlLbl val="0"/>
      </c:catAx>
      <c:valAx>
        <c:axId val="20180172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n-US"/>
          </a:p>
        </c:txPr>
        <c:crossAx val="194824704"/>
        <c:crosses val="autoZero"/>
        <c:crossBetween val="between"/>
      </c:valAx>
      <c:spPr>
        <a:solidFill>
          <a:srgbClr val="FFFFFF"/>
        </a:solidFill>
        <a:ln w="12700">
          <a:solidFill>
            <a:srgbClr val="808080"/>
          </a:solidFill>
          <a:prstDash val="solid"/>
        </a:ln>
      </c:spPr>
    </c:plotArea>
    <c:legend>
      <c:legendPos val="r"/>
      <c:layout>
        <c:manualLayout>
          <c:xMode val="edge"/>
          <c:yMode val="edge"/>
          <c:x val="4.7265248560347903E-2"/>
          <c:y val="0.65936142597559899"/>
          <c:w val="0.92291534453715696"/>
          <c:h val="0.153850768653918"/>
        </c:manualLayout>
      </c:layout>
      <c:overlay val="0"/>
      <c:spPr>
        <a:noFill/>
        <a:ln w="25400">
          <a:noFill/>
        </a:ln>
      </c:spPr>
      <c:txPr>
        <a:bodyPr/>
        <a:lstStyle/>
        <a:p>
          <a:pPr>
            <a:defRPr sz="50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Entry'!$G$120</c:f>
              <c:strCache>
                <c:ptCount val="1"/>
                <c:pt idx="0">
                  <c:v>Target</c:v>
                </c:pt>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Entry'!$H$120:$S$120</c:f>
              <c:numCache>
                <c:formatCode>#,##0</c:formatCode>
                <c:ptCount val="12"/>
                <c:pt idx="0">
                  <c:v>70</c:v>
                </c:pt>
                <c:pt idx="1">
                  <c:v>75</c:v>
                </c:pt>
                <c:pt idx="2">
                  <c:v>75</c:v>
                </c:pt>
                <c:pt idx="3">
                  <c:v>75</c:v>
                </c:pt>
                <c:pt idx="4">
                  <c:v>75</c:v>
                </c:pt>
                <c:pt idx="5">
                  <c:v>75</c:v>
                </c:pt>
                <c:pt idx="6">
                  <c:v>75</c:v>
                </c:pt>
                <c:pt idx="7">
                  <c:v>75</c:v>
                </c:pt>
                <c:pt idx="8">
                  <c:v>75</c:v>
                </c:pt>
              </c:numCache>
            </c:numRef>
          </c:val>
          <c:extLst xmlns:c16r2="http://schemas.microsoft.com/office/drawing/2015/06/chart">
            <c:ext xmlns:c16="http://schemas.microsoft.com/office/drawing/2014/chart" uri="{C3380CC4-5D6E-409C-BE32-E72D297353CC}">
              <c16:uniqueId val="{00000000-E905-4D6A-93D0-45491EEF1ABF}"/>
            </c:ext>
          </c:extLst>
        </c:ser>
        <c:ser>
          <c:idx val="1"/>
          <c:order val="1"/>
          <c:tx>
            <c:strRef>
              <c:f>'Data Entry'!$G$121</c:f>
              <c:strCache>
                <c:ptCount val="1"/>
                <c:pt idx="0">
                  <c:v>Achieved </c:v>
                </c:pt>
              </c:strCache>
            </c:strRef>
          </c:tx>
          <c:spPr>
            <a:solidFill>
              <a:srgbClr val="00CCFF"/>
            </a:solidFill>
            <a:ln w="12700">
              <a:solidFill>
                <a:srgbClr val="000000"/>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Entry'!$H$121:$S$121</c:f>
              <c:numCache>
                <c:formatCode>#,##0</c:formatCode>
                <c:ptCount val="12"/>
                <c:pt idx="0">
                  <c:v>69</c:v>
                </c:pt>
                <c:pt idx="1">
                  <c:v>70</c:v>
                </c:pt>
                <c:pt idx="2">
                  <c:v>72</c:v>
                </c:pt>
                <c:pt idx="3">
                  <c:v>73</c:v>
                </c:pt>
                <c:pt idx="4">
                  <c:v>80</c:v>
                </c:pt>
                <c:pt idx="5">
                  <c:v>70</c:v>
                </c:pt>
                <c:pt idx="6">
                  <c:v>83</c:v>
                </c:pt>
                <c:pt idx="7">
                  <c:v>81</c:v>
                </c:pt>
                <c:pt idx="8">
                  <c:v>84</c:v>
                </c:pt>
              </c:numCache>
            </c:numRef>
          </c:val>
          <c:extLst xmlns:c16r2="http://schemas.microsoft.com/office/drawing/2015/06/chart">
            <c:ext xmlns:c16="http://schemas.microsoft.com/office/drawing/2014/chart" uri="{C3380CC4-5D6E-409C-BE32-E72D297353CC}">
              <c16:uniqueId val="{00000001-E905-4D6A-93D0-45491EEF1ABF}"/>
            </c:ext>
          </c:extLst>
        </c:ser>
        <c:dLbls>
          <c:showLegendKey val="0"/>
          <c:showVal val="0"/>
          <c:showCatName val="0"/>
          <c:showSerName val="0"/>
          <c:showPercent val="0"/>
          <c:showBubbleSize val="0"/>
        </c:dLbls>
        <c:gapWidth val="150"/>
        <c:axId val="194424832"/>
        <c:axId val="201804032"/>
      </c:barChart>
      <c:catAx>
        <c:axId val="19442483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201804032"/>
        <c:crosses val="autoZero"/>
        <c:auto val="1"/>
        <c:lblAlgn val="ctr"/>
        <c:lblOffset val="100"/>
        <c:tickLblSkip val="1"/>
        <c:tickMarkSkip val="1"/>
        <c:noMultiLvlLbl val="0"/>
      </c:catAx>
      <c:valAx>
        <c:axId val="201804032"/>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94424832"/>
        <c:crosses val="autoZero"/>
        <c:crossBetween val="between"/>
      </c:valAx>
      <c:spPr>
        <a:noFill/>
        <a:ln w="25400">
          <a:noFill/>
        </a:ln>
      </c:spPr>
    </c:plotArea>
    <c:legend>
      <c:legendPos val="r"/>
      <c:layout>
        <c:manualLayout>
          <c:xMode val="edge"/>
          <c:yMode val="edge"/>
          <c:x val="0.17544449049131999"/>
          <c:y val="0.91194701698557101"/>
          <c:w val="0.57896726067136295"/>
          <c:h val="7.2541035997443298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chart" Target="../charts/chart3.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4</xdr:row>
      <xdr:rowOff>152400</xdr:rowOff>
    </xdr:from>
    <xdr:to>
      <xdr:col>11</xdr:col>
      <xdr:colOff>628650</xdr:colOff>
      <xdr:row>19</xdr:row>
      <xdr:rowOff>104775</xdr:rowOff>
    </xdr:to>
    <xdr:pic>
      <xdr:nvPicPr>
        <xdr:cNvPr id="3681910" name="Picture 2">
          <a:extLst>
            <a:ext uri="{FF2B5EF4-FFF2-40B4-BE49-F238E27FC236}">
              <a16:creationId xmlns="" xmlns:a16="http://schemas.microsoft.com/office/drawing/2014/main" id="{00000000-0008-0000-0000-0000762E38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31349" t="36853" r="9531"/>
        <a:stretch>
          <a:fillRect/>
        </a:stretch>
      </xdr:blipFill>
      <xdr:spPr bwMode="auto">
        <a:xfrm>
          <a:off x="47625" y="1390650"/>
          <a:ext cx="7629525" cy="2809875"/>
        </a:xfrm>
        <a:prstGeom prst="rect">
          <a:avLst/>
        </a:prstGeom>
        <a:noFill/>
        <a:ln w="1">
          <a:noFill/>
          <a:miter lim="800000"/>
          <a:headEnd/>
          <a:tailEnd/>
        </a:ln>
      </xdr:spPr>
    </xdr:pic>
    <xdr:clientData/>
  </xdr:twoCellAnchor>
  <xdr:twoCellAnchor editAs="oneCell">
    <xdr:from>
      <xdr:col>7</xdr:col>
      <xdr:colOff>685800</xdr:colOff>
      <xdr:row>7</xdr:row>
      <xdr:rowOff>57150</xdr:rowOff>
    </xdr:from>
    <xdr:to>
      <xdr:col>11</xdr:col>
      <xdr:colOff>542925</xdr:colOff>
      <xdr:row>18</xdr:row>
      <xdr:rowOff>152400</xdr:rowOff>
    </xdr:to>
    <xdr:pic>
      <xdr:nvPicPr>
        <xdr:cNvPr id="3681911" name="Picture 824">
          <a:extLst>
            <a:ext uri="{FF2B5EF4-FFF2-40B4-BE49-F238E27FC236}">
              <a16:creationId xmlns="" xmlns:a16="http://schemas.microsoft.com/office/drawing/2014/main" id="{00000000-0008-0000-0000-0000772E38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334000" y="1866900"/>
          <a:ext cx="2257425" cy="2190750"/>
        </a:xfrm>
        <a:prstGeom prst="rect">
          <a:avLst/>
        </a:prstGeom>
        <a:noFill/>
        <a:ln w="9525">
          <a:noFill/>
          <a:miter lim="800000"/>
          <a:headEnd/>
          <a:tailEnd/>
        </a:ln>
      </xdr:spPr>
    </xdr:pic>
    <xdr:clientData/>
  </xdr:twoCellAnchor>
  <xdr:twoCellAnchor>
    <xdr:from>
      <xdr:col>4</xdr:col>
      <xdr:colOff>257175</xdr:colOff>
      <xdr:row>7</xdr:row>
      <xdr:rowOff>104775</xdr:rowOff>
    </xdr:from>
    <xdr:to>
      <xdr:col>7</xdr:col>
      <xdr:colOff>552450</xdr:colOff>
      <xdr:row>18</xdr:row>
      <xdr:rowOff>85725</xdr:rowOff>
    </xdr:to>
    <xdr:sp macro="" textlink="">
      <xdr:nvSpPr>
        <xdr:cNvPr id="3681912" name="AutoShape 27">
          <a:extLst>
            <a:ext uri="{FF2B5EF4-FFF2-40B4-BE49-F238E27FC236}">
              <a16:creationId xmlns="" xmlns:a16="http://schemas.microsoft.com/office/drawing/2014/main" id="{00000000-0008-0000-0000-0000782E3800}"/>
            </a:ext>
          </a:extLst>
        </xdr:cNvPr>
        <xdr:cNvSpPr>
          <a:spLocks noChangeArrowheads="1"/>
        </xdr:cNvSpPr>
      </xdr:nvSpPr>
      <xdr:spPr bwMode="gray">
        <a:xfrm>
          <a:off x="2619375" y="1914525"/>
          <a:ext cx="2581275" cy="2076450"/>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sp>
    <xdr:clientData/>
  </xdr:twoCellAnchor>
  <xdr:twoCellAnchor>
    <xdr:from>
      <xdr:col>5</xdr:col>
      <xdr:colOff>285750</xdr:colOff>
      <xdr:row>10</xdr:row>
      <xdr:rowOff>57150</xdr:rowOff>
    </xdr:from>
    <xdr:to>
      <xdr:col>6</xdr:col>
      <xdr:colOff>533400</xdr:colOff>
      <xdr:row>12</xdr:row>
      <xdr:rowOff>38100</xdr:rowOff>
    </xdr:to>
    <xdr:grpSp>
      <xdr:nvGrpSpPr>
        <xdr:cNvPr id="3681913" name="Group 25">
          <a:hlinkClick xmlns:r="http://schemas.openxmlformats.org/officeDocument/2006/relationships" r:id="rId3"/>
          <a:extLst>
            <a:ext uri="{FF2B5EF4-FFF2-40B4-BE49-F238E27FC236}">
              <a16:creationId xmlns="" xmlns:a16="http://schemas.microsoft.com/office/drawing/2014/main" id="{00000000-0008-0000-0000-0000792E3800}"/>
            </a:ext>
          </a:extLst>
        </xdr:cNvPr>
        <xdr:cNvGrpSpPr>
          <a:grpSpLocks/>
        </xdr:cNvGrpSpPr>
      </xdr:nvGrpSpPr>
      <xdr:grpSpPr bwMode="auto">
        <a:xfrm>
          <a:off x="3413125" y="2446338"/>
          <a:ext cx="1009650" cy="361950"/>
          <a:chOff x="1200" y="1912"/>
          <a:chExt cx="3456" cy="774"/>
        </a:xfrm>
      </xdr:grpSpPr>
      <xdr:sp macro="" textlink="">
        <xdr:nvSpPr>
          <xdr:cNvPr id="3173451" name="AutoShape 26">
            <a:extLst>
              <a:ext uri="{FF2B5EF4-FFF2-40B4-BE49-F238E27FC236}">
                <a16:creationId xmlns="" xmlns:a16="http://schemas.microsoft.com/office/drawing/2014/main" id="{00000000-0008-0000-0000-00004B6C30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2" name="AutoShape 27">
            <a:extLst>
              <a:ext uri="{FF2B5EF4-FFF2-40B4-BE49-F238E27FC236}">
                <a16:creationId xmlns="" xmlns:a16="http://schemas.microsoft.com/office/drawing/2014/main" id="{00000000-0008-0000-0000-000016000000}"/>
              </a:ext>
            </a:extLst>
          </xdr:cNvPr>
          <xdr:cNvSpPr>
            <a:spLocks noChangeArrowheads="1"/>
          </xdr:cNvSpPr>
        </xdr:nvSpPr>
        <xdr:spPr bwMode="gray">
          <a:xfrm>
            <a:off x="1265" y="1993"/>
            <a:ext cx="3293" cy="611"/>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a:extLst>
              <a:ext uri="{FF2B5EF4-FFF2-40B4-BE49-F238E27FC236}">
                <a16:creationId xmlns="" xmlns:a16="http://schemas.microsoft.com/office/drawing/2014/main" id="{00000000-0008-0000-0000-000017000000}"/>
              </a:ext>
            </a:extLst>
          </xdr:cNvPr>
          <xdr:cNvSpPr>
            <a:spLocks/>
          </xdr:cNvSpPr>
        </xdr:nvSpPr>
        <xdr:spPr bwMode="gray">
          <a:xfrm>
            <a:off x="1298" y="1993"/>
            <a:ext cx="359" cy="346"/>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323850</xdr:colOff>
      <xdr:row>15</xdr:row>
      <xdr:rowOff>180975</xdr:rowOff>
    </xdr:from>
    <xdr:to>
      <xdr:col>6</xdr:col>
      <xdr:colOff>628650</xdr:colOff>
      <xdr:row>17</xdr:row>
      <xdr:rowOff>161925</xdr:rowOff>
    </xdr:to>
    <xdr:grpSp>
      <xdr:nvGrpSpPr>
        <xdr:cNvPr id="3681914" name="Group 25">
          <a:hlinkClick xmlns:r="http://schemas.openxmlformats.org/officeDocument/2006/relationships" r:id="rId4"/>
          <a:extLst>
            <a:ext uri="{FF2B5EF4-FFF2-40B4-BE49-F238E27FC236}">
              <a16:creationId xmlns="" xmlns:a16="http://schemas.microsoft.com/office/drawing/2014/main" id="{00000000-0008-0000-0000-00007A2E3800}"/>
            </a:ext>
          </a:extLst>
        </xdr:cNvPr>
        <xdr:cNvGrpSpPr>
          <a:grpSpLocks/>
        </xdr:cNvGrpSpPr>
      </xdr:nvGrpSpPr>
      <xdr:grpSpPr bwMode="auto">
        <a:xfrm>
          <a:off x="3451225" y="3522663"/>
          <a:ext cx="1066800" cy="361950"/>
          <a:chOff x="1200" y="1912"/>
          <a:chExt cx="3456" cy="774"/>
        </a:xfrm>
      </xdr:grpSpPr>
      <xdr:sp macro="" textlink="">
        <xdr:nvSpPr>
          <xdr:cNvPr id="3173448" name="AutoShape 26">
            <a:extLst>
              <a:ext uri="{FF2B5EF4-FFF2-40B4-BE49-F238E27FC236}">
                <a16:creationId xmlns="" xmlns:a16="http://schemas.microsoft.com/office/drawing/2014/main" id="{00000000-0008-0000-0000-0000486C30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6" name="AutoShape 27">
            <a:extLst>
              <a:ext uri="{FF2B5EF4-FFF2-40B4-BE49-F238E27FC236}">
                <a16:creationId xmlns="" xmlns:a16="http://schemas.microsoft.com/office/drawing/2014/main" id="{00000000-0008-0000-0000-00001A000000}"/>
              </a:ext>
            </a:extLst>
          </xdr:cNvPr>
          <xdr:cNvSpPr>
            <a:spLocks noChangeArrowheads="1"/>
          </xdr:cNvSpPr>
        </xdr:nvSpPr>
        <xdr:spPr bwMode="gray">
          <a:xfrm>
            <a:off x="1293" y="1993"/>
            <a:ext cx="3302" cy="611"/>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a:extLst>
              <a:ext uri="{FF2B5EF4-FFF2-40B4-BE49-F238E27FC236}">
                <a16:creationId xmlns="" xmlns:a16="http://schemas.microsoft.com/office/drawing/2014/main" id="{00000000-0008-0000-0000-00001B000000}"/>
              </a:ext>
            </a:extLst>
          </xdr:cNvPr>
          <xdr:cNvSpPr>
            <a:spLocks/>
          </xdr:cNvSpPr>
        </xdr:nvSpPr>
        <xdr:spPr bwMode="gray">
          <a:xfrm>
            <a:off x="1293" y="1993"/>
            <a:ext cx="370" cy="346"/>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285750</xdr:colOff>
      <xdr:row>13</xdr:row>
      <xdr:rowOff>9525</xdr:rowOff>
    </xdr:from>
    <xdr:to>
      <xdr:col>6</xdr:col>
      <xdr:colOff>600075</xdr:colOff>
      <xdr:row>15</xdr:row>
      <xdr:rowOff>0</xdr:rowOff>
    </xdr:to>
    <xdr:grpSp>
      <xdr:nvGrpSpPr>
        <xdr:cNvPr id="3681915" name="Group 25">
          <a:hlinkClick xmlns:r="http://schemas.openxmlformats.org/officeDocument/2006/relationships" r:id="rId5"/>
          <a:extLst>
            <a:ext uri="{FF2B5EF4-FFF2-40B4-BE49-F238E27FC236}">
              <a16:creationId xmlns="" xmlns:a16="http://schemas.microsoft.com/office/drawing/2014/main" id="{00000000-0008-0000-0000-00007B2E3800}"/>
            </a:ext>
          </a:extLst>
        </xdr:cNvPr>
        <xdr:cNvGrpSpPr>
          <a:grpSpLocks/>
        </xdr:cNvGrpSpPr>
      </xdr:nvGrpSpPr>
      <xdr:grpSpPr bwMode="auto">
        <a:xfrm>
          <a:off x="3413125" y="2970213"/>
          <a:ext cx="1076325" cy="371475"/>
          <a:chOff x="1200" y="1912"/>
          <a:chExt cx="3456" cy="774"/>
        </a:xfrm>
      </xdr:grpSpPr>
      <xdr:sp macro="" textlink="">
        <xdr:nvSpPr>
          <xdr:cNvPr id="3173445" name="AutoShape 26">
            <a:extLst>
              <a:ext uri="{FF2B5EF4-FFF2-40B4-BE49-F238E27FC236}">
                <a16:creationId xmlns="" xmlns:a16="http://schemas.microsoft.com/office/drawing/2014/main" id="{00000000-0008-0000-0000-0000456C30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07941" name="AutoShape 27">
            <a:extLst>
              <a:ext uri="{FF2B5EF4-FFF2-40B4-BE49-F238E27FC236}">
                <a16:creationId xmlns="" xmlns:a16="http://schemas.microsoft.com/office/drawing/2014/main" id="{00000000-0008-0000-0000-0000452C0300}"/>
              </a:ext>
            </a:extLst>
          </xdr:cNvPr>
          <xdr:cNvSpPr>
            <a:spLocks noChangeArrowheads="1"/>
          </xdr:cNvSpPr>
        </xdr:nvSpPr>
        <xdr:spPr bwMode="gray">
          <a:xfrm>
            <a:off x="1292" y="1991"/>
            <a:ext cx="3303" cy="61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a:extLst>
              <a:ext uri="{FF2B5EF4-FFF2-40B4-BE49-F238E27FC236}">
                <a16:creationId xmlns="" xmlns:a16="http://schemas.microsoft.com/office/drawing/2014/main" id="{00000000-0008-0000-0000-0000462C0300}"/>
              </a:ext>
            </a:extLst>
          </xdr:cNvPr>
          <xdr:cNvSpPr>
            <a:spLocks/>
          </xdr:cNvSpPr>
        </xdr:nvSpPr>
        <xdr:spPr bwMode="gray">
          <a:xfrm>
            <a:off x="1292" y="1991"/>
            <a:ext cx="367" cy="35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307975</xdr:colOff>
      <xdr:row>5</xdr:row>
      <xdr:rowOff>0</xdr:rowOff>
    </xdr:from>
    <xdr:to>
      <xdr:col>7</xdr:col>
      <xdr:colOff>400125</xdr:colOff>
      <xdr:row>6</xdr:row>
      <xdr:rowOff>41764</xdr:rowOff>
    </xdr:to>
    <xdr:sp macro="" textlink="">
      <xdr:nvSpPr>
        <xdr:cNvPr id="4899" name="Rectangle 803">
          <a:extLst>
            <a:ext uri="{FF2B5EF4-FFF2-40B4-BE49-F238E27FC236}">
              <a16:creationId xmlns="" xmlns:a16="http://schemas.microsoft.com/office/drawing/2014/main" id="{00000000-0008-0000-0000-000023130000}"/>
            </a:ext>
          </a:extLst>
        </xdr:cNvPr>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295275</xdr:colOff>
      <xdr:row>11</xdr:row>
      <xdr:rowOff>0</xdr:rowOff>
    </xdr:from>
    <xdr:to>
      <xdr:col>11</xdr:col>
      <xdr:colOff>171450</xdr:colOff>
      <xdr:row>13</xdr:row>
      <xdr:rowOff>28575</xdr:rowOff>
    </xdr:to>
    <xdr:grpSp>
      <xdr:nvGrpSpPr>
        <xdr:cNvPr id="3681917" name="Group 832">
          <a:hlinkClick xmlns:r="http://schemas.openxmlformats.org/officeDocument/2006/relationships" r:id="rId6"/>
          <a:extLst>
            <a:ext uri="{FF2B5EF4-FFF2-40B4-BE49-F238E27FC236}">
              <a16:creationId xmlns="" xmlns:a16="http://schemas.microsoft.com/office/drawing/2014/main" id="{00000000-0008-0000-0000-00007D2E3800}"/>
            </a:ext>
          </a:extLst>
        </xdr:cNvPr>
        <xdr:cNvGrpSpPr>
          <a:grpSpLocks/>
        </xdr:cNvGrpSpPr>
      </xdr:nvGrpSpPr>
      <xdr:grpSpPr bwMode="auto">
        <a:xfrm>
          <a:off x="5708650" y="2579688"/>
          <a:ext cx="1511300" cy="409575"/>
          <a:chOff x="599" y="262"/>
          <a:chExt cx="158" cy="43"/>
        </a:xfrm>
      </xdr:grpSpPr>
      <xdr:sp macro="" textlink="">
        <xdr:nvSpPr>
          <xdr:cNvPr id="3173441" name="AutoShape 30">
            <a:extLst>
              <a:ext uri="{FF2B5EF4-FFF2-40B4-BE49-F238E27FC236}">
                <a16:creationId xmlns="" xmlns:a16="http://schemas.microsoft.com/office/drawing/2014/main" id="{00000000-0008-0000-0000-0000416C3000}"/>
              </a:ext>
            </a:extLst>
          </xdr:cNvPr>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48" name="13 Grupo">
            <a:extLst>
              <a:ext uri="{FF2B5EF4-FFF2-40B4-BE49-F238E27FC236}">
                <a16:creationId xmlns="" xmlns:a16="http://schemas.microsoft.com/office/drawing/2014/main" id="{00000000-0008-0000-0000-00009C2E3800}"/>
              </a:ext>
            </a:extLst>
          </xdr:cNvPr>
          <xdr:cNvGrpSpPr>
            <a:grpSpLocks/>
          </xdr:cNvGrpSpPr>
        </xdr:nvGrpSpPr>
        <xdr:grpSpPr bwMode="auto">
          <a:xfrm>
            <a:off x="603" y="267"/>
            <a:ext cx="151" cy="35"/>
            <a:chOff x="1104968" y="2771552"/>
            <a:chExt cx="3605494" cy="566957"/>
          </a:xfrm>
        </xdr:grpSpPr>
        <xdr:sp macro="" textlink="">
          <xdr:nvSpPr>
            <xdr:cNvPr id="4903" name="AutoShape 31">
              <a:extLst>
                <a:ext uri="{FF2B5EF4-FFF2-40B4-BE49-F238E27FC236}">
                  <a16:creationId xmlns="" xmlns:a16="http://schemas.microsoft.com/office/drawing/2014/main" id="{00000000-0008-0000-0000-000027130000}"/>
                </a:ext>
              </a:extLst>
            </xdr:cNvPr>
            <xdr:cNvSpPr>
              <a:spLocks noChangeArrowheads="1"/>
            </xdr:cNvSpPr>
          </xdr:nvSpPr>
          <xdr:spPr bwMode="gray">
            <a:xfrm>
              <a:off x="1033186" y="2641962"/>
              <a:ext cx="3677727" cy="69654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3681950" name="Freeform 32">
              <a:extLst>
                <a:ext uri="{FF2B5EF4-FFF2-40B4-BE49-F238E27FC236}">
                  <a16:creationId xmlns="" xmlns:a16="http://schemas.microsoft.com/office/drawing/2014/main" id="{00000000-0008-0000-0000-00009E2E3800}"/>
                </a:ext>
              </a:extLst>
            </xdr:cNvPr>
            <xdr:cNvSpPr>
              <a:spLocks/>
            </xdr:cNvSpPr>
          </xdr:nvSpPr>
          <xdr:spPr bwMode="gray">
            <a:xfrm>
              <a:off x="1159456" y="2809862"/>
              <a:ext cx="358092" cy="291066"/>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238125</xdr:colOff>
      <xdr:row>7</xdr:row>
      <xdr:rowOff>85725</xdr:rowOff>
    </xdr:from>
    <xdr:to>
      <xdr:col>4</xdr:col>
      <xdr:colOff>114300</xdr:colOff>
      <xdr:row>18</xdr:row>
      <xdr:rowOff>104775</xdr:rowOff>
    </xdr:to>
    <xdr:grpSp>
      <xdr:nvGrpSpPr>
        <xdr:cNvPr id="3681918" name="Group 830">
          <a:extLst>
            <a:ext uri="{FF2B5EF4-FFF2-40B4-BE49-F238E27FC236}">
              <a16:creationId xmlns="" xmlns:a16="http://schemas.microsoft.com/office/drawing/2014/main" id="{00000000-0008-0000-0000-00007E2E3800}"/>
            </a:ext>
          </a:extLst>
        </xdr:cNvPr>
        <xdr:cNvGrpSpPr>
          <a:grpSpLocks/>
        </xdr:cNvGrpSpPr>
      </xdr:nvGrpSpPr>
      <xdr:grpSpPr bwMode="auto">
        <a:xfrm>
          <a:off x="317500" y="1903413"/>
          <a:ext cx="2162175" cy="2114550"/>
          <a:chOff x="32" y="188"/>
          <a:chExt cx="225" cy="225"/>
        </a:xfrm>
      </xdr:grpSpPr>
      <xdr:sp macro="" textlink="">
        <xdr:nvSpPr>
          <xdr:cNvPr id="3681945" name="AutoShape 31">
            <a:extLst>
              <a:ext uri="{FF2B5EF4-FFF2-40B4-BE49-F238E27FC236}">
                <a16:creationId xmlns="" xmlns:a16="http://schemas.microsoft.com/office/drawing/2014/main" id="{00000000-0008-0000-0000-0000992E3800}"/>
              </a:ext>
            </a:extLst>
          </xdr:cNvPr>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sp>
      <xdr:sp macro="" textlink="">
        <xdr:nvSpPr>
          <xdr:cNvPr id="4913" name="Freeform 32">
            <a:extLst>
              <a:ext uri="{FF2B5EF4-FFF2-40B4-BE49-F238E27FC236}">
                <a16:creationId xmlns="" xmlns:a16="http://schemas.microsoft.com/office/drawing/2014/main" id="{00000000-0008-0000-0000-000031130000}"/>
              </a:ext>
            </a:extLst>
          </xdr:cNvPr>
          <xdr:cNvSpPr>
            <a:spLocks/>
          </xdr:cNvSpPr>
        </xdr:nvSpPr>
        <xdr:spPr bwMode="gray">
          <a:xfrm>
            <a:off x="42" y="197"/>
            <a:ext cx="56" cy="28"/>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285750</xdr:colOff>
      <xdr:row>14</xdr:row>
      <xdr:rowOff>57150</xdr:rowOff>
    </xdr:from>
    <xdr:to>
      <xdr:col>11</xdr:col>
      <xdr:colOff>152400</xdr:colOff>
      <xdr:row>16</xdr:row>
      <xdr:rowOff>85725</xdr:rowOff>
    </xdr:to>
    <xdr:grpSp>
      <xdr:nvGrpSpPr>
        <xdr:cNvPr id="3681919" name="Group 826">
          <a:extLst>
            <a:ext uri="{FF2B5EF4-FFF2-40B4-BE49-F238E27FC236}">
              <a16:creationId xmlns="" xmlns:a16="http://schemas.microsoft.com/office/drawing/2014/main" id="{00000000-0008-0000-0000-00007F2E3800}"/>
            </a:ext>
          </a:extLst>
        </xdr:cNvPr>
        <xdr:cNvGrpSpPr>
          <a:grpSpLocks/>
        </xdr:cNvGrpSpPr>
      </xdr:nvGrpSpPr>
      <xdr:grpSpPr bwMode="auto">
        <a:xfrm>
          <a:off x="5699125" y="3208338"/>
          <a:ext cx="1501775" cy="409575"/>
          <a:chOff x="578" y="328"/>
          <a:chExt cx="158" cy="43"/>
        </a:xfrm>
      </xdr:grpSpPr>
      <xdr:sp macro="" textlink="">
        <xdr:nvSpPr>
          <xdr:cNvPr id="3173435" name="AutoShape 30">
            <a:extLst>
              <a:ext uri="{FF2B5EF4-FFF2-40B4-BE49-F238E27FC236}">
                <a16:creationId xmlns="" xmlns:a16="http://schemas.microsoft.com/office/drawing/2014/main" id="{00000000-0008-0000-0000-00003B6C3000}"/>
              </a:ext>
            </a:extLst>
          </xdr:cNvPr>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42" name="Group 823">
            <a:extLst>
              <a:ext uri="{FF2B5EF4-FFF2-40B4-BE49-F238E27FC236}">
                <a16:creationId xmlns="" xmlns:a16="http://schemas.microsoft.com/office/drawing/2014/main" id="{00000000-0008-0000-0000-0000962E3800}"/>
              </a:ext>
            </a:extLst>
          </xdr:cNvPr>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a:extLst>
                <a:ext uri="{FF2B5EF4-FFF2-40B4-BE49-F238E27FC236}">
                  <a16:creationId xmlns="" xmlns:a16="http://schemas.microsoft.com/office/drawing/2014/main" id="{00000000-0008-0000-0000-00002C130000}"/>
                </a:ext>
              </a:extLst>
            </xdr:cNvPr>
            <xdr:cNvSpPr>
              <a:spLocks noChangeArrowheads="1"/>
            </xdr:cNvSpPr>
          </xdr:nvSpPr>
          <xdr:spPr bwMode="gray">
            <a:xfrm>
              <a:off x="582" y="331"/>
              <a:ext cx="151" cy="3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3681944" name="Freeform 32">
              <a:extLst>
                <a:ext uri="{FF2B5EF4-FFF2-40B4-BE49-F238E27FC236}">
                  <a16:creationId xmlns="" xmlns:a16="http://schemas.microsoft.com/office/drawing/2014/main" id="{00000000-0008-0000-0000-0000982E3800}"/>
                </a:ext>
              </a:extLst>
            </xdr:cNvPr>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523875</xdr:colOff>
      <xdr:row>15</xdr:row>
      <xdr:rowOff>133350</xdr:rowOff>
    </xdr:from>
    <xdr:to>
      <xdr:col>3</xdr:col>
      <xdr:colOff>495300</xdr:colOff>
      <xdr:row>17</xdr:row>
      <xdr:rowOff>95250</xdr:rowOff>
    </xdr:to>
    <xdr:grpSp>
      <xdr:nvGrpSpPr>
        <xdr:cNvPr id="3681920" name="Group 831">
          <a:hlinkClick xmlns:r="http://schemas.openxmlformats.org/officeDocument/2006/relationships" r:id="rId8"/>
          <a:extLst>
            <a:ext uri="{FF2B5EF4-FFF2-40B4-BE49-F238E27FC236}">
              <a16:creationId xmlns="" xmlns:a16="http://schemas.microsoft.com/office/drawing/2014/main" id="{00000000-0008-0000-0000-0000802E3800}"/>
            </a:ext>
          </a:extLst>
        </xdr:cNvPr>
        <xdr:cNvGrpSpPr>
          <a:grpSpLocks/>
        </xdr:cNvGrpSpPr>
      </xdr:nvGrpSpPr>
      <xdr:grpSpPr bwMode="auto">
        <a:xfrm>
          <a:off x="603250" y="3475038"/>
          <a:ext cx="1495425" cy="342900"/>
          <a:chOff x="56" y="259"/>
          <a:chExt cx="158" cy="40"/>
        </a:xfrm>
      </xdr:grpSpPr>
      <xdr:sp macro="" textlink="">
        <xdr:nvSpPr>
          <xdr:cNvPr id="3173431" name="AutoShape 30">
            <a:extLst>
              <a:ext uri="{FF2B5EF4-FFF2-40B4-BE49-F238E27FC236}">
                <a16:creationId xmlns="" xmlns:a16="http://schemas.microsoft.com/office/drawing/2014/main" id="{00000000-0008-0000-0000-0000376C3000}"/>
              </a:ext>
            </a:extLst>
          </xdr:cNvPr>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8" name="11 Grupo">
            <a:extLst>
              <a:ext uri="{FF2B5EF4-FFF2-40B4-BE49-F238E27FC236}">
                <a16:creationId xmlns="" xmlns:a16="http://schemas.microsoft.com/office/drawing/2014/main" id="{00000000-0008-0000-0000-0000922E3800}"/>
              </a:ext>
            </a:extLst>
          </xdr:cNvPr>
          <xdr:cNvGrpSpPr>
            <a:grpSpLocks/>
          </xdr:cNvGrpSpPr>
        </xdr:nvGrpSpPr>
        <xdr:grpSpPr bwMode="auto">
          <a:xfrm>
            <a:off x="60" y="263"/>
            <a:ext cx="151" cy="32"/>
            <a:chOff x="1104968" y="2771584"/>
            <a:chExt cx="3605494" cy="566957"/>
          </a:xfrm>
        </xdr:grpSpPr>
        <xdr:sp macro="" textlink="">
          <xdr:nvSpPr>
            <xdr:cNvPr id="9" name="AutoShape 31">
              <a:extLst>
                <a:ext uri="{FF2B5EF4-FFF2-40B4-BE49-F238E27FC236}">
                  <a16:creationId xmlns="" xmlns:a16="http://schemas.microsoft.com/office/drawing/2014/main" id="{00000000-0008-0000-0000-000009000000}"/>
                </a:ext>
              </a:extLst>
            </xdr:cNvPr>
            <xdr:cNvSpPr>
              <a:spLocks noChangeArrowheads="1"/>
            </xdr:cNvSpPr>
          </xdr:nvSpPr>
          <xdr:spPr bwMode="gray">
            <a:xfrm>
              <a:off x="1033487" y="2897574"/>
              <a:ext cx="3676518" cy="492150"/>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a:extLst>
                <a:ext uri="{FF2B5EF4-FFF2-40B4-BE49-F238E27FC236}">
                  <a16:creationId xmlns="" xmlns:a16="http://schemas.microsoft.com/office/drawing/2014/main" id="{00000000-0008-0000-0000-00000A000000}"/>
                </a:ext>
              </a:extLst>
            </xdr:cNvPr>
            <xdr:cNvSpPr>
              <a:spLocks/>
            </xdr:cNvSpPr>
          </xdr:nvSpPr>
          <xdr:spPr bwMode="gray">
            <a:xfrm>
              <a:off x="1153635" y="2897574"/>
              <a:ext cx="360443" cy="19686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523875</xdr:colOff>
      <xdr:row>10</xdr:row>
      <xdr:rowOff>28575</xdr:rowOff>
    </xdr:from>
    <xdr:to>
      <xdr:col>3</xdr:col>
      <xdr:colOff>495300</xdr:colOff>
      <xdr:row>12</xdr:row>
      <xdr:rowOff>9525</xdr:rowOff>
    </xdr:to>
    <xdr:grpSp>
      <xdr:nvGrpSpPr>
        <xdr:cNvPr id="3681921" name="37 Grupo">
          <a:hlinkClick xmlns:r="http://schemas.openxmlformats.org/officeDocument/2006/relationships" r:id="rId9"/>
          <a:extLst>
            <a:ext uri="{FF2B5EF4-FFF2-40B4-BE49-F238E27FC236}">
              <a16:creationId xmlns="" xmlns:a16="http://schemas.microsoft.com/office/drawing/2014/main" id="{00000000-0008-0000-0000-0000812E3800}"/>
            </a:ext>
          </a:extLst>
        </xdr:cNvPr>
        <xdr:cNvGrpSpPr>
          <a:grpSpLocks/>
        </xdr:cNvGrpSpPr>
      </xdr:nvGrpSpPr>
      <xdr:grpSpPr bwMode="auto">
        <a:xfrm>
          <a:off x="603250" y="2417763"/>
          <a:ext cx="1495425" cy="361950"/>
          <a:chOff x="1343025" y="2428876"/>
          <a:chExt cx="3240982" cy="617274"/>
        </a:xfrm>
      </xdr:grpSpPr>
      <xdr:sp macro="" textlink="">
        <xdr:nvSpPr>
          <xdr:cNvPr id="3173427" name="AutoShape 30">
            <a:extLst>
              <a:ext uri="{FF2B5EF4-FFF2-40B4-BE49-F238E27FC236}">
                <a16:creationId xmlns="" xmlns:a16="http://schemas.microsoft.com/office/drawing/2014/main" id="{00000000-0008-0000-0000-0000336C30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4" name="13 Grupo">
            <a:extLst>
              <a:ext uri="{FF2B5EF4-FFF2-40B4-BE49-F238E27FC236}">
                <a16:creationId xmlns="" xmlns:a16="http://schemas.microsoft.com/office/drawing/2014/main" id="{00000000-0008-0000-0000-00008E2E3800}"/>
              </a:ext>
            </a:extLst>
          </xdr:cNvPr>
          <xdr:cNvGrpSpPr>
            <a:grpSpLocks/>
          </xdr:cNvGrpSpPr>
        </xdr:nvGrpSpPr>
        <xdr:grpSpPr bwMode="auto">
          <a:xfrm>
            <a:off x="1419283" y="2495353"/>
            <a:ext cx="3097998" cy="503316"/>
            <a:chOff x="1104968" y="2771552"/>
            <a:chExt cx="3605494" cy="566957"/>
          </a:xfrm>
        </xdr:grpSpPr>
        <xdr:sp macro="" textlink="">
          <xdr:nvSpPr>
            <xdr:cNvPr id="3" name="AutoShape 31">
              <a:extLst>
                <a:ext uri="{FF2B5EF4-FFF2-40B4-BE49-F238E27FC236}">
                  <a16:creationId xmlns="" xmlns:a16="http://schemas.microsoft.com/office/drawing/2014/main" id="{00000000-0008-0000-0000-000003000000}"/>
                </a:ext>
              </a:extLst>
            </xdr:cNvPr>
            <xdr:cNvSpPr>
              <a:spLocks noChangeArrowheads="1"/>
            </xdr:cNvSpPr>
          </xdr:nvSpPr>
          <xdr:spPr bwMode="gray">
            <a:xfrm>
              <a:off x="1112318" y="2769861"/>
              <a:ext cx="3603726" cy="567237"/>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a:extLst>
                <a:ext uri="{FF2B5EF4-FFF2-40B4-BE49-F238E27FC236}">
                  <a16:creationId xmlns="" xmlns:a16="http://schemas.microsoft.com/office/drawing/2014/main" id="{00000000-0008-0000-0000-000004000000}"/>
                </a:ext>
              </a:extLst>
            </xdr:cNvPr>
            <xdr:cNvSpPr>
              <a:spLocks/>
            </xdr:cNvSpPr>
          </xdr:nvSpPr>
          <xdr:spPr bwMode="gray">
            <a:xfrm>
              <a:off x="1160368" y="2806457"/>
              <a:ext cx="360373" cy="292768"/>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523875</xdr:colOff>
      <xdr:row>12</xdr:row>
      <xdr:rowOff>180975</xdr:rowOff>
    </xdr:from>
    <xdr:to>
      <xdr:col>3</xdr:col>
      <xdr:colOff>495300</xdr:colOff>
      <xdr:row>14</xdr:row>
      <xdr:rowOff>180975</xdr:rowOff>
    </xdr:to>
    <xdr:grpSp>
      <xdr:nvGrpSpPr>
        <xdr:cNvPr id="3681922" name="37 Grupo">
          <a:hlinkClick xmlns:r="http://schemas.openxmlformats.org/officeDocument/2006/relationships" r:id="rId10"/>
          <a:extLst>
            <a:ext uri="{FF2B5EF4-FFF2-40B4-BE49-F238E27FC236}">
              <a16:creationId xmlns="" xmlns:a16="http://schemas.microsoft.com/office/drawing/2014/main" id="{00000000-0008-0000-0000-0000822E3800}"/>
            </a:ext>
          </a:extLst>
        </xdr:cNvPr>
        <xdr:cNvGrpSpPr>
          <a:grpSpLocks/>
        </xdr:cNvGrpSpPr>
      </xdr:nvGrpSpPr>
      <xdr:grpSpPr bwMode="auto">
        <a:xfrm>
          <a:off x="603250" y="2951163"/>
          <a:ext cx="1495425" cy="381000"/>
          <a:chOff x="1343025" y="2428876"/>
          <a:chExt cx="3240982" cy="617274"/>
        </a:xfrm>
      </xdr:grpSpPr>
      <xdr:sp macro="" textlink="">
        <xdr:nvSpPr>
          <xdr:cNvPr id="3173423" name="AutoShape 30">
            <a:extLst>
              <a:ext uri="{FF2B5EF4-FFF2-40B4-BE49-F238E27FC236}">
                <a16:creationId xmlns="" xmlns:a16="http://schemas.microsoft.com/office/drawing/2014/main" id="{00000000-0008-0000-0000-00002F6C30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0" name="13 Grupo">
            <a:extLst>
              <a:ext uri="{FF2B5EF4-FFF2-40B4-BE49-F238E27FC236}">
                <a16:creationId xmlns="" xmlns:a16="http://schemas.microsoft.com/office/drawing/2014/main" id="{00000000-0008-0000-0000-00008A2E3800}"/>
              </a:ext>
            </a:extLst>
          </xdr:cNvPr>
          <xdr:cNvGrpSpPr>
            <a:grpSpLocks/>
          </xdr:cNvGrpSpPr>
        </xdr:nvGrpSpPr>
        <xdr:grpSpPr bwMode="auto">
          <a:xfrm>
            <a:off x="1419283" y="2495353"/>
            <a:ext cx="3097998" cy="503316"/>
            <a:chOff x="1104968" y="2771552"/>
            <a:chExt cx="3605494" cy="566957"/>
          </a:xfrm>
        </xdr:grpSpPr>
        <xdr:sp macro="" textlink="">
          <xdr:nvSpPr>
            <xdr:cNvPr id="14" name="AutoShape 31">
              <a:extLst>
                <a:ext uri="{FF2B5EF4-FFF2-40B4-BE49-F238E27FC236}">
                  <a16:creationId xmlns="" xmlns:a16="http://schemas.microsoft.com/office/drawing/2014/main" id="{00000000-0008-0000-0000-00000E000000}"/>
                </a:ext>
              </a:extLst>
            </xdr:cNvPr>
            <xdr:cNvSpPr>
              <a:spLocks noChangeArrowheads="1"/>
            </xdr:cNvSpPr>
          </xdr:nvSpPr>
          <xdr:spPr bwMode="gray">
            <a:xfrm>
              <a:off x="1112318" y="2766201"/>
              <a:ext cx="3603726" cy="573642"/>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a:extLst>
                <a:ext uri="{FF2B5EF4-FFF2-40B4-BE49-F238E27FC236}">
                  <a16:creationId xmlns="" xmlns:a16="http://schemas.microsoft.com/office/drawing/2014/main" id="{00000000-0008-0000-0000-00000F000000}"/>
                </a:ext>
              </a:extLst>
            </xdr:cNvPr>
            <xdr:cNvSpPr>
              <a:spLocks/>
            </xdr:cNvSpPr>
          </xdr:nvSpPr>
          <xdr:spPr bwMode="gray">
            <a:xfrm>
              <a:off x="1160368" y="2766201"/>
              <a:ext cx="360373" cy="34766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257175</xdr:colOff>
      <xdr:row>7</xdr:row>
      <xdr:rowOff>66675</xdr:rowOff>
    </xdr:from>
    <xdr:to>
      <xdr:col>4</xdr:col>
      <xdr:colOff>114300</xdr:colOff>
      <xdr:row>9</xdr:row>
      <xdr:rowOff>133350</xdr:rowOff>
    </xdr:to>
    <xdr:pic>
      <xdr:nvPicPr>
        <xdr:cNvPr id="3681923" name="Picture 2012">
          <a:extLst>
            <a:ext uri="{FF2B5EF4-FFF2-40B4-BE49-F238E27FC236}">
              <a16:creationId xmlns="" xmlns:a16="http://schemas.microsoft.com/office/drawing/2014/main" id="{00000000-0008-0000-0000-0000832E3800}"/>
            </a:ext>
          </a:extLst>
        </xdr:cNvPr>
        <xdr:cNvPicPr>
          <a:picLocks noChangeAspect="1" noChangeArrowheads="1"/>
        </xdr:cNvPicPr>
      </xdr:nvPicPr>
      <xdr:blipFill>
        <a:blip xmlns:r="http://schemas.openxmlformats.org/officeDocument/2006/relationships" r:embed="rId11" cstate="print"/>
        <a:srcRect/>
        <a:stretch>
          <a:fillRect/>
        </a:stretch>
      </xdr:blipFill>
      <xdr:spPr bwMode="auto">
        <a:xfrm>
          <a:off x="333375" y="1876425"/>
          <a:ext cx="2143125" cy="447675"/>
        </a:xfrm>
        <a:prstGeom prst="rect">
          <a:avLst/>
        </a:prstGeom>
        <a:noFill/>
        <a:ln w="9525">
          <a:noFill/>
          <a:miter lim="800000"/>
          <a:headEnd/>
          <a:tailEnd/>
        </a:ln>
      </xdr:spPr>
    </xdr:pic>
    <xdr:clientData/>
  </xdr:twoCellAnchor>
  <xdr:twoCellAnchor editAs="oneCell">
    <xdr:from>
      <xdr:col>1</xdr:col>
      <xdr:colOff>361950</xdr:colOff>
      <xdr:row>7</xdr:row>
      <xdr:rowOff>95250</xdr:rowOff>
    </xdr:from>
    <xdr:to>
      <xdr:col>4</xdr:col>
      <xdr:colOff>38318</xdr:colOff>
      <xdr:row>9</xdr:row>
      <xdr:rowOff>95477</xdr:rowOff>
    </xdr:to>
    <xdr:sp macro="" textlink="">
      <xdr:nvSpPr>
        <xdr:cNvPr id="955357" name="Text Box 2013">
          <a:extLst>
            <a:ext uri="{FF2B5EF4-FFF2-40B4-BE49-F238E27FC236}">
              <a16:creationId xmlns="" xmlns:a16="http://schemas.microsoft.com/office/drawing/2014/main" id="{00000000-0008-0000-0000-0000DD930E00}"/>
            </a:ext>
          </a:extLst>
        </xdr:cNvPr>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700"/>
            </a:lnSpc>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lnSpc>
              <a:spcPts val="1700"/>
            </a:lnSpc>
            <a:defRPr sz="1000"/>
          </a:pPr>
          <a:endParaRPr lang="en-US" sz="1800" b="0" i="0" strike="noStrike">
            <a:solidFill>
              <a:srgbClr val="000000"/>
            </a:solidFill>
            <a:latin typeface="Arial"/>
            <a:cs typeface="Arial"/>
          </a:endParaRPr>
        </a:p>
      </xdr:txBody>
    </xdr:sp>
    <xdr:clientData/>
  </xdr:twoCellAnchor>
  <xdr:twoCellAnchor editAs="oneCell">
    <xdr:from>
      <xdr:col>4</xdr:col>
      <xdr:colOff>238125</xdr:colOff>
      <xdr:row>7</xdr:row>
      <xdr:rowOff>66675</xdr:rowOff>
    </xdr:from>
    <xdr:to>
      <xdr:col>7</xdr:col>
      <xdr:colOff>561975</xdr:colOff>
      <xdr:row>9</xdr:row>
      <xdr:rowOff>133350</xdr:rowOff>
    </xdr:to>
    <xdr:pic>
      <xdr:nvPicPr>
        <xdr:cNvPr id="3681925" name="Picture 2016">
          <a:extLst>
            <a:ext uri="{FF2B5EF4-FFF2-40B4-BE49-F238E27FC236}">
              <a16:creationId xmlns="" xmlns:a16="http://schemas.microsoft.com/office/drawing/2014/main" id="{00000000-0008-0000-0000-0000852E3800}"/>
            </a:ext>
          </a:extLst>
        </xdr:cNvPr>
        <xdr:cNvPicPr>
          <a:picLocks noChangeAspect="1" noChangeArrowheads="1"/>
        </xdr:cNvPicPr>
      </xdr:nvPicPr>
      <xdr:blipFill>
        <a:blip xmlns:r="http://schemas.openxmlformats.org/officeDocument/2006/relationships" r:embed="rId12" cstate="print"/>
        <a:srcRect/>
        <a:stretch>
          <a:fillRect/>
        </a:stretch>
      </xdr:blipFill>
      <xdr:spPr bwMode="auto">
        <a:xfrm>
          <a:off x="2600325" y="1876425"/>
          <a:ext cx="2609850" cy="447675"/>
        </a:xfrm>
        <a:prstGeom prst="rect">
          <a:avLst/>
        </a:prstGeom>
        <a:noFill/>
        <a:ln w="9525">
          <a:noFill/>
          <a:miter lim="800000"/>
          <a:headEnd/>
          <a:tailEnd/>
        </a:ln>
      </xdr:spPr>
    </xdr:pic>
    <xdr:clientData/>
  </xdr:twoCellAnchor>
  <xdr:twoCellAnchor editAs="oneCell">
    <xdr:from>
      <xdr:col>4</xdr:col>
      <xdr:colOff>600075</xdr:colOff>
      <xdr:row>7</xdr:row>
      <xdr:rowOff>95250</xdr:rowOff>
    </xdr:from>
    <xdr:to>
      <xdr:col>7</xdr:col>
      <xdr:colOff>304669</xdr:colOff>
      <xdr:row>9</xdr:row>
      <xdr:rowOff>104775</xdr:rowOff>
    </xdr:to>
    <xdr:sp macro="" textlink="">
      <xdr:nvSpPr>
        <xdr:cNvPr id="955361" name="Text Box 2017">
          <a:extLst>
            <a:ext uri="{FF2B5EF4-FFF2-40B4-BE49-F238E27FC236}">
              <a16:creationId xmlns="" xmlns:a16="http://schemas.microsoft.com/office/drawing/2014/main" id="{00000000-0008-0000-0000-0000E1930E00}"/>
            </a:ext>
          </a:extLst>
        </xdr:cNvPr>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twoCellAnchor editAs="oneCell">
    <xdr:from>
      <xdr:col>7</xdr:col>
      <xdr:colOff>723900</xdr:colOff>
      <xdr:row>7</xdr:row>
      <xdr:rowOff>85725</xdr:rowOff>
    </xdr:from>
    <xdr:to>
      <xdr:col>11</xdr:col>
      <xdr:colOff>495300</xdr:colOff>
      <xdr:row>9</xdr:row>
      <xdr:rowOff>133350</xdr:rowOff>
    </xdr:to>
    <xdr:pic>
      <xdr:nvPicPr>
        <xdr:cNvPr id="3681927" name="Picture 2018">
          <a:extLst>
            <a:ext uri="{FF2B5EF4-FFF2-40B4-BE49-F238E27FC236}">
              <a16:creationId xmlns="" xmlns:a16="http://schemas.microsoft.com/office/drawing/2014/main" id="{00000000-0008-0000-0000-0000872E3800}"/>
            </a:ext>
          </a:extLst>
        </xdr:cNvPr>
        <xdr:cNvPicPr>
          <a:picLocks noChangeAspect="1" noChangeArrowheads="1"/>
        </xdr:cNvPicPr>
      </xdr:nvPicPr>
      <xdr:blipFill>
        <a:blip xmlns:r="http://schemas.openxmlformats.org/officeDocument/2006/relationships" r:embed="rId13" cstate="print"/>
        <a:srcRect/>
        <a:stretch>
          <a:fillRect/>
        </a:stretch>
      </xdr:blipFill>
      <xdr:spPr bwMode="auto">
        <a:xfrm>
          <a:off x="5372100" y="1895475"/>
          <a:ext cx="2171700" cy="428625"/>
        </a:xfrm>
        <a:prstGeom prst="rect">
          <a:avLst/>
        </a:prstGeom>
        <a:noFill/>
        <a:ln w="9525">
          <a:noFill/>
          <a:miter lim="800000"/>
          <a:headEnd/>
          <a:tailEnd/>
        </a:ln>
      </xdr:spPr>
    </xdr:pic>
    <xdr:clientData/>
  </xdr:twoCellAnchor>
  <xdr:twoCellAnchor editAs="oneCell">
    <xdr:from>
      <xdr:col>8</xdr:col>
      <xdr:colOff>66675</xdr:colOff>
      <xdr:row>7</xdr:row>
      <xdr:rowOff>95250</xdr:rowOff>
    </xdr:from>
    <xdr:to>
      <xdr:col>11</xdr:col>
      <xdr:colOff>409958</xdr:colOff>
      <xdr:row>9</xdr:row>
      <xdr:rowOff>104775</xdr:rowOff>
    </xdr:to>
    <xdr:sp macro="" textlink="">
      <xdr:nvSpPr>
        <xdr:cNvPr id="955363" name="Text Box 2019">
          <a:extLst>
            <a:ext uri="{FF2B5EF4-FFF2-40B4-BE49-F238E27FC236}">
              <a16:creationId xmlns="" xmlns:a16="http://schemas.microsoft.com/office/drawing/2014/main" id="{00000000-0008-0000-0000-0000E3930E00}"/>
            </a:ext>
          </a:extLst>
        </xdr:cNvPr>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1</xdr:row>
      <xdr:rowOff>66675</xdr:rowOff>
    </xdr:from>
    <xdr:to>
      <xdr:col>1</xdr:col>
      <xdr:colOff>123825</xdr:colOff>
      <xdr:row>4</xdr:row>
      <xdr:rowOff>85725</xdr:rowOff>
    </xdr:to>
    <xdr:pic>
      <xdr:nvPicPr>
        <xdr:cNvPr id="9755" name="Picture 2" descr="C:\Documents and Settings\Administrator\My Documents\My Pictures\Prueba.jpg">
          <a:extLst>
            <a:ext uri="{FF2B5EF4-FFF2-40B4-BE49-F238E27FC236}">
              <a16:creationId xmlns="" xmlns:a16="http://schemas.microsoft.com/office/drawing/2014/main" id="{00000000-0008-0000-0900-00001B26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42875" y="257175"/>
          <a:ext cx="742950"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41275</xdr:colOff>
      <xdr:row>0</xdr:row>
      <xdr:rowOff>28575</xdr:rowOff>
    </xdr:from>
    <xdr:to>
      <xdr:col>1</xdr:col>
      <xdr:colOff>1118535</xdr:colOff>
      <xdr:row>1</xdr:row>
      <xdr:rowOff>0</xdr:rowOff>
    </xdr:to>
    <xdr:sp macro="" textlink="">
      <xdr:nvSpPr>
        <xdr:cNvPr id="54346" name="AutoShape 50">
          <a:hlinkClick xmlns:r="http://schemas.openxmlformats.org/officeDocument/2006/relationships" r:id="rId1"/>
          <a:extLst>
            <a:ext uri="{FF2B5EF4-FFF2-40B4-BE49-F238E27FC236}">
              <a16:creationId xmlns="" xmlns:a16="http://schemas.microsoft.com/office/drawing/2014/main" id="{00000000-0008-0000-0100-00004AD40000}"/>
            </a:ext>
          </a:extLst>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945917</xdr:colOff>
      <xdr:row>1</xdr:row>
      <xdr:rowOff>9525</xdr:rowOff>
    </xdr:to>
    <xdr:sp macro="" textlink="">
      <xdr:nvSpPr>
        <xdr:cNvPr id="6445" name="AutoShape 50">
          <a:hlinkClick xmlns:r="http://schemas.openxmlformats.org/officeDocument/2006/relationships" r:id="rId1"/>
          <a:extLst>
            <a:ext uri="{FF2B5EF4-FFF2-40B4-BE49-F238E27FC236}">
              <a16:creationId xmlns="" xmlns:a16="http://schemas.microsoft.com/office/drawing/2014/main" id="{00000000-0008-0000-0200-00002D190000}"/>
            </a:ext>
          </a:extLst>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1000125</xdr:colOff>
      <xdr:row>34</xdr:row>
      <xdr:rowOff>133350</xdr:rowOff>
    </xdr:from>
    <xdr:to>
      <xdr:col>6</xdr:col>
      <xdr:colOff>1000125</xdr:colOff>
      <xdr:row>45</xdr:row>
      <xdr:rowOff>161925</xdr:rowOff>
    </xdr:to>
    <xdr:cxnSp macro="">
      <xdr:nvCxnSpPr>
        <xdr:cNvPr id="7059" name="AutoShape 100">
          <a:extLst>
            <a:ext uri="{FF2B5EF4-FFF2-40B4-BE49-F238E27FC236}">
              <a16:creationId xmlns="" xmlns:a16="http://schemas.microsoft.com/office/drawing/2014/main" id="{00000000-0008-0000-0200-0000931B0000}"/>
            </a:ext>
          </a:extLst>
        </xdr:cNvPr>
        <xdr:cNvCxnSpPr>
          <a:cxnSpLocks noChangeShapeType="1"/>
        </xdr:cNvCxnSpPr>
      </xdr:nvCxnSpPr>
      <xdr:spPr bwMode="auto">
        <a:xfrm rot="5400000">
          <a:off x="7967662" y="6748463"/>
          <a:ext cx="2714625" cy="0"/>
        </a:xfrm>
        <a:prstGeom prst="straightConnector1">
          <a:avLst/>
        </a:prstGeom>
        <a:noFill/>
        <a:ln w="9525">
          <a:solidFill>
            <a:srgbClr val="000000"/>
          </a:solidFill>
          <a:round/>
          <a:headEnd type="triangle" w="med" len="med"/>
          <a:tailEnd type="triangle" w="med" len="med"/>
        </a:ln>
      </xdr:spPr>
    </xdr:cxnSp>
    <xdr:clientData/>
  </xdr:twoCellAnchor>
  <xdr:twoCellAnchor>
    <xdr:from>
      <xdr:col>4</xdr:col>
      <xdr:colOff>0</xdr:colOff>
      <xdr:row>46</xdr:row>
      <xdr:rowOff>104775</xdr:rowOff>
    </xdr:from>
    <xdr:to>
      <xdr:col>4</xdr:col>
      <xdr:colOff>1066800</xdr:colOff>
      <xdr:row>46</xdr:row>
      <xdr:rowOff>104775</xdr:rowOff>
    </xdr:to>
    <xdr:cxnSp macro="">
      <xdr:nvCxnSpPr>
        <xdr:cNvPr id="7060" name="AutoShape 101">
          <a:extLst>
            <a:ext uri="{FF2B5EF4-FFF2-40B4-BE49-F238E27FC236}">
              <a16:creationId xmlns="" xmlns:a16="http://schemas.microsoft.com/office/drawing/2014/main" id="{00000000-0008-0000-0200-0000941B0000}"/>
            </a:ext>
          </a:extLst>
        </xdr:cNvPr>
        <xdr:cNvCxnSpPr>
          <a:cxnSpLocks noChangeShapeType="1"/>
        </xdr:cNvCxnSpPr>
      </xdr:nvCxnSpPr>
      <xdr:spPr bwMode="auto">
        <a:xfrm rot="10800000">
          <a:off x="6067425" y="8248650"/>
          <a:ext cx="1066800" cy="0"/>
        </a:xfrm>
        <a:prstGeom prst="straightConnector1">
          <a:avLst/>
        </a:prstGeom>
        <a:noFill/>
        <a:ln w="9525">
          <a:solidFill>
            <a:srgbClr val="000000"/>
          </a:solidFill>
          <a:round/>
          <a:headEnd type="triangle" w="med" len="med"/>
          <a:tailEnd type="triangle"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190500</xdr:colOff>
      <xdr:row>2</xdr:row>
      <xdr:rowOff>0</xdr:rowOff>
    </xdr:from>
    <xdr:to>
      <xdr:col>0</xdr:col>
      <xdr:colOff>1187639</xdr:colOff>
      <xdr:row>2</xdr:row>
      <xdr:rowOff>422805</xdr:rowOff>
    </xdr:to>
    <xdr:sp macro="" textlink="">
      <xdr:nvSpPr>
        <xdr:cNvPr id="3189" name="Rectangle 117">
          <a:hlinkClick xmlns:r="http://schemas.openxmlformats.org/officeDocument/2006/relationships" r:id="rId1"/>
          <a:extLst>
            <a:ext uri="{FF2B5EF4-FFF2-40B4-BE49-F238E27FC236}">
              <a16:creationId xmlns="" xmlns:a16="http://schemas.microsoft.com/office/drawing/2014/main" id="{00000000-0008-0000-0300-0000750C0000}"/>
            </a:ext>
          </a:extLst>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lnSpc>
              <a:spcPts val="900"/>
            </a:lnSpc>
            <a:defRPr sz="1000"/>
          </a:pPr>
          <a:r>
            <a:rPr lang="en-ZA" sz="900" b="0" i="0" strike="noStrike">
              <a:solidFill>
                <a:srgbClr val="000000"/>
              </a:solidFill>
              <a:latin typeface="Calibri"/>
            </a:rPr>
            <a:t>http://www.crwflags.com/fotw/flags/country.html</a:t>
          </a:r>
        </a:p>
      </xdr:txBody>
    </xdr:sp>
    <xdr:clientData/>
  </xdr:twoCellAnchor>
  <xdr:twoCellAnchor>
    <xdr:from>
      <xdr:col>0</xdr:col>
      <xdr:colOff>44450</xdr:colOff>
      <xdr:row>0</xdr:row>
      <xdr:rowOff>6350</xdr:rowOff>
    </xdr:from>
    <xdr:to>
      <xdr:col>0</xdr:col>
      <xdr:colOff>1108819</xdr:colOff>
      <xdr:row>1</xdr:row>
      <xdr:rowOff>76401</xdr:rowOff>
    </xdr:to>
    <xdr:sp macro="" textlink="">
      <xdr:nvSpPr>
        <xdr:cNvPr id="3455" name="AutoShape 50">
          <a:hlinkClick xmlns:r="http://schemas.openxmlformats.org/officeDocument/2006/relationships" r:id="rId2"/>
          <a:extLst>
            <a:ext uri="{FF2B5EF4-FFF2-40B4-BE49-F238E27FC236}">
              <a16:creationId xmlns="" xmlns:a16="http://schemas.microsoft.com/office/drawing/2014/main" id="{00000000-0008-0000-0300-00007F0D0000}"/>
            </a:ext>
          </a:extLst>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9</xdr:row>
      <xdr:rowOff>95250</xdr:rowOff>
    </xdr:from>
    <xdr:to>
      <xdr:col>6</xdr:col>
      <xdr:colOff>19050</xdr:colOff>
      <xdr:row>20</xdr:row>
      <xdr:rowOff>180975</xdr:rowOff>
    </xdr:to>
    <xdr:graphicFrame macro="">
      <xdr:nvGraphicFramePr>
        <xdr:cNvPr id="2841219" name="Chart 32">
          <a:extLst>
            <a:ext uri="{FF2B5EF4-FFF2-40B4-BE49-F238E27FC236}">
              <a16:creationId xmlns="" xmlns:a16="http://schemas.microsoft.com/office/drawing/2014/main" id="{00000000-0008-0000-0400-0000835A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44450</xdr:colOff>
      <xdr:row>0</xdr:row>
      <xdr:rowOff>28575</xdr:rowOff>
    </xdr:from>
    <xdr:to>
      <xdr:col>2</xdr:col>
      <xdr:colOff>77</xdr:colOff>
      <xdr:row>0</xdr:row>
      <xdr:rowOff>349603</xdr:rowOff>
    </xdr:to>
    <xdr:sp macro="" textlink="">
      <xdr:nvSpPr>
        <xdr:cNvPr id="7519" name="AutoShape 50">
          <a:hlinkClick xmlns:r="http://schemas.openxmlformats.org/officeDocument/2006/relationships" r:id="rId2"/>
          <a:extLst>
            <a:ext uri="{FF2B5EF4-FFF2-40B4-BE49-F238E27FC236}">
              <a16:creationId xmlns="" xmlns:a16="http://schemas.microsoft.com/office/drawing/2014/main" id="{00000000-0008-0000-0400-00005F1D0000}"/>
            </a:ext>
          </a:extLst>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38100</xdr:colOff>
      <xdr:row>9</xdr:row>
      <xdr:rowOff>66675</xdr:rowOff>
    </xdr:from>
    <xdr:to>
      <xdr:col>11</xdr:col>
      <xdr:colOff>0</xdr:colOff>
      <xdr:row>21</xdr:row>
      <xdr:rowOff>9525</xdr:rowOff>
    </xdr:to>
    <xdr:grpSp>
      <xdr:nvGrpSpPr>
        <xdr:cNvPr id="2841221" name="Group 489">
          <a:extLst>
            <a:ext uri="{FF2B5EF4-FFF2-40B4-BE49-F238E27FC236}">
              <a16:creationId xmlns="" xmlns:a16="http://schemas.microsoft.com/office/drawing/2014/main" id="{00000000-0008-0000-0400-0000855A2B00}"/>
            </a:ext>
          </a:extLst>
        </xdr:cNvPr>
        <xdr:cNvGrpSpPr>
          <a:grpSpLocks/>
        </xdr:cNvGrpSpPr>
      </xdr:nvGrpSpPr>
      <xdr:grpSpPr bwMode="auto">
        <a:xfrm>
          <a:off x="3911600" y="2193925"/>
          <a:ext cx="3486150" cy="2228850"/>
          <a:chOff x="410" y="229"/>
          <a:chExt cx="366" cy="234"/>
        </a:xfrm>
      </xdr:grpSpPr>
      <xdr:graphicFrame macro="">
        <xdr:nvGraphicFramePr>
          <xdr:cNvPr id="2841225" name="Chart 31">
            <a:extLst>
              <a:ext uri="{FF2B5EF4-FFF2-40B4-BE49-F238E27FC236}">
                <a16:creationId xmlns="" xmlns:a16="http://schemas.microsoft.com/office/drawing/2014/main" id="{00000000-0008-0000-0400-0000895A2B00}"/>
              </a:ext>
            </a:extLst>
          </xdr:cNvPr>
          <xdr:cNvGraphicFramePr>
            <a:graphicFrameLocks/>
          </xdr:cNvGraphicFramePr>
        </xdr:nvGraphicFramePr>
        <xdr:xfrm>
          <a:off x="410" y="229"/>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2841226" name="Picture 477" descr="one">
            <a:extLst>
              <a:ext uri="{FF2B5EF4-FFF2-40B4-BE49-F238E27FC236}">
                <a16:creationId xmlns="" xmlns:a16="http://schemas.microsoft.com/office/drawing/2014/main" id="{00000000-0008-0000-0400-00008A5A2B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56" y="441"/>
            <a:ext cx="297" cy="22"/>
          </a:xfrm>
          <a:prstGeom prst="rect">
            <a:avLst/>
          </a:prstGeom>
          <a:noFill/>
          <a:ln w="9525">
            <a:noFill/>
            <a:miter lim="800000"/>
            <a:headEnd/>
            <a:tailEnd/>
          </a:ln>
        </xdr:spPr>
      </xdr:pic>
    </xdr:grpSp>
    <xdr:clientData/>
  </xdr:twoCellAnchor>
  <xdr:twoCellAnchor>
    <xdr:from>
      <xdr:col>0</xdr:col>
      <xdr:colOff>0</xdr:colOff>
      <xdr:row>23</xdr:row>
      <xdr:rowOff>0</xdr:rowOff>
    </xdr:from>
    <xdr:to>
      <xdr:col>6</xdr:col>
      <xdr:colOff>0</xdr:colOff>
      <xdr:row>32</xdr:row>
      <xdr:rowOff>57150</xdr:rowOff>
    </xdr:to>
    <xdr:grpSp>
      <xdr:nvGrpSpPr>
        <xdr:cNvPr id="2841222" name="Group 490">
          <a:extLst>
            <a:ext uri="{FF2B5EF4-FFF2-40B4-BE49-F238E27FC236}">
              <a16:creationId xmlns="" xmlns:a16="http://schemas.microsoft.com/office/drawing/2014/main" id="{00000000-0008-0000-0400-0000865A2B00}"/>
            </a:ext>
          </a:extLst>
        </xdr:cNvPr>
        <xdr:cNvGrpSpPr>
          <a:grpSpLocks/>
        </xdr:cNvGrpSpPr>
      </xdr:nvGrpSpPr>
      <xdr:grpSpPr bwMode="auto">
        <a:xfrm>
          <a:off x="0" y="4826000"/>
          <a:ext cx="3873500" cy="2355850"/>
          <a:chOff x="0" y="505"/>
          <a:chExt cx="407" cy="245"/>
        </a:xfrm>
      </xdr:grpSpPr>
      <xdr:graphicFrame macro="">
        <xdr:nvGraphicFramePr>
          <xdr:cNvPr id="2841223" name="Chart 34">
            <a:extLst>
              <a:ext uri="{FF2B5EF4-FFF2-40B4-BE49-F238E27FC236}">
                <a16:creationId xmlns="" xmlns:a16="http://schemas.microsoft.com/office/drawing/2014/main" id="{00000000-0008-0000-0400-0000875A2B00}"/>
              </a:ext>
            </a:extLst>
          </xdr:cNvPr>
          <xdr:cNvGraphicFramePr>
            <a:graphicFrameLocks/>
          </xdr:cNvGraphicFramePr>
        </xdr:nvGraphicFramePr>
        <xdr:xfrm>
          <a:off x="0" y="505"/>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2841224" name="Picture 487" descr="ok">
            <a:extLst>
              <a:ext uri="{FF2B5EF4-FFF2-40B4-BE49-F238E27FC236}">
                <a16:creationId xmlns="" xmlns:a16="http://schemas.microsoft.com/office/drawing/2014/main" id="{00000000-0008-0000-0400-0000885A2B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86" y="708"/>
            <a:ext cx="259" cy="22"/>
          </a:xfrm>
          <a:prstGeom prst="rect">
            <a:avLst/>
          </a:prstGeom>
          <a:noFill/>
          <a:ln w="9525">
            <a:noFill/>
            <a:miter lim="800000"/>
            <a:headEnd/>
            <a:tailEnd/>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38100</xdr:colOff>
      <xdr:row>7</xdr:row>
      <xdr:rowOff>180975</xdr:rowOff>
    </xdr:from>
    <xdr:to>
      <xdr:col>12</xdr:col>
      <xdr:colOff>238125</xdr:colOff>
      <xdr:row>14</xdr:row>
      <xdr:rowOff>152400</xdr:rowOff>
    </xdr:to>
    <xdr:graphicFrame macro="">
      <xdr:nvGraphicFramePr>
        <xdr:cNvPr id="2869720" name="Chart 1034">
          <a:extLst>
            <a:ext uri="{FF2B5EF4-FFF2-40B4-BE49-F238E27FC236}">
              <a16:creationId xmlns="" xmlns:a16="http://schemas.microsoft.com/office/drawing/2014/main" id="{00000000-0008-0000-0500-0000D8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16</xdr:row>
      <xdr:rowOff>0</xdr:rowOff>
    </xdr:from>
    <xdr:to>
      <xdr:col>5</xdr:col>
      <xdr:colOff>962025</xdr:colOff>
      <xdr:row>25</xdr:row>
      <xdr:rowOff>28575</xdr:rowOff>
    </xdr:to>
    <xdr:graphicFrame macro="">
      <xdr:nvGraphicFramePr>
        <xdr:cNvPr id="2869721" name="Chart 1039">
          <a:extLst>
            <a:ext uri="{FF2B5EF4-FFF2-40B4-BE49-F238E27FC236}">
              <a16:creationId xmlns="" xmlns:a16="http://schemas.microsoft.com/office/drawing/2014/main" id="{00000000-0008-0000-0500-0000D9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95250</xdr:colOff>
      <xdr:row>8</xdr:row>
      <xdr:rowOff>9525</xdr:rowOff>
    </xdr:from>
    <xdr:to>
      <xdr:col>5</xdr:col>
      <xdr:colOff>1104900</xdr:colOff>
      <xdr:row>14</xdr:row>
      <xdr:rowOff>66675</xdr:rowOff>
    </xdr:to>
    <xdr:graphicFrame macro="">
      <xdr:nvGraphicFramePr>
        <xdr:cNvPr id="2869722" name="Chart 1046">
          <a:extLst>
            <a:ext uri="{FF2B5EF4-FFF2-40B4-BE49-F238E27FC236}">
              <a16:creationId xmlns="" xmlns:a16="http://schemas.microsoft.com/office/drawing/2014/main" id="{00000000-0008-0000-0500-0000DA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16</xdr:row>
      <xdr:rowOff>9525</xdr:rowOff>
    </xdr:from>
    <xdr:to>
      <xdr:col>12</xdr:col>
      <xdr:colOff>180975</xdr:colOff>
      <xdr:row>25</xdr:row>
      <xdr:rowOff>28575</xdr:rowOff>
    </xdr:to>
    <xdr:graphicFrame macro="">
      <xdr:nvGraphicFramePr>
        <xdr:cNvPr id="2869723" name="Chart 1054">
          <a:extLst>
            <a:ext uri="{FF2B5EF4-FFF2-40B4-BE49-F238E27FC236}">
              <a16:creationId xmlns="" xmlns:a16="http://schemas.microsoft.com/office/drawing/2014/main" id="{00000000-0008-0000-0500-0000DB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209550</xdr:colOff>
      <xdr:row>27</xdr:row>
      <xdr:rowOff>57150</xdr:rowOff>
    </xdr:from>
    <xdr:to>
      <xdr:col>5</xdr:col>
      <xdr:colOff>657225</xdr:colOff>
      <xdr:row>33</xdr:row>
      <xdr:rowOff>257175</xdr:rowOff>
    </xdr:to>
    <xdr:graphicFrame macro="">
      <xdr:nvGraphicFramePr>
        <xdr:cNvPr id="2869724" name="Chart 1091">
          <a:extLst>
            <a:ext uri="{FF2B5EF4-FFF2-40B4-BE49-F238E27FC236}">
              <a16:creationId xmlns="" xmlns:a16="http://schemas.microsoft.com/office/drawing/2014/main" id="{00000000-0008-0000-0500-0000DC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6350</xdr:rowOff>
    </xdr:from>
    <xdr:to>
      <xdr:col>2</xdr:col>
      <xdr:colOff>3175</xdr:colOff>
      <xdr:row>0</xdr:row>
      <xdr:rowOff>352547</xdr:rowOff>
    </xdr:to>
    <xdr:sp macro="" textlink="">
      <xdr:nvSpPr>
        <xdr:cNvPr id="14769" name="AutoShape 50">
          <a:hlinkClick xmlns:r="http://schemas.openxmlformats.org/officeDocument/2006/relationships" r:id="rId6"/>
          <a:extLst>
            <a:ext uri="{FF2B5EF4-FFF2-40B4-BE49-F238E27FC236}">
              <a16:creationId xmlns="" xmlns:a16="http://schemas.microsoft.com/office/drawing/2014/main" id="{00000000-0008-0000-0500-0000B1390000}"/>
            </a:ext>
          </a:extLst>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152400</xdr:colOff>
      <xdr:row>9</xdr:row>
      <xdr:rowOff>47625</xdr:rowOff>
    </xdr:from>
    <xdr:to>
      <xdr:col>11</xdr:col>
      <xdr:colOff>47625</xdr:colOff>
      <xdr:row>17</xdr:row>
      <xdr:rowOff>0</xdr:rowOff>
    </xdr:to>
    <xdr:graphicFrame macro="">
      <xdr:nvGraphicFramePr>
        <xdr:cNvPr id="3615818" name="Chart 33">
          <a:extLst>
            <a:ext uri="{FF2B5EF4-FFF2-40B4-BE49-F238E27FC236}">
              <a16:creationId xmlns="" xmlns:a16="http://schemas.microsoft.com/office/drawing/2014/main" id="{00000000-0008-0000-0600-00004A2C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1</xdr:col>
      <xdr:colOff>1057275</xdr:colOff>
      <xdr:row>1</xdr:row>
      <xdr:rowOff>0</xdr:rowOff>
    </xdr:to>
    <xdr:sp macro="" textlink="">
      <xdr:nvSpPr>
        <xdr:cNvPr id="21885" name="AutoShape 50">
          <a:hlinkClick xmlns:r="http://schemas.openxmlformats.org/officeDocument/2006/relationships" r:id="rId2"/>
          <a:extLst>
            <a:ext uri="{FF2B5EF4-FFF2-40B4-BE49-F238E27FC236}">
              <a16:creationId xmlns="" xmlns:a16="http://schemas.microsoft.com/office/drawing/2014/main" id="{00000000-0008-0000-0600-00007D550000}"/>
            </a:ext>
          </a:extLst>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352425</xdr:colOff>
      <xdr:row>9</xdr:row>
      <xdr:rowOff>76200</xdr:rowOff>
    </xdr:from>
    <xdr:to>
      <xdr:col>16</xdr:col>
      <xdr:colOff>762000</xdr:colOff>
      <xdr:row>17</xdr:row>
      <xdr:rowOff>9525</xdr:rowOff>
    </xdr:to>
    <xdr:graphicFrame macro="">
      <xdr:nvGraphicFramePr>
        <xdr:cNvPr id="3615820" name="Chart 488">
          <a:extLst>
            <a:ext uri="{FF2B5EF4-FFF2-40B4-BE49-F238E27FC236}">
              <a16:creationId xmlns="" xmlns:a16="http://schemas.microsoft.com/office/drawing/2014/main" id="{00000000-0008-0000-0600-00004C2C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666750</xdr:colOff>
      <xdr:row>9</xdr:row>
      <xdr:rowOff>85725</xdr:rowOff>
    </xdr:from>
    <xdr:to>
      <xdr:col>4</xdr:col>
      <xdr:colOff>400050</xdr:colOff>
      <xdr:row>17</xdr:row>
      <xdr:rowOff>66675</xdr:rowOff>
    </xdr:to>
    <xdr:graphicFrame macro="">
      <xdr:nvGraphicFramePr>
        <xdr:cNvPr id="3615821" name="Chart 553">
          <a:extLst>
            <a:ext uri="{FF2B5EF4-FFF2-40B4-BE49-F238E27FC236}">
              <a16:creationId xmlns="" xmlns:a16="http://schemas.microsoft.com/office/drawing/2014/main" id="{00000000-0008-0000-0600-00004D2C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85725</xdr:colOff>
      <xdr:row>20</xdr:row>
      <xdr:rowOff>0</xdr:rowOff>
    </xdr:to>
    <xdr:grpSp>
      <xdr:nvGrpSpPr>
        <xdr:cNvPr id="3432879" name="Group 41">
          <a:extLst>
            <a:ext uri="{FF2B5EF4-FFF2-40B4-BE49-F238E27FC236}">
              <a16:creationId xmlns="" xmlns:a16="http://schemas.microsoft.com/office/drawing/2014/main" id="{00000000-0008-0000-0700-0000AF613400}"/>
            </a:ext>
          </a:extLst>
        </xdr:cNvPr>
        <xdr:cNvGrpSpPr>
          <a:grpSpLocks/>
        </xdr:cNvGrpSpPr>
      </xdr:nvGrpSpPr>
      <xdr:grpSpPr bwMode="auto">
        <a:xfrm>
          <a:off x="5806722" y="5108222"/>
          <a:ext cx="85725" cy="0"/>
          <a:chOff x="595" y="540"/>
          <a:chExt cx="9" cy="9"/>
        </a:xfrm>
      </xdr:grpSpPr>
      <xdr:sp macro="" textlink="">
        <xdr:nvSpPr>
          <xdr:cNvPr id="3432890" name="Rectangle 11">
            <a:extLst>
              <a:ext uri="{FF2B5EF4-FFF2-40B4-BE49-F238E27FC236}">
                <a16:creationId xmlns="" xmlns:a16="http://schemas.microsoft.com/office/drawing/2014/main" id="{00000000-0008-0000-0700-0000BA613400}"/>
              </a:ext>
            </a:extLst>
          </xdr:cNvPr>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891" name="Arc 12">
            <a:extLst>
              <a:ext uri="{FF2B5EF4-FFF2-40B4-BE49-F238E27FC236}">
                <a16:creationId xmlns="" xmlns:a16="http://schemas.microsoft.com/office/drawing/2014/main" id="{00000000-0008-0000-0700-0000BB6134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8</xdr:col>
      <xdr:colOff>981075</xdr:colOff>
      <xdr:row>20</xdr:row>
      <xdr:rowOff>0</xdr:rowOff>
    </xdr:from>
    <xdr:to>
      <xdr:col>9</xdr:col>
      <xdr:colOff>9525</xdr:colOff>
      <xdr:row>20</xdr:row>
      <xdr:rowOff>0</xdr:rowOff>
    </xdr:to>
    <xdr:grpSp>
      <xdr:nvGrpSpPr>
        <xdr:cNvPr id="3432880" name="Group 44">
          <a:extLst>
            <a:ext uri="{FF2B5EF4-FFF2-40B4-BE49-F238E27FC236}">
              <a16:creationId xmlns="" xmlns:a16="http://schemas.microsoft.com/office/drawing/2014/main" id="{00000000-0008-0000-0700-0000B0613400}"/>
            </a:ext>
          </a:extLst>
        </xdr:cNvPr>
        <xdr:cNvGrpSpPr>
          <a:grpSpLocks/>
        </xdr:cNvGrpSpPr>
      </xdr:nvGrpSpPr>
      <xdr:grpSpPr bwMode="auto">
        <a:xfrm>
          <a:off x="6787797" y="5108222"/>
          <a:ext cx="143228" cy="0"/>
          <a:chOff x="698" y="540"/>
          <a:chExt cx="9" cy="9"/>
        </a:xfrm>
      </xdr:grpSpPr>
      <xdr:sp macro="" textlink="">
        <xdr:nvSpPr>
          <xdr:cNvPr id="3432888" name="Rectangle 47">
            <a:extLst>
              <a:ext uri="{FF2B5EF4-FFF2-40B4-BE49-F238E27FC236}">
                <a16:creationId xmlns="" xmlns:a16="http://schemas.microsoft.com/office/drawing/2014/main" id="{00000000-0008-0000-0700-0000B8613400}"/>
              </a:ext>
            </a:extLst>
          </xdr:cNvPr>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889" name="Arc 48">
            <a:extLst>
              <a:ext uri="{FF2B5EF4-FFF2-40B4-BE49-F238E27FC236}">
                <a16:creationId xmlns="" xmlns:a16="http://schemas.microsoft.com/office/drawing/2014/main" id="{00000000-0008-0000-0700-0000B96134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6</xdr:col>
      <xdr:colOff>781050</xdr:colOff>
      <xdr:row>20</xdr:row>
      <xdr:rowOff>0</xdr:rowOff>
    </xdr:from>
    <xdr:to>
      <xdr:col>7</xdr:col>
      <xdr:colOff>0</xdr:colOff>
      <xdr:row>20</xdr:row>
      <xdr:rowOff>0</xdr:rowOff>
    </xdr:to>
    <xdr:grpSp>
      <xdr:nvGrpSpPr>
        <xdr:cNvPr id="3432881" name="Group 47">
          <a:extLst>
            <a:ext uri="{FF2B5EF4-FFF2-40B4-BE49-F238E27FC236}">
              <a16:creationId xmlns="" xmlns:a16="http://schemas.microsoft.com/office/drawing/2014/main" id="{00000000-0008-0000-0700-0000B1613400}"/>
            </a:ext>
          </a:extLst>
        </xdr:cNvPr>
        <xdr:cNvGrpSpPr>
          <a:grpSpLocks/>
        </xdr:cNvGrpSpPr>
      </xdr:nvGrpSpPr>
      <xdr:grpSpPr bwMode="auto">
        <a:xfrm>
          <a:off x="5374217" y="5108222"/>
          <a:ext cx="129116" cy="0"/>
          <a:chOff x="698" y="540"/>
          <a:chExt cx="9" cy="9"/>
        </a:xfrm>
      </xdr:grpSpPr>
      <xdr:sp macro="" textlink="">
        <xdr:nvSpPr>
          <xdr:cNvPr id="3432886" name="Rectangle 47">
            <a:extLst>
              <a:ext uri="{FF2B5EF4-FFF2-40B4-BE49-F238E27FC236}">
                <a16:creationId xmlns="" xmlns:a16="http://schemas.microsoft.com/office/drawing/2014/main" id="{00000000-0008-0000-0700-0000B6613400}"/>
              </a:ext>
            </a:extLst>
          </xdr:cNvPr>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887" name="Arc 48">
            <a:extLst>
              <a:ext uri="{FF2B5EF4-FFF2-40B4-BE49-F238E27FC236}">
                <a16:creationId xmlns="" xmlns:a16="http://schemas.microsoft.com/office/drawing/2014/main" id="{00000000-0008-0000-0700-0000B76134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3</xdr:col>
      <xdr:colOff>0</xdr:colOff>
      <xdr:row>20</xdr:row>
      <xdr:rowOff>0</xdr:rowOff>
    </xdr:from>
    <xdr:to>
      <xdr:col>3</xdr:col>
      <xdr:colOff>85725</xdr:colOff>
      <xdr:row>20</xdr:row>
      <xdr:rowOff>0</xdr:rowOff>
    </xdr:to>
    <xdr:grpSp>
      <xdr:nvGrpSpPr>
        <xdr:cNvPr id="3432882" name="Group 50">
          <a:extLst>
            <a:ext uri="{FF2B5EF4-FFF2-40B4-BE49-F238E27FC236}">
              <a16:creationId xmlns="" xmlns:a16="http://schemas.microsoft.com/office/drawing/2014/main" id="{00000000-0008-0000-0700-0000B2613400}"/>
            </a:ext>
          </a:extLst>
        </xdr:cNvPr>
        <xdr:cNvGrpSpPr>
          <a:grpSpLocks/>
        </xdr:cNvGrpSpPr>
      </xdr:nvGrpSpPr>
      <xdr:grpSpPr bwMode="auto">
        <a:xfrm>
          <a:off x="1509889" y="5108222"/>
          <a:ext cx="85725" cy="0"/>
          <a:chOff x="595" y="540"/>
          <a:chExt cx="9" cy="9"/>
        </a:xfrm>
      </xdr:grpSpPr>
      <xdr:sp macro="" textlink="">
        <xdr:nvSpPr>
          <xdr:cNvPr id="3432884" name="Rectangle 11">
            <a:extLst>
              <a:ext uri="{FF2B5EF4-FFF2-40B4-BE49-F238E27FC236}">
                <a16:creationId xmlns="" xmlns:a16="http://schemas.microsoft.com/office/drawing/2014/main" id="{00000000-0008-0000-0700-0000B4613400}"/>
              </a:ext>
            </a:extLst>
          </xdr:cNvPr>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885" name="Arc 12">
            <a:extLst>
              <a:ext uri="{FF2B5EF4-FFF2-40B4-BE49-F238E27FC236}">
                <a16:creationId xmlns="" xmlns:a16="http://schemas.microsoft.com/office/drawing/2014/main" id="{00000000-0008-0000-0700-0000B56134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0</xdr:col>
      <xdr:colOff>9525</xdr:colOff>
      <xdr:row>0</xdr:row>
      <xdr:rowOff>76200</xdr:rowOff>
    </xdr:from>
    <xdr:to>
      <xdr:col>1</xdr:col>
      <xdr:colOff>1201426</xdr:colOff>
      <xdr:row>0</xdr:row>
      <xdr:rowOff>419100</xdr:rowOff>
    </xdr:to>
    <xdr:sp macro="" textlink="">
      <xdr:nvSpPr>
        <xdr:cNvPr id="1150121" name="AutoShape 50">
          <a:hlinkClick xmlns:r="http://schemas.openxmlformats.org/officeDocument/2006/relationships" r:id="rId1"/>
          <a:extLst>
            <a:ext uri="{FF2B5EF4-FFF2-40B4-BE49-F238E27FC236}">
              <a16:creationId xmlns="" xmlns:a16="http://schemas.microsoft.com/office/drawing/2014/main" id="{00000000-0008-0000-0700-0000A98C1100}"/>
            </a:ext>
          </a:extLst>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33486" name="Chart 1">
          <a:extLst>
            <a:ext uri="{FF2B5EF4-FFF2-40B4-BE49-F238E27FC236}">
              <a16:creationId xmlns="" xmlns:a16="http://schemas.microsoft.com/office/drawing/2014/main" id="{00000000-0008-0000-0800-0000CE8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38100</xdr:rowOff>
    </xdr:from>
    <xdr:to>
      <xdr:col>1</xdr:col>
      <xdr:colOff>807207</xdr:colOff>
      <xdr:row>0</xdr:row>
      <xdr:rowOff>371475</xdr:rowOff>
    </xdr:to>
    <xdr:sp macro="" textlink="">
      <xdr:nvSpPr>
        <xdr:cNvPr id="33131" name="AutoShape 50">
          <a:hlinkClick xmlns:r="http://schemas.openxmlformats.org/officeDocument/2006/relationships" r:id="rId2"/>
          <a:extLst>
            <a:ext uri="{FF2B5EF4-FFF2-40B4-BE49-F238E27FC236}">
              <a16:creationId xmlns="" xmlns:a16="http://schemas.microsoft.com/office/drawing/2014/main" id="{00000000-0008-0000-0800-00006B810000}"/>
            </a:ext>
          </a:extLst>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tables/tableSingleCells1.xml><?xml version="1.0" encoding="utf-8"?>
<singleXmlCells xmlns="http://schemas.openxmlformats.org/spreadsheetml/2006/main">
  <singleXmlCell id="419" r="C4" connectionId="0">
    <xmlCellPr id="1" uniqueName="1">
      <xmlPr mapId="43" xpath="/ns1:Root/ns1:Country" xmlDataType="string"/>
    </xmlCellPr>
  </singleXmlCell>
  <singleXmlCell id="420" r="C6" connectionId="0">
    <xmlCellPr id="1" uniqueName="1">
      <xmlPr mapId="43" xpath="/ns1:Root/ns1:GrantNumber" xmlDataType="string"/>
    </xmlCellPr>
  </singleXmlCell>
  <singleXmlCell id="421" r="C8" connectionId="0">
    <xmlCellPr id="1" uniqueName="1">
      <xmlPr mapId="43" xpath="/ns1:Root/ns1:PR" xmlDataType="string"/>
    </xmlCellPr>
  </singleXmlCell>
  <singleXmlCell id="422" r="C10" connectionId="0">
    <xmlCellPr id="1" uniqueName="1">
      <xmlPr mapId="43" xpath="/ns1:Root/ns1:StartDate" xmlDataType="dateTime"/>
    </xmlCellPr>
  </singleXmlCell>
  <singleXmlCell id="423" r="C12" connectionId="0">
    <xmlCellPr id="1" uniqueName="1">
      <xmlPr mapId="43" xpath="/ns1:Root/ns1:LatestRating" xmlDataType="string"/>
    </xmlCellPr>
  </singleXmlCell>
  <singleXmlCell id="424" r="G4" connectionId="0">
    <xmlCellPr id="1" uniqueName="1">
      <xmlPr mapId="43" xpath="/ns1:Root/ns1:GranTitle" xmlDataType="string"/>
    </xmlCellPr>
  </singleXmlCell>
  <singleXmlCell id="425" r="G6" connectionId="0">
    <xmlCellPr id="1" uniqueName="1">
      <xmlPr mapId="43" xpath="/ns1:Root/ns1:Componenent" xmlDataType="string"/>
    </xmlCellPr>
  </singleXmlCell>
  <singleXmlCell id="426" r="I6" connectionId="0">
    <xmlCellPr id="1" uniqueName="1">
      <xmlPr mapId="43" xpath="/ns1:Root/ns1:TotalFunding" xmlDataType="double"/>
    </xmlCellPr>
  </singleXmlCell>
  <singleXmlCell id="427" r="G8" connectionId="0">
    <xmlCellPr id="1" uniqueName="1">
      <xmlPr mapId="43" xpath="/ns1:Root/ns1:Round" xmlDataType="string"/>
    </xmlCellPr>
  </singleXmlCell>
  <singleXmlCell id="428" r="I8" connectionId="0">
    <xmlCellPr id="1" uniqueName="1">
      <xmlPr mapId="43" xpath="/ns1:Root/ns1:Phase" xmlDataType="string"/>
    </xmlCellPr>
  </singleXmlCell>
  <singleXmlCell id="429" r="G10" connectionId="0">
    <xmlCellPr id="1" uniqueName="1">
      <xmlPr mapId="43" xpath="/ns1:Root/ns1:LFA" xmlDataType="string"/>
    </xmlCellPr>
  </singleXmlCell>
  <singleXmlCell id="430" r="G12" connectionId="0">
    <xmlCellPr id="1" uniqueName="1">
      <xmlPr mapId="43" xpath="/ns1:Root/ns1:FPM" xmlDataType="string"/>
    </xmlCellPr>
  </singleXmlCell>
  <singleXmlCell id="431" r="C16" connectionId="0">
    <xmlCellPr id="1" uniqueName="1">
      <xmlPr mapId="43" xpath="/ns1:Root/ns1:Period" xmlDataType="string"/>
    </xmlCellPr>
  </singleXmlCell>
  <singleXmlCell id="432" r="E16" connectionId="0">
    <xmlCellPr id="1" uniqueName="1">
      <xmlPr mapId="43" xpath="/ns1:Root/ns1:From" xmlDataType="dateTime"/>
    </xmlCellPr>
  </singleXmlCell>
  <singleXmlCell id="433" r="G16" connectionId="0">
    <xmlCellPr id="1" uniqueName="1">
      <xmlPr mapId="43" xpath="/ns1:Root/ns1:To" xmlDataType="dateTime"/>
    </xmlCellPr>
  </singleXmlCell>
  <singleXmlCell id="434" r="J16" connectionId="0">
    <xmlCellPr id="1" uniqueName="1">
      <xmlPr mapId="43" xpath="/ns1:Root/ns1:DataEntryDate" xmlDataType="dateTime"/>
    </xmlCellPr>
  </singleXmlCell>
  <singleXmlCell id="435" r="D18" connectionId="0">
    <xmlCellPr id="1" uniqueName="1">
      <xmlPr mapId="43" xpath="/ns1:Root/ns1:PreparedBy" xmlDataType="string"/>
    </xmlCellPr>
  </singleXmlCell>
  <singleXmlCell id="436" r="C31" connectionId="0">
    <xmlCellPr id="1" uniqueName="1">
      <xmlPr mapId="43" xpath="/ns1:Root/ns1:F1/ns1:Budget__in____P1" xmlDataType="double"/>
    </xmlCellPr>
  </singleXmlCell>
  <singleXmlCell id="437" r="D31" connectionId="0">
    <xmlCellPr id="1" uniqueName="1">
      <xmlPr mapId="43" xpath="/ns1:Root/ns1:F1/ns1:Budget__in____P2" xmlDataType="double"/>
    </xmlCellPr>
  </singleXmlCell>
  <singleXmlCell id="438" r="E31" connectionId="0">
    <xmlCellPr id="1" uniqueName="1">
      <xmlPr mapId="43" xpath="/ns1:Root/ns1:F1/ns1:Budget__in____P3" xmlDataType="string"/>
    </xmlCellPr>
  </singleXmlCell>
  <singleXmlCell id="439" r="F31" connectionId="0">
    <xmlCellPr id="1" uniqueName="1">
      <xmlPr mapId="43" xpath="/ns1:Root/ns1:F1/ns1:Budget__in____P4" xmlDataType="string"/>
    </xmlCellPr>
  </singleXmlCell>
  <singleXmlCell id="440" r="G31" connectionId="0">
    <xmlCellPr id="1" uniqueName="1">
      <xmlPr mapId="43" xpath="/ns1:Root/ns1:F1/ns1:Budget__in____P5" xmlDataType="string"/>
    </xmlCellPr>
  </singleXmlCell>
  <singleXmlCell id="441" r="H31" connectionId="0">
    <xmlCellPr id="1" uniqueName="1">
      <xmlPr mapId="43" xpath="/ns1:Root/ns1:F1/ns1:Budget__in____P6" xmlDataType="string"/>
    </xmlCellPr>
  </singleXmlCell>
  <singleXmlCell id="442" r="I31" connectionId="0">
    <xmlCellPr id="1" uniqueName="1">
      <xmlPr mapId="43" xpath="/ns1:Root/ns1:F1/ns1:Budget__in____P7" xmlDataType="string"/>
    </xmlCellPr>
  </singleXmlCell>
  <singleXmlCell id="443" r="J31" connectionId="0">
    <xmlCellPr id="1" uniqueName="1">
      <xmlPr mapId="43" xpath="/ns1:Root/ns1:F1/ns1:Budget__in____P8" xmlDataType="string"/>
    </xmlCellPr>
  </singleXmlCell>
  <singleXmlCell id="444" r="K31" connectionId="0">
    <xmlCellPr id="1" uniqueName="1">
      <xmlPr mapId="43" xpath="/ns1:Root/ns1:F1/ns1:Budget__in____P9" xmlDataType="string"/>
    </xmlCellPr>
  </singleXmlCell>
  <singleXmlCell id="445" r="L31" connectionId="0">
    <xmlCellPr id="1" uniqueName="1">
      <xmlPr mapId="43" xpath="/ns1:Root/ns1:F1/ns1:Budget__in____P10" xmlDataType="string"/>
    </xmlCellPr>
  </singleXmlCell>
  <singleXmlCell id="446" r="M31" connectionId="0">
    <xmlCellPr id="1" uniqueName="1">
      <xmlPr mapId="43" xpath="/ns1:Root/ns1:F1/ns1:Budget__in____P11" xmlDataType="string"/>
    </xmlCellPr>
  </singleXmlCell>
  <singleXmlCell id="447" r="N31" connectionId="0">
    <xmlCellPr id="1" uniqueName="1">
      <xmlPr mapId="43" xpath="/ns1:Root/ns1:F1/ns1:Budget__in____P12" xmlDataType="string"/>
    </xmlCellPr>
  </singleXmlCell>
  <singleXmlCell id="448" r="C32" connectionId="0">
    <xmlCellPr id="1" uniqueName="1">
      <xmlPr mapId="43" xpath="/ns1:Root/ns1:F1/ns1:Disbursements_by_GF__in____P1" xmlDataType="double"/>
    </xmlCellPr>
  </singleXmlCell>
  <singleXmlCell id="449" r="D32" connectionId="0">
    <xmlCellPr id="1" uniqueName="1">
      <xmlPr mapId="43" xpath="/ns1:Root/ns1:F1/ns1:Disbursements_by_GF__in____P2" xmlDataType="double"/>
    </xmlCellPr>
  </singleXmlCell>
  <singleXmlCell id="450" r="E32" connectionId="0">
    <xmlCellPr id="1" uniqueName="1">
      <xmlPr mapId="43" xpath="/ns1:Root/ns1:F1/ns1:Disbursements_by_GF__in____P3" xmlDataType="string"/>
    </xmlCellPr>
  </singleXmlCell>
  <singleXmlCell id="451" r="F32" connectionId="0">
    <xmlCellPr id="1" uniqueName="1">
      <xmlPr mapId="43" xpath="/ns1:Root/ns1:F1/ns1:Disbursements_by_GF__in____P4" xmlDataType="string"/>
    </xmlCellPr>
  </singleXmlCell>
  <singleXmlCell id="452" r="G32" connectionId="0">
    <xmlCellPr id="1" uniqueName="1">
      <xmlPr mapId="43" xpath="/ns1:Root/ns1:F1/ns1:Disbursements_by_GF__in____P5" xmlDataType="string"/>
    </xmlCellPr>
  </singleXmlCell>
  <singleXmlCell id="453" r="H32" connectionId="0">
    <xmlCellPr id="1" uniqueName="1">
      <xmlPr mapId="43" xpath="/ns1:Root/ns1:F1/ns1:Disbursements_by_GF__in____P6" xmlDataType="string"/>
    </xmlCellPr>
  </singleXmlCell>
  <singleXmlCell id="454" r="I32" connectionId="0">
    <xmlCellPr id="1" uniqueName="1">
      <xmlPr mapId="43" xpath="/ns1:Root/ns1:F1/ns1:Disbursements_by_GF__in____P7" xmlDataType="string"/>
    </xmlCellPr>
  </singleXmlCell>
  <singleXmlCell id="455" r="J32" connectionId="0">
    <xmlCellPr id="1" uniqueName="1">
      <xmlPr mapId="43" xpath="/ns1:Root/ns1:F1/ns1:Disbursements_by_GF__in____P8" xmlDataType="string"/>
    </xmlCellPr>
  </singleXmlCell>
  <singleXmlCell id="456" r="K32" connectionId="0">
    <xmlCellPr id="1" uniqueName="1">
      <xmlPr mapId="43" xpath="/ns1:Root/ns1:F1/ns1:Disbursements_by_GF__in____P9" xmlDataType="string"/>
    </xmlCellPr>
  </singleXmlCell>
  <singleXmlCell id="457" r="L32" connectionId="0">
    <xmlCellPr id="1" uniqueName="1">
      <xmlPr mapId="43" xpath="/ns1:Root/ns1:F1/ns1:Disbursements_by_GF__in____P10" xmlDataType="string"/>
    </xmlCellPr>
  </singleXmlCell>
  <singleXmlCell id="458" r="M32" connectionId="0">
    <xmlCellPr id="1" uniqueName="1">
      <xmlPr mapId="43" xpath="/ns1:Root/ns1:F1/ns1:Disbursements_by_GF__in____P11" xmlDataType="string"/>
    </xmlCellPr>
  </singleXmlCell>
  <singleXmlCell id="459" r="N32" connectionId="0">
    <xmlCellPr id="1" uniqueName="1">
      <xmlPr mapId="43" xpath="/ns1:Root/ns1:F1/ns1:Disbursements_by_GF__in____P12" xmlDataType="string"/>
    </xmlCellPr>
  </singleXmlCell>
  <singleXmlCell id="460" r="C39" connectionId="0">
    <xmlCellPr id="1" uniqueName="1">
      <xmlPr mapId="43" xpath="/ns1:Root/ns1:F2/ns1:TB__detect_and_treat_Cumulative_Budget__in___" xmlDataType="double"/>
    </xmlCellPr>
  </singleXmlCell>
  <singleXmlCell id="461" r="D39" connectionId="0">
    <xmlCellPr id="1" uniqueName="1">
      <xmlPr mapId="43" xpath="/ns1:Root/ns1:F2/ns1:TB__detect_and_treat_Cumulative_Expenditures__in___" xmlDataType="double"/>
    </xmlCellPr>
  </singleXmlCell>
  <singleXmlCell id="462" r="C40" connectionId="0">
    <xmlCellPr id="1" uniqueName="1">
      <xmlPr mapId="43" xpath="/ns1:Root/ns1:F2/ns1:TB__ID_cases_Cumulative_Budget__in___" xmlDataType="double"/>
    </xmlCellPr>
  </singleXmlCell>
  <singleXmlCell id="463" r="D40" connectionId="0">
    <xmlCellPr id="1" uniqueName="1">
      <xmlPr mapId="43" xpath="/ns1:Root/ns1:F2/ns1:TB__ID_cases_Cumulative_Expenditures__in___" xmlDataType="double"/>
    </xmlCellPr>
  </singleXmlCell>
  <singleXmlCell id="464" r="C41" connectionId="0">
    <xmlCellPr id="1" uniqueName="1">
      <xmlPr mapId="43" xpath="/ns1:Root/ns1:F2/ns1:TB_HIV__Cumulative_Budget__in___" xmlDataType="double"/>
    </xmlCellPr>
  </singleXmlCell>
  <singleXmlCell id="465" r="D41" connectionId="0">
    <xmlCellPr id="1" uniqueName="1">
      <xmlPr mapId="43" xpath="/ns1:Root/ns1:F2/ns1:TB_HIV__Cumulative_Expenditures__in___" xmlDataType="double"/>
    </xmlCellPr>
  </singleXmlCell>
  <singleXmlCell id="466" r="C42" connectionId="0">
    <xmlCellPr id="1" uniqueName="1">
      <xmlPr mapId="43" xpath="/ns1:Root/ns1:F2/ns1:Advocacy__Commun__SocMob_Cumulative_Budget__in___" xmlDataType="double"/>
    </xmlCellPr>
  </singleXmlCell>
  <singleXmlCell id="467" r="D42" connectionId="0">
    <xmlCellPr id="1" uniqueName="1">
      <xmlPr mapId="43" xpath="/ns1:Root/ns1:F2/ns1:Advocacy__Commun__SocMob_Cumulative_Expenditures__in___" xmlDataType="double"/>
    </xmlCellPr>
  </singleXmlCell>
  <singleXmlCell id="468" r="C43" connectionId="0">
    <xmlCellPr id="1" uniqueName="1">
      <xmlPr mapId="43" xpath="/ns1:Root/ns1:F2/ns1:Environ__Community_TB_care__Cumulative_Budget__in___" xmlDataType="double"/>
    </xmlCellPr>
  </singleXmlCell>
  <singleXmlCell id="469" r="D43" connectionId="0">
    <xmlCellPr id="1" uniqueName="1">
      <xmlPr mapId="43" xpath="/ns1:Root/ns1:F2/ns1:Environ__Community_TB_care__Cumulative_Expenditures__in___" xmlDataType="double"/>
    </xmlCellPr>
  </singleXmlCell>
  <singleXmlCell id="470" r="C44" connectionId="0">
    <xmlCellPr id="1" uniqueName="1">
      <xmlPr mapId="43" xpath="/ns1:Root/ns1:F2/ns1:_Cumulative_Budget__in____1" xmlDataType="string"/>
    </xmlCellPr>
  </singleXmlCell>
  <singleXmlCell id="471" r="D44" connectionId="0">
    <xmlCellPr id="1" uniqueName="1">
      <xmlPr mapId="43" xpath="/ns1:Root/ns1:F2/ns1:_Cumulative_Expenditures__in____1" xmlDataType="string"/>
    </xmlCellPr>
  </singleXmlCell>
  <singleXmlCell id="472" r="C45" connectionId="0">
    <xmlCellPr id="1" uniqueName="1">
      <xmlPr mapId="43" xpath="/ns1:Root/ns1:F2/ns1:_Cumulative_Budget__in____2" xmlDataType="string"/>
    </xmlCellPr>
  </singleXmlCell>
  <singleXmlCell id="473" r="D45" connectionId="0">
    <xmlCellPr id="1" uniqueName="1">
      <xmlPr mapId="43" xpath="/ns1:Root/ns1:F2/ns1:_Cumulative_Expenditures__in____2" xmlDataType="string"/>
    </xmlCellPr>
  </singleXmlCell>
  <singleXmlCell id="474" r="C46" connectionId="0">
    <xmlCellPr id="1" uniqueName="1">
      <xmlPr mapId="43" xpath="/ns1:Root/ns1:F2/ns1:_Cumulative_Budget__in___" xmlDataType="string"/>
    </xmlCellPr>
  </singleXmlCell>
  <singleXmlCell id="475" r="D46" connectionId="0">
    <xmlCellPr id="1" uniqueName="1">
      <xmlPr mapId="43" xpath="/ns1:Root/ns1:F2/ns1:_Cumulative_Expenditures__in___" xmlDataType="string"/>
    </xmlCellPr>
  </singleXmlCell>
  <singleXmlCell id="476" r="C52" connectionId="0">
    <xmlCellPr id="1" uniqueName="1">
      <xmlPr mapId="43" xpath="/ns1:Root/ns1:F3/ns1:Disbursed_by_Global_Fund_Prior_to_reporting_period__in___" xmlDataType="double"/>
    </xmlCellPr>
  </singleXmlCell>
  <singleXmlCell id="477" r="D52" connectionId="0">
    <xmlCellPr id="1" uniqueName="1">
      <xmlPr mapId="43" xpath="/ns1:Root/ns1:F3/ns1:Disbursed_by_Global_Fund_Reporting_period__in___" xmlDataType="double"/>
    </xmlCellPr>
  </singleXmlCell>
  <singleXmlCell id="478" r="C53" connectionId="0">
    <xmlCellPr id="1" uniqueName="1">
      <xmlPr mapId="43" xpath="/ns1:Root/ns1:F3/ns1:PR_expenditure_and_disbursement_Prior_to_reporting_period__in___" xmlDataType="double"/>
    </xmlCellPr>
  </singleXmlCell>
  <singleXmlCell id="479" r="D53" connectionId="0">
    <xmlCellPr id="1" uniqueName="1">
      <xmlPr mapId="43" xpath="/ns1:Root/ns1:F3/ns1:PR_expenditure_and_disbursement_Reporting_period__in___" xmlDataType="double"/>
    </xmlCellPr>
  </singleXmlCell>
  <singleXmlCell id="480" r="C54" connectionId="0">
    <xmlCellPr id="1" uniqueName="1">
      <xmlPr mapId="43" xpath="/ns1:Root/ns1:F3/ns1:Disbursed_to_SRs_Prior_to_reporting_period__in___" xmlDataType="double"/>
    </xmlCellPr>
  </singleXmlCell>
  <singleXmlCell id="481" r="D54" connectionId="0">
    <xmlCellPr id="1" uniqueName="1">
      <xmlPr mapId="43" xpath="/ns1:Root/ns1:F3/ns1:Disbursed_to_SRs_Reporting_period__in___" xmlDataType="double"/>
    </xmlCellPr>
  </singleXmlCell>
  <singleXmlCell id="482" r="C55" connectionId="0">
    <xmlCellPr id="1" uniqueName="1">
      <xmlPr mapId="43" xpath="/ns1:Root/ns1:F3/ns1:SR_expenditures_Prior_to_reporting_period__in___" xmlDataType="double"/>
    </xmlCellPr>
  </singleXmlCell>
  <singleXmlCell id="483" r="D55" connectionId="0">
    <xmlCellPr id="1" uniqueName="1">
      <xmlPr mapId="43" xpath="/ns1:Root/ns1:F3/ns1:SR_expenditures_Reporting_period__in___" xmlDataType="double"/>
    </xmlCellPr>
  </singleXmlCell>
  <singleXmlCell id="484" r="C62" connectionId="0">
    <xmlCellPr id="1" uniqueName="1">
      <xmlPr mapId="43" xpath="/ns1:Root/ns1:F4/ns1:Days_taken_to_submit_acceptable_PU_DR_to_LFA_Expected__days_" xmlDataType="double"/>
    </xmlCellPr>
  </singleXmlCell>
  <singleXmlCell id="485" r="D62" connectionId="0">
    <xmlCellPr id="1" uniqueName="1">
      <xmlPr mapId="43" xpath="/ns1:Root/ns1:F4/ns1:Days_taken_to_submit_acceptable_PU_DR_to_LFA_Actual__days_" xmlDataType="double"/>
    </xmlCellPr>
  </singleXmlCell>
  <singleXmlCell id="486" r="C63" connectionId="0">
    <xmlCellPr id="1" uniqueName="1">
      <xmlPr mapId="43" xpath="/ns1:Root/ns1:F4/ns1:Days_taken_for_disbursement_to_reach_PR_Expected__days_" xmlDataType="double"/>
    </xmlCellPr>
  </singleXmlCell>
  <singleXmlCell id="487" r="D63" connectionId="0">
    <xmlCellPr id="1" uniqueName="1">
      <xmlPr mapId="43" xpath="/ns1:Root/ns1:F4/ns1:Days_taken_for_disbursement_to_reach_PR_Actual__days_" xmlDataType="double"/>
    </xmlCellPr>
  </singleXmlCell>
  <singleXmlCell id="488" r="C64" connectionId="0">
    <xmlCellPr id="1" uniqueName="1">
      <xmlPr mapId="43" xpath="/ns1:Root/ns1:F4/ns1:Days_taken_for_disbursement_to_reach_SRs__Expected__days_" xmlDataType="double"/>
    </xmlCellPr>
  </singleXmlCell>
  <singleXmlCell id="489" r="D64" connectionId="0">
    <xmlCellPr id="1" uniqueName="1">
      <xmlPr mapId="43" xpath="/ns1:Root/ns1:F4/ns1:Days_taken_for_disbursement_to_reach_SRs__Actual__days_" xmlDataType="double"/>
    </xmlCellPr>
  </singleXmlCell>
  <singleXmlCell id="490" r="B72" connectionId="0">
    <xmlCellPr id="1" uniqueName="1">
      <xmlPr mapId="43" xpath="/ns1:Root/ns1:M1/ns1:Conditions_precedents__CPs__" xmlDataType="string"/>
    </xmlCellPr>
  </singleXmlCell>
  <singleXmlCell id="491" r="D72" connectionId="0">
    <xmlCellPr id="1" uniqueName="1">
      <xmlPr mapId="43" xpath="/ns1:Root/ns1:M1/ns1:Conditions_precedents__CPs__Fulfilled" xmlDataType="double"/>
    </xmlCellPr>
  </singleXmlCell>
  <singleXmlCell id="492" r="E72" connectionId="0">
    <xmlCellPr id="1" uniqueName="1">
      <xmlPr mapId="43" xpath="/ns1:Root/ns1:M1/ns1:Conditions_precedents__CPs__Not_fulfilled__but_within_deadline" xmlDataType="double"/>
    </xmlCellPr>
  </singleXmlCell>
  <singleXmlCell id="493" r="F72" connectionId="0">
    <xmlCellPr id="1" uniqueName="1">
      <xmlPr mapId="43" xpath="/ns1:Root/ns1:M1/ns1:Conditions_precedents__CPs__Not_fulfilled__and_past_the_deadline" xmlDataType="double"/>
    </xmlCellPr>
  </singleXmlCell>
  <singleXmlCell id="494" r="B73" connectionId="0">
    <xmlCellPr id="1" uniqueName="1">
      <xmlPr mapId="43" xpath="/ns1:Root/ns1:M1/ns1:Time_Bound_Actions__TBAs__" xmlDataType="string"/>
    </xmlCellPr>
  </singleXmlCell>
  <singleXmlCell id="495" r="D73" connectionId="0">
    <xmlCellPr id="1" uniqueName="1">
      <xmlPr mapId="43" xpath="/ns1:Root/ns1:M1/ns1:Time_Bound_Actions__TBAs__Fulfilled" xmlDataType="double"/>
    </xmlCellPr>
  </singleXmlCell>
  <singleXmlCell id="496" r="E73" connectionId="0">
    <xmlCellPr id="1" uniqueName="1">
      <xmlPr mapId="43" xpath="/ns1:Root/ns1:M1/ns1:Time_Bound_Actions__TBAs__Not_fulfilled__but_within_deadline" xmlDataType="string"/>
    </xmlCellPr>
  </singleXmlCell>
  <singleXmlCell id="497" r="F73" connectionId="0">
    <xmlCellPr id="1" uniqueName="1">
      <xmlPr mapId="43" xpath="/ns1:Root/ns1:M1/ns1:Time_Bound_Actions__TBAs__Not_fulfilled__and_past_the_deadline" xmlDataType="double"/>
    </xmlCellPr>
  </singleXmlCell>
  <singleXmlCell id="498" r="C79" connectionId="0">
    <xmlCellPr id="1" uniqueName="1">
      <xmlPr mapId="43" xpath="/ns1:Root/ns1:M2/ns1:PMU_Planned" xmlDataType="double"/>
    </xmlCellPr>
  </singleXmlCell>
  <singleXmlCell id="499" r="D79" connectionId="0">
    <xmlCellPr id="1" uniqueName="1">
      <xmlPr mapId="43" xpath="/ns1:Root/ns1:M2/ns1:PMU_Filled" xmlDataType="double"/>
    </xmlCellPr>
  </singleXmlCell>
  <singleXmlCell id="500" r="C84" connectionId="0">
    <xmlCellPr id="1" uniqueName="1">
      <xmlPr mapId="43" xpath="/ns1:Root/ns1:M3/ns1:SRs_Identified" xmlDataType="double"/>
    </xmlCellPr>
  </singleXmlCell>
  <singleXmlCell id="501" r="D84" connectionId="0">
    <xmlCellPr id="1" uniqueName="1">
      <xmlPr mapId="43" xpath="/ns1:Root/ns1:M3/ns1:SRs_Assessed" xmlDataType="double"/>
    </xmlCellPr>
  </singleXmlCell>
  <singleXmlCell id="502" r="E84" connectionId="0">
    <xmlCellPr id="1" uniqueName="1">
      <xmlPr mapId="43" xpath="/ns1:Root/ns1:M3/ns1:SRs_Approved" xmlDataType="double"/>
    </xmlCellPr>
  </singleXmlCell>
  <singleXmlCell id="503" r="F84" connectionId="0">
    <xmlCellPr id="1" uniqueName="1">
      <xmlPr mapId="43" xpath="/ns1:Root/ns1:M3/ns1:SRs_Signed" xmlDataType="double"/>
    </xmlCellPr>
  </singleXmlCell>
  <singleXmlCell id="504" r="G84" connectionId="0">
    <xmlCellPr id="1" uniqueName="1">
      <xmlPr mapId="43" xpath="/ns1:Root/ns1:M3/ns1:SRs_Receiving_Funding" xmlDataType="double"/>
    </xmlCellPr>
  </singleXmlCell>
  <singleXmlCell id="506" r="C89" connectionId="0">
    <xmlCellPr id="1" uniqueName="1">
      <xmlPr mapId="43" xpath="/ns1:Root/ns1:M4/ns1:SSR_to_SR__IR_____Expected" xmlDataType="string"/>
    </xmlCellPr>
  </singleXmlCell>
  <singleXmlCell id="507" r="D89" connectionId="0">
    <xmlCellPr id="1" uniqueName="1">
      <xmlPr mapId="43" xpath="/ns1:Root/ns1:M4/ns1:SSR_to_SR__IR____Received" xmlDataType="string"/>
    </xmlCellPr>
  </singleXmlCell>
  <singleXmlCell id="509" r="C90" connectionId="0">
    <xmlCellPr id="1" uniqueName="1">
      <xmlPr mapId="43" xpath="/ns1:Root/ns1:M4/ns1:SRs__IRs__to_PR____Expected" xmlDataType="double"/>
    </xmlCellPr>
  </singleXmlCell>
  <singleXmlCell id="510" r="D90" connectionId="0">
    <xmlCellPr id="1" uniqueName="1">
      <xmlPr mapId="43" xpath="/ns1:Root/ns1:M4/ns1:SRs__IRs__to_PR___Received" xmlDataType="double"/>
    </xmlCellPr>
  </singleXmlCell>
  <singleXmlCell id="511" r="C95" connectionId="0">
    <xmlCellPr id="1" uniqueName="1">
      <xmlPr mapId="43" xpath="/ns1:Root/ns1:M5/ns1:Budget_Approved__P1" xmlDataType="double"/>
    </xmlCellPr>
  </singleXmlCell>
  <singleXmlCell id="512" r="D95" connectionId="0">
    <xmlCellPr id="1" uniqueName="1">
      <xmlPr mapId="43" xpath="/ns1:Root/ns1:M5/ns1:Budget_Approved__P2" xmlDataType="double"/>
    </xmlCellPr>
  </singleXmlCell>
  <singleXmlCell id="513" r="E95" connectionId="0">
    <xmlCellPr id="1" uniqueName="1">
      <xmlPr mapId="43" xpath="/ns1:Root/ns1:M5/ns1:Budget_Approved__P3" xmlDataType="double"/>
    </xmlCellPr>
  </singleXmlCell>
  <singleXmlCell id="514" r="F95" connectionId="0">
    <xmlCellPr id="1" uniqueName="1">
      <xmlPr mapId="43" xpath="/ns1:Root/ns1:M5/ns1:Budget_Approved__P4" xmlDataType="double"/>
    </xmlCellPr>
  </singleXmlCell>
  <singleXmlCell id="515" r="G95" connectionId="0">
    <xmlCellPr id="1" uniqueName="1">
      <xmlPr mapId="43" xpath="/ns1:Root/ns1:M5/ns1:Budget_Approved__P5" xmlDataType="double"/>
    </xmlCellPr>
  </singleXmlCell>
  <singleXmlCell id="516" r="H95" connectionId="0">
    <xmlCellPr id="1" uniqueName="1">
      <xmlPr mapId="43" xpath="/ns1:Root/ns1:M5/ns1:Budget_Approved__P6" xmlDataType="double"/>
    </xmlCellPr>
  </singleXmlCell>
  <singleXmlCell id="517" r="I95" connectionId="0">
    <xmlCellPr id="1" uniqueName="1">
      <xmlPr mapId="43" xpath="/ns1:Root/ns1:M5/ns1:Budget_Approved__P7" xmlDataType="double"/>
    </xmlCellPr>
  </singleXmlCell>
  <singleXmlCell id="518" r="J95" connectionId="0">
    <xmlCellPr id="1" uniqueName="1">
      <xmlPr mapId="43" xpath="/ns1:Root/ns1:M5/ns1:Budget_Approved__P8" xmlDataType="double"/>
    </xmlCellPr>
  </singleXmlCell>
  <singleXmlCell id="519" r="K95" connectionId="0">
    <xmlCellPr id="1" uniqueName="1">
      <xmlPr mapId="43" xpath="/ns1:Root/ns1:M5/ns1:Budget_Approved__P9" xmlDataType="double"/>
    </xmlCellPr>
  </singleXmlCell>
  <singleXmlCell id="520" r="L95" connectionId="0">
    <xmlCellPr id="1" uniqueName="1">
      <xmlPr mapId="43" xpath="/ns1:Root/ns1:M5/ns1:Budget_Approved__P10" xmlDataType="double"/>
    </xmlCellPr>
  </singleXmlCell>
  <singleXmlCell id="521" r="M95" connectionId="0">
    <xmlCellPr id="1" uniqueName="1">
      <xmlPr mapId="43" xpath="/ns1:Root/ns1:M5/ns1:Budget_Approved__P11" xmlDataType="double"/>
    </xmlCellPr>
  </singleXmlCell>
  <singleXmlCell id="522" r="N95" connectionId="0">
    <xmlCellPr id="1" uniqueName="1">
      <xmlPr mapId="43" xpath="/ns1:Root/ns1:M5/ns1:Budget_Approved__P12" xmlDataType="double"/>
    </xmlCellPr>
  </singleXmlCell>
  <singleXmlCell id="523" r="C96" connectionId="0">
    <xmlCellPr id="1" uniqueName="1">
      <xmlPr mapId="43" xpath="/ns1:Root/ns1:M5/ns1:Obligations_P1" xmlDataType="double"/>
    </xmlCellPr>
  </singleXmlCell>
  <singleXmlCell id="524" r="D96" connectionId="0">
    <xmlCellPr id="1" uniqueName="1">
      <xmlPr mapId="43" xpath="/ns1:Root/ns1:M5/ns1:Obligations_P2" xmlDataType="double"/>
    </xmlCellPr>
  </singleXmlCell>
  <singleXmlCell id="525" r="E96" connectionId="0">
    <xmlCellPr id="1" uniqueName="1">
      <xmlPr mapId="43" xpath="/ns1:Root/ns1:M5/ns1:Obligations_P3" xmlDataType="double"/>
    </xmlCellPr>
  </singleXmlCell>
  <singleXmlCell id="526" r="F96" connectionId="0">
    <xmlCellPr id="1" uniqueName="1">
      <xmlPr mapId="43" xpath="/ns1:Root/ns1:M5/ns1:Obligations_P4" xmlDataType="double"/>
    </xmlCellPr>
  </singleXmlCell>
  <singleXmlCell id="527" r="G96" connectionId="0">
    <xmlCellPr id="1" uniqueName="1">
      <xmlPr mapId="43" xpath="/ns1:Root/ns1:M5/ns1:Obligations_P5" xmlDataType="double"/>
    </xmlCellPr>
  </singleXmlCell>
  <singleXmlCell id="528" r="H96" connectionId="0">
    <xmlCellPr id="1" uniqueName="1">
      <xmlPr mapId="43" xpath="/ns1:Root/ns1:M5/ns1:Obligations_P6" xmlDataType="double"/>
    </xmlCellPr>
  </singleXmlCell>
  <singleXmlCell id="529" r="I96" connectionId="0">
    <xmlCellPr id="1" uniqueName="1">
      <xmlPr mapId="43" xpath="/ns1:Root/ns1:M5/ns1:Obligations_P7" xmlDataType="double"/>
    </xmlCellPr>
  </singleXmlCell>
  <singleXmlCell id="530" r="J96" connectionId="0">
    <xmlCellPr id="1" uniqueName="1">
      <xmlPr mapId="43" xpath="/ns1:Root/ns1:M5/ns1:Obligations_P8" xmlDataType="double"/>
    </xmlCellPr>
  </singleXmlCell>
  <singleXmlCell id="531" r="K96" connectionId="0">
    <xmlCellPr id="1" uniqueName="1">
      <xmlPr mapId="43" xpath="/ns1:Root/ns1:M5/ns1:Obligations_P9" xmlDataType="double"/>
    </xmlCellPr>
  </singleXmlCell>
  <singleXmlCell id="532" r="L96" connectionId="0">
    <xmlCellPr id="1" uniqueName="1">
      <xmlPr mapId="43" xpath="/ns1:Root/ns1:M5/ns1:Obligations_P10" xmlDataType="double"/>
    </xmlCellPr>
  </singleXmlCell>
  <singleXmlCell id="533" r="M96" connectionId="0">
    <xmlCellPr id="1" uniqueName="1">
      <xmlPr mapId="43" xpath="/ns1:Root/ns1:M5/ns1:Obligations_P11" xmlDataType="double"/>
    </xmlCellPr>
  </singleXmlCell>
  <singleXmlCell id="534" r="N96" connectionId="0">
    <xmlCellPr id="1" uniqueName="1">
      <xmlPr mapId="43" xpath="/ns1:Root/ns1:M5/ns1:Obligations_P12" xmlDataType="double"/>
    </xmlCellPr>
  </singleXmlCell>
  <singleXmlCell id="535" r="C97" connectionId="0">
    <xmlCellPr id="1" uniqueName="1">
      <xmlPr mapId="43" xpath="/ns1:Root/ns1:M5/ns1:Expenditures_P1" xmlDataType="double"/>
    </xmlCellPr>
  </singleXmlCell>
  <singleXmlCell id="536" r="D97" connectionId="0">
    <xmlCellPr id="1" uniqueName="1">
      <xmlPr mapId="43" xpath="/ns1:Root/ns1:M5/ns1:Expenditures_P2" xmlDataType="double"/>
    </xmlCellPr>
  </singleXmlCell>
  <singleXmlCell id="537" r="E97" connectionId="0">
    <xmlCellPr id="1" uniqueName="1">
      <xmlPr mapId="43" xpath="/ns1:Root/ns1:M5/ns1:Expenditures_P3" xmlDataType="double"/>
    </xmlCellPr>
  </singleXmlCell>
  <singleXmlCell id="538" r="F97" connectionId="0">
    <xmlCellPr id="1" uniqueName="1">
      <xmlPr mapId="43" xpath="/ns1:Root/ns1:M5/ns1:Expenditures_P4" xmlDataType="double"/>
    </xmlCellPr>
  </singleXmlCell>
  <singleXmlCell id="539" r="G97" connectionId="0">
    <xmlCellPr id="1" uniqueName="1">
      <xmlPr mapId="43" xpath="/ns1:Root/ns1:M5/ns1:Expenditures_P5" xmlDataType="double"/>
    </xmlCellPr>
  </singleXmlCell>
  <singleXmlCell id="540" r="H97" connectionId="0">
    <xmlCellPr id="1" uniqueName="1">
      <xmlPr mapId="43" xpath="/ns1:Root/ns1:M5/ns1:Expenditures_P6" xmlDataType="double"/>
    </xmlCellPr>
  </singleXmlCell>
  <singleXmlCell id="541" r="I97" connectionId="0">
    <xmlCellPr id="1" uniqueName="1">
      <xmlPr mapId="43" xpath="/ns1:Root/ns1:M5/ns1:Expenditures_P7" xmlDataType="double"/>
    </xmlCellPr>
  </singleXmlCell>
  <singleXmlCell id="542" r="J97" connectionId="0">
    <xmlCellPr id="1" uniqueName="1">
      <xmlPr mapId="43" xpath="/ns1:Root/ns1:M5/ns1:Expenditures_P8" xmlDataType="double"/>
    </xmlCellPr>
  </singleXmlCell>
  <singleXmlCell id="543" r="K97" connectionId="0">
    <xmlCellPr id="1" uniqueName="1">
      <xmlPr mapId="43" xpath="/ns1:Root/ns1:M5/ns1:Expenditures_P9" xmlDataType="double"/>
    </xmlCellPr>
  </singleXmlCell>
  <singleXmlCell id="544" r="L97" connectionId="0">
    <xmlCellPr id="1" uniqueName="1">
      <xmlPr mapId="43" xpath="/ns1:Root/ns1:M5/ns1:Expenditures_P10" xmlDataType="double"/>
    </xmlCellPr>
  </singleXmlCell>
  <singleXmlCell id="545" r="M97" connectionId="0">
    <xmlCellPr id="1" uniqueName="1">
      <xmlPr mapId="43" xpath="/ns1:Root/ns1:M5/ns1:Expenditures_P11" xmlDataType="double"/>
    </xmlCellPr>
  </singleXmlCell>
  <singleXmlCell id="546" r="N97" connectionId="0">
    <xmlCellPr id="1" uniqueName="1">
      <xmlPr mapId="43" xpath="/ns1:Root/ns1:M5/ns1:Expenditures_P12" xmlDataType="double"/>
    </xmlCellPr>
  </singleXmlCell>
  <singleXmlCell id="547" r="C108" connectionId="0">
    <xmlCellPr id="1" uniqueName="1">
      <xmlPr mapId="43" xpath="/ns1:Root/ns1:M6/ns1:HIV___AIDS_Products" xmlDataType="string"/>
    </xmlCellPr>
  </singleXmlCell>
  <singleXmlCell id="548" r="D108" connectionId="0">
    <xmlCellPr id="1" uniqueName="1">
      <xmlPr mapId="43" xpath="/ns1:Root/ns1:M6/ns1:HIV___AIDS__1__Number_of_tablets_per_patient_per_day__Review_country_treatment_guidelines_" xmlDataType="double"/>
    </xmlCellPr>
  </singleXmlCell>
  <singleXmlCell id="549" r="F108" connectionId="0">
    <xmlCellPr id="1" uniqueName="1">
      <xmlPr mapId="43" xpath="/ns1:Root/ns1:M6/ns1:HIV___AIDS__3__Total_patients_in_treatment" xmlDataType="double"/>
    </xmlCellPr>
  </singleXmlCell>
  <singleXmlCell id="550" r="H108" connectionId="0">
    <xmlCellPr id="1" uniqueName="1">
      <xmlPr mapId="43" xpath="/ns1:Root/ns1:M6/ns1:HIV___AIDS__5__Current_stock_in_central_warehouse__that_does_not_expire_within_the_next_3_months_" xmlDataType="double"/>
    </xmlCellPr>
  </singleXmlCell>
  <singleXmlCell id="551" r="J108" connectionId="0">
    <xmlCellPr id="1" uniqueName="1">
      <xmlPr mapId="43" xpath="/ns1:Root/ns1:M6/ns1:HIV___AIDS__7__Level_of_safety_stock__expressed_in_months_and_defined_by_country__" xmlDataType="double"/>
    </xmlCellPr>
  </singleXmlCell>
  <singleXmlCell id="552" r="C109" connectionId="0">
    <xmlCellPr id="1" uniqueName="1">
      <xmlPr mapId="43" xpath="/ns1:Root/ns1:M6/ns1:_Products_1" xmlDataType="string"/>
    </xmlCellPr>
  </singleXmlCell>
  <singleXmlCell id="553" r="D109" connectionId="0">
    <xmlCellPr id="1" uniqueName="1">
      <xmlPr mapId="43" xpath="/ns1:Root/ns1:M6/ns1:__1__Number_of_tablets_per_patient_per_day__Review_country_treatment_guidelines__1" xmlDataType="double"/>
    </xmlCellPr>
  </singleXmlCell>
  <singleXmlCell id="554" r="F109" connectionId="0">
    <xmlCellPr id="1" uniqueName="1">
      <xmlPr mapId="43" xpath="/ns1:Root/ns1:M6/ns1:__3__Total_patients_in_treatment_1" xmlDataType="double"/>
    </xmlCellPr>
  </singleXmlCell>
  <singleXmlCell id="555" r="H109" connectionId="0">
    <xmlCellPr id="1" uniqueName="1">
      <xmlPr mapId="43" xpath="/ns1:Root/ns1:M6/ns1:__5__Current_stock_in_central_warehouse__that_does_not_expire_within_the_next_3_months__1" xmlDataType="double"/>
    </xmlCellPr>
  </singleXmlCell>
  <singleXmlCell id="556" r="J109" connectionId="0">
    <xmlCellPr id="1" uniqueName="1">
      <xmlPr mapId="43" xpath="/ns1:Root/ns1:M6/ns1:__7__Level_of_safety_stock__expressed_in_months_and_defined_by_country___1" xmlDataType="double"/>
    </xmlCellPr>
  </singleXmlCell>
  <singleXmlCell id="557" r="C110" connectionId="0">
    <xmlCellPr id="1" uniqueName="1">
      <xmlPr mapId="43" xpath="/ns1:Root/ns1:M6/ns1:_Products_2" xmlDataType="string"/>
    </xmlCellPr>
  </singleXmlCell>
  <singleXmlCell id="558" r="D110" connectionId="0">
    <xmlCellPr id="1" uniqueName="1">
      <xmlPr mapId="43" xpath="/ns1:Root/ns1:M6/ns1:__1__Number_of_tablets_per_patient_per_day__Review_country_treatment_guidelines__2" xmlDataType="double"/>
    </xmlCellPr>
  </singleXmlCell>
  <singleXmlCell id="559" r="F110" connectionId="0">
    <xmlCellPr id="1" uniqueName="1">
      <xmlPr mapId="43" xpath="/ns1:Root/ns1:M6/ns1:__3__Total_patients_in_treatment_2" xmlDataType="double"/>
    </xmlCellPr>
  </singleXmlCell>
  <singleXmlCell id="560" r="H110" connectionId="0">
    <xmlCellPr id="1" uniqueName="1">
      <xmlPr mapId="43" xpath="/ns1:Root/ns1:M6/ns1:__5__Current_stock_in_central_warehouse__that_does_not_expire_within_the_next_3_months__2" xmlDataType="double"/>
    </xmlCellPr>
  </singleXmlCell>
  <singleXmlCell id="561" r="J110" connectionId="0">
    <xmlCellPr id="1" uniqueName="1">
      <xmlPr mapId="43" xpath="/ns1:Root/ns1:M6/ns1:__7__Level_of_safety_stock__expressed_in_months_and_defined_by_country___2" xmlDataType="double"/>
    </xmlCellPr>
  </singleXmlCell>
  <singleXmlCell id="562" r="C111" connectionId="0">
    <xmlCellPr id="1" uniqueName="1">
      <xmlPr mapId="43" xpath="/ns1:Root/ns1:M6/ns1:_Products" xmlDataType="string"/>
    </xmlCellPr>
  </singleXmlCell>
  <singleXmlCell id="563" r="D111" connectionId="0">
    <xmlCellPr id="1" uniqueName="1">
      <xmlPr mapId="43" xpath="/ns1:Root/ns1:M6/ns1:__1__Number_of_tablets_per_patient_per_day__Review_country_treatment_guidelines_" xmlDataType="double"/>
    </xmlCellPr>
  </singleXmlCell>
  <singleXmlCell id="564" r="F111" connectionId="0">
    <xmlCellPr id="1" uniqueName="1">
      <xmlPr mapId="43" xpath="/ns1:Root/ns1:M6/ns1:__3__Total_patients_in_treatment" xmlDataType="double"/>
    </xmlCellPr>
  </singleXmlCell>
  <singleXmlCell id="565" r="H111" connectionId="0">
    <xmlCellPr id="1" uniqueName="1">
      <xmlPr mapId="43" xpath="/ns1:Root/ns1:M6/ns1:__5__Current_stock_in_central_warehouse__that_does_not_expire_within_the_next_3_months_" xmlDataType="double"/>
    </xmlCellPr>
  </singleXmlCell>
  <singleXmlCell id="566" r="J111" connectionId="0">
    <xmlCellPr id="1" uniqueName="1">
      <xmlPr mapId="43" xpath="/ns1:Root/ns1:M6/ns1:__7__Level_of_safety_stock__expressed_in_months_and_defined_by_country__" xmlDataType="double"/>
    </xmlCellPr>
  </singleXmlCell>
  <singleXmlCell id="567" r="H118" connectionId="0">
    <xmlCellPr id="1" uniqueName="1">
      <xmlPr mapId="43" xpath="/ns1:Root/ns1:Prog/ns1:Target_P1_1" xmlDataType="double"/>
    </xmlCellPr>
  </singleXmlCell>
  <singleXmlCell id="568" r="I118" connectionId="0">
    <xmlCellPr id="1" uniqueName="1">
      <xmlPr mapId="43" xpath="/ns1:Root/ns1:Prog/ns1:Target_P2_1" xmlDataType="double"/>
    </xmlCellPr>
  </singleXmlCell>
  <singleXmlCell id="569" r="J118" connectionId="0">
    <xmlCellPr id="1" uniqueName="1">
      <xmlPr mapId="43" xpath="/ns1:Root/ns1:Prog/ns1:Target_P3_1" xmlDataType="double"/>
    </xmlCellPr>
  </singleXmlCell>
  <singleXmlCell id="570" r="K118" connectionId="0">
    <xmlCellPr id="1" uniqueName="1">
      <xmlPr mapId="43" xpath="/ns1:Root/ns1:Prog/ns1:Target_P4_1" xmlDataType="double"/>
    </xmlCellPr>
  </singleXmlCell>
  <singleXmlCell id="571" r="L118" connectionId="0">
    <xmlCellPr id="1" uniqueName="1">
      <xmlPr mapId="43" xpath="/ns1:Root/ns1:Prog/ns1:Target_P5_1" xmlDataType="double"/>
    </xmlCellPr>
  </singleXmlCell>
  <singleXmlCell id="572" r="M118" connectionId="0">
    <xmlCellPr id="1" uniqueName="1">
      <xmlPr mapId="43" xpath="/ns1:Root/ns1:Prog/ns1:Target_P6_1" xmlDataType="double"/>
    </xmlCellPr>
  </singleXmlCell>
  <singleXmlCell id="573" r="N118" connectionId="0">
    <xmlCellPr id="1" uniqueName="1">
      <xmlPr mapId="43" xpath="/ns1:Root/ns1:Prog/ns1:Target_P7_1" xmlDataType="double"/>
    </xmlCellPr>
  </singleXmlCell>
  <singleXmlCell id="574" r="O118" connectionId="0">
    <xmlCellPr id="1" uniqueName="1">
      <xmlPr mapId="43" xpath="/ns1:Root/ns1:Prog/ns1:Target_P8_1" xmlDataType="double"/>
    </xmlCellPr>
  </singleXmlCell>
  <singleXmlCell id="575" r="P118" connectionId="0">
    <xmlCellPr id="1" uniqueName="1">
      <xmlPr mapId="43" xpath="/ns1:Root/ns1:Prog/ns1:Target_P9_1" xmlDataType="double"/>
    </xmlCellPr>
  </singleXmlCell>
  <singleXmlCell id="576" r="Q118" connectionId="0">
    <xmlCellPr id="1" uniqueName="1">
      <xmlPr mapId="43" xpath="/ns1:Root/ns1:Prog/ns1:Target_P10_1" xmlDataType="double"/>
    </xmlCellPr>
  </singleXmlCell>
  <singleXmlCell id="577" r="R118" connectionId="0">
    <xmlCellPr id="1" uniqueName="1">
      <xmlPr mapId="43" xpath="/ns1:Root/ns1:Prog/ns1:Target_P11_1" xmlDataType="double"/>
    </xmlCellPr>
  </singleXmlCell>
  <singleXmlCell id="578" r="S118" connectionId="0">
    <xmlCellPr id="1" uniqueName="1">
      <xmlPr mapId="43" xpath="/ns1:Root/ns1:Prog/ns1:Target_P12_1" xmlDataType="double"/>
    </xmlCellPr>
  </singleXmlCell>
  <singleXmlCell id="579" r="H119" connectionId="0">
    <xmlCellPr id="1" uniqueName="1">
      <xmlPr mapId="43" xpath="/ns1:Root/ns1:Prog/ns1:Achieved__P1_1" xmlDataType="double"/>
    </xmlCellPr>
  </singleXmlCell>
  <singleXmlCell id="580" r="I119" connectionId="0">
    <xmlCellPr id="1" uniqueName="1">
      <xmlPr mapId="43" xpath="/ns1:Root/ns1:Prog/ns1:Achieved__P2_1" xmlDataType="double"/>
    </xmlCellPr>
  </singleXmlCell>
  <singleXmlCell id="581" r="J119" connectionId="0">
    <xmlCellPr id="1" uniqueName="1">
      <xmlPr mapId="43" xpath="/ns1:Root/ns1:Prog/ns1:Achieved__P3_1" xmlDataType="double"/>
    </xmlCellPr>
  </singleXmlCell>
  <singleXmlCell id="582" r="K119" connectionId="0">
    <xmlCellPr id="1" uniqueName="1">
      <xmlPr mapId="43" xpath="/ns1:Root/ns1:Prog/ns1:Achieved__P4_1" xmlDataType="double"/>
    </xmlCellPr>
  </singleXmlCell>
  <singleXmlCell id="583" r="L119" connectionId="0">
    <xmlCellPr id="1" uniqueName="1">
      <xmlPr mapId="43" xpath="/ns1:Root/ns1:Prog/ns1:Achieved__P5_1" xmlDataType="string"/>
    </xmlCellPr>
  </singleXmlCell>
  <singleXmlCell id="584" r="M119" connectionId="0">
    <xmlCellPr id="1" uniqueName="1">
      <xmlPr mapId="43" xpath="/ns1:Root/ns1:Prog/ns1:Achieved__P6_1" xmlDataType="string"/>
    </xmlCellPr>
  </singleXmlCell>
  <singleXmlCell id="585" r="N119" connectionId="0">
    <xmlCellPr id="1" uniqueName="1">
      <xmlPr mapId="43" xpath="/ns1:Root/ns1:Prog/ns1:Achieved__P7_1" xmlDataType="string"/>
    </xmlCellPr>
  </singleXmlCell>
  <singleXmlCell id="586" r="O119" connectionId="0">
    <xmlCellPr id="1" uniqueName="1">
      <xmlPr mapId="43" xpath="/ns1:Root/ns1:Prog/ns1:Achieved__P8_1" xmlDataType="string"/>
    </xmlCellPr>
  </singleXmlCell>
  <singleXmlCell id="587" r="P119" connectionId="0">
    <xmlCellPr id="1" uniqueName="1">
      <xmlPr mapId="43" xpath="/ns1:Root/ns1:Prog/ns1:Achieved__P9_1" xmlDataType="string"/>
    </xmlCellPr>
  </singleXmlCell>
  <singleXmlCell id="588" r="Q119" connectionId="0">
    <xmlCellPr id="1" uniqueName="1">
      <xmlPr mapId="43" xpath="/ns1:Root/ns1:Prog/ns1:Achieved__P10_1" xmlDataType="string"/>
    </xmlCellPr>
  </singleXmlCell>
  <singleXmlCell id="589" r="R119" connectionId="0">
    <xmlCellPr id="1" uniqueName="1">
      <xmlPr mapId="43" xpath="/ns1:Root/ns1:Prog/ns1:Achieved__P11_1" xmlDataType="string"/>
    </xmlCellPr>
  </singleXmlCell>
  <singleXmlCell id="590" r="S119" connectionId="0">
    <xmlCellPr id="1" uniqueName="1">
      <xmlPr mapId="43" xpath="/ns1:Root/ns1:Prog/ns1:Achieved__P12_1" xmlDataType="string"/>
    </xmlCellPr>
  </singleXmlCell>
  <singleXmlCell id="591" r="H120" connectionId="0">
    <xmlCellPr id="1" uniqueName="1">
      <xmlPr mapId="43" xpath="/ns1:Root/ns1:Prog/ns1:Target_P1_2" xmlDataType="double"/>
    </xmlCellPr>
  </singleXmlCell>
  <singleXmlCell id="592" r="I120" connectionId="0">
    <xmlCellPr id="1" uniqueName="1">
      <xmlPr mapId="43" xpath="/ns1:Root/ns1:Prog/ns1:Target_P2_2" xmlDataType="double"/>
    </xmlCellPr>
  </singleXmlCell>
  <singleXmlCell id="593" r="J120" connectionId="0">
    <xmlCellPr id="1" uniqueName="1">
      <xmlPr mapId="43" xpath="/ns1:Root/ns1:Prog/ns1:Target_P3_2" xmlDataType="double"/>
    </xmlCellPr>
  </singleXmlCell>
  <singleXmlCell id="594" r="L120" connectionId="0">
    <xmlCellPr id="1" uniqueName="1">
      <xmlPr mapId="43" xpath="/ns1:Root/ns1:Prog/ns1:Target_P5_2" xmlDataType="double"/>
    </xmlCellPr>
  </singleXmlCell>
  <singleXmlCell id="595" r="M120" connectionId="0">
    <xmlCellPr id="1" uniqueName="1">
      <xmlPr mapId="43" xpath="/ns1:Root/ns1:Prog/ns1:Target_P6_2" xmlDataType="double"/>
    </xmlCellPr>
  </singleXmlCell>
  <singleXmlCell id="596" r="N120" connectionId="0">
    <xmlCellPr id="1" uniqueName="1">
      <xmlPr mapId="43" xpath="/ns1:Root/ns1:Prog/ns1:Target_P7_2" xmlDataType="double"/>
    </xmlCellPr>
  </singleXmlCell>
  <singleXmlCell id="597" r="O120" connectionId="0">
    <xmlCellPr id="1" uniqueName="1">
      <xmlPr mapId="43" xpath="/ns1:Root/ns1:Prog/ns1:Target_P8_2" xmlDataType="double"/>
    </xmlCellPr>
  </singleXmlCell>
  <singleXmlCell id="598" r="P120" connectionId="0">
    <xmlCellPr id="1" uniqueName="1">
      <xmlPr mapId="43" xpath="/ns1:Root/ns1:Prog/ns1:Target_P9_2" xmlDataType="double"/>
    </xmlCellPr>
  </singleXmlCell>
  <singleXmlCell id="599" r="Q120" connectionId="0">
    <xmlCellPr id="1" uniqueName="1">
      <xmlPr mapId="43" xpath="/ns1:Root/ns1:Prog/ns1:Target_P10_2" xmlDataType="double"/>
    </xmlCellPr>
  </singleXmlCell>
  <singleXmlCell id="600" r="R120" connectionId="0">
    <xmlCellPr id="1" uniqueName="1">
      <xmlPr mapId="43" xpath="/ns1:Root/ns1:Prog/ns1:Target_P11_2" xmlDataType="double"/>
    </xmlCellPr>
  </singleXmlCell>
  <singleXmlCell id="601" r="S120" connectionId="0">
    <xmlCellPr id="1" uniqueName="1">
      <xmlPr mapId="43" xpath="/ns1:Root/ns1:Prog/ns1:Target_P12_2" xmlDataType="double"/>
    </xmlCellPr>
  </singleXmlCell>
  <singleXmlCell id="602" r="H121" connectionId="0">
    <xmlCellPr id="1" uniqueName="1">
      <xmlPr mapId="43" xpath="/ns1:Root/ns1:Prog/ns1:Achieved__P1_2" xmlDataType="double"/>
    </xmlCellPr>
  </singleXmlCell>
  <singleXmlCell id="603" r="I121" connectionId="0">
    <xmlCellPr id="1" uniqueName="1">
      <xmlPr mapId="43" xpath="/ns1:Root/ns1:Prog/ns1:Achieved__P2_2" xmlDataType="double"/>
    </xmlCellPr>
  </singleXmlCell>
  <singleXmlCell id="604" r="J121" connectionId="0">
    <xmlCellPr id="1" uniqueName="1">
      <xmlPr mapId="43" xpath="/ns1:Root/ns1:Prog/ns1:Achieved__P3_2" xmlDataType="double"/>
    </xmlCellPr>
  </singleXmlCell>
  <singleXmlCell id="605" r="K121" connectionId="0">
    <xmlCellPr id="1" uniqueName="1">
      <xmlPr mapId="43" xpath="/ns1:Root/ns1:Prog/ns1:Achieved__P4_2" xmlDataType="double"/>
    </xmlCellPr>
  </singleXmlCell>
  <singleXmlCell id="606" r="L121" connectionId="0">
    <xmlCellPr id="1" uniqueName="1">
      <xmlPr mapId="43" xpath="/ns1:Root/ns1:Prog/ns1:Achieved__P5_2" xmlDataType="string"/>
    </xmlCellPr>
  </singleXmlCell>
  <singleXmlCell id="607" r="M121" connectionId="0">
    <xmlCellPr id="1" uniqueName="1">
      <xmlPr mapId="43" xpath="/ns1:Root/ns1:Prog/ns1:Achieved__P6_2" xmlDataType="string"/>
    </xmlCellPr>
  </singleXmlCell>
  <singleXmlCell id="608" r="N121" connectionId="0">
    <xmlCellPr id="1" uniqueName="1">
      <xmlPr mapId="43" xpath="/ns1:Root/ns1:Prog/ns1:Achieved__P7_2" xmlDataType="string"/>
    </xmlCellPr>
  </singleXmlCell>
  <singleXmlCell id="609" r="O121" connectionId="0">
    <xmlCellPr id="1" uniqueName="1">
      <xmlPr mapId="43" xpath="/ns1:Root/ns1:Prog/ns1:Achieved__P8_2" xmlDataType="string"/>
    </xmlCellPr>
  </singleXmlCell>
  <singleXmlCell id="610" r="P121" connectionId="0">
    <xmlCellPr id="1" uniqueName="1">
      <xmlPr mapId="43" xpath="/ns1:Root/ns1:Prog/ns1:Achieved__P9_2" xmlDataType="string"/>
    </xmlCellPr>
  </singleXmlCell>
  <singleXmlCell id="611" r="Q121" connectionId="0">
    <xmlCellPr id="1" uniqueName="1">
      <xmlPr mapId="43" xpath="/ns1:Root/ns1:Prog/ns1:Achieved__P10_2" xmlDataType="string"/>
    </xmlCellPr>
  </singleXmlCell>
  <singleXmlCell id="612" r="R121" connectionId="0">
    <xmlCellPr id="1" uniqueName="1">
      <xmlPr mapId="43" xpath="/ns1:Root/ns1:Prog/ns1:Achieved__P11_2" xmlDataType="string"/>
    </xmlCellPr>
  </singleXmlCell>
  <singleXmlCell id="613" r="S121" connectionId="0">
    <xmlCellPr id="1" uniqueName="1">
      <xmlPr mapId="43" xpath="/ns1:Root/ns1:Prog/ns1:Achieved__P12_2" xmlDataType="string"/>
    </xmlCellPr>
  </singleXmlCell>
  <singleXmlCell id="614" r="H122" connectionId="0">
    <xmlCellPr id="1" uniqueName="1">
      <xmlPr mapId="43" xpath="/ns1:Root/ns1:Prog/ns1:Target_P1_3" xmlDataType="double"/>
    </xmlCellPr>
  </singleXmlCell>
  <singleXmlCell id="615" r="I122" connectionId="0">
    <xmlCellPr id="1" uniqueName="1">
      <xmlPr mapId="43" xpath="/ns1:Root/ns1:Prog/ns1:Target_P2_3" xmlDataType="double"/>
    </xmlCellPr>
  </singleXmlCell>
  <singleXmlCell id="616" r="J122" connectionId="0">
    <xmlCellPr id="1" uniqueName="1">
      <xmlPr mapId="43" xpath="/ns1:Root/ns1:Prog/ns1:Target_P3_3" xmlDataType="double"/>
    </xmlCellPr>
  </singleXmlCell>
  <singleXmlCell id="617" r="K122" connectionId="0">
    <xmlCellPr id="1" uniqueName="1">
      <xmlPr mapId="43" xpath="/ns1:Root/ns1:Prog/ns1:Target_P4_3" xmlDataType="double"/>
    </xmlCellPr>
  </singleXmlCell>
  <singleXmlCell id="618" r="L122" connectionId="0">
    <xmlCellPr id="1" uniqueName="1">
      <xmlPr mapId="43" xpath="/ns1:Root/ns1:Prog/ns1:Target_P5_3" xmlDataType="double"/>
    </xmlCellPr>
  </singleXmlCell>
  <singleXmlCell id="619" r="M122" connectionId="0">
    <xmlCellPr id="1" uniqueName="1">
      <xmlPr mapId="43" xpath="/ns1:Root/ns1:Prog/ns1:Target_P6_3" xmlDataType="double"/>
    </xmlCellPr>
  </singleXmlCell>
  <singleXmlCell id="620" r="N122" connectionId="0">
    <xmlCellPr id="1" uniqueName="1">
      <xmlPr mapId="43" xpath="/ns1:Root/ns1:Prog/ns1:Target_P7_3" xmlDataType="double"/>
    </xmlCellPr>
  </singleXmlCell>
  <singleXmlCell id="621" r="O122" connectionId="0">
    <xmlCellPr id="1" uniqueName="1">
      <xmlPr mapId="43" xpath="/ns1:Root/ns1:Prog/ns1:Target_P8_3" xmlDataType="double"/>
    </xmlCellPr>
  </singleXmlCell>
  <singleXmlCell id="622" r="P122" connectionId="0">
    <xmlCellPr id="1" uniqueName="1">
      <xmlPr mapId="43" xpath="/ns1:Root/ns1:Prog/ns1:Target_P9_3" xmlDataType="double"/>
    </xmlCellPr>
  </singleXmlCell>
  <singleXmlCell id="623" r="Q122" connectionId="0">
    <xmlCellPr id="1" uniqueName="1">
      <xmlPr mapId="43" xpath="/ns1:Root/ns1:Prog/ns1:Target_P10_3" xmlDataType="string"/>
    </xmlCellPr>
  </singleXmlCell>
  <singleXmlCell id="624" r="R122" connectionId="0">
    <xmlCellPr id="1" uniqueName="1">
      <xmlPr mapId="43" xpath="/ns1:Root/ns1:Prog/ns1:Target_P11_3" xmlDataType="string"/>
    </xmlCellPr>
  </singleXmlCell>
  <singleXmlCell id="625" r="S122" connectionId="0">
    <xmlCellPr id="1" uniqueName="1">
      <xmlPr mapId="43" xpath="/ns1:Root/ns1:Prog/ns1:Target_P12_3" xmlDataType="double"/>
    </xmlCellPr>
  </singleXmlCell>
  <singleXmlCell id="626" r="H123" connectionId="0">
    <xmlCellPr id="1" uniqueName="1">
      <xmlPr mapId="43" xpath="/ns1:Root/ns1:Prog/ns1:Achieved__P1_3" xmlDataType="string"/>
    </xmlCellPr>
  </singleXmlCell>
  <singleXmlCell id="627" r="I123" connectionId="0">
    <xmlCellPr id="1" uniqueName="1">
      <xmlPr mapId="43" xpath="/ns1:Root/ns1:Prog/ns1:Achieved__P2_3" xmlDataType="double"/>
    </xmlCellPr>
  </singleXmlCell>
  <singleXmlCell id="628" r="J123" connectionId="0">
    <xmlCellPr id="1" uniqueName="1">
      <xmlPr mapId="43" xpath="/ns1:Root/ns1:Prog/ns1:Achieved__P3_3" xmlDataType="string"/>
    </xmlCellPr>
  </singleXmlCell>
  <singleXmlCell id="629" r="K123" connectionId="0">
    <xmlCellPr id="1" uniqueName="1">
      <xmlPr mapId="43" xpath="/ns1:Root/ns1:Prog/ns1:Achieved__P4_3" xmlDataType="double"/>
    </xmlCellPr>
  </singleXmlCell>
  <singleXmlCell id="630" r="L123" connectionId="0">
    <xmlCellPr id="1" uniqueName="1">
      <xmlPr mapId="43" xpath="/ns1:Root/ns1:Prog/ns1:Achieved__P5_3" xmlDataType="string"/>
    </xmlCellPr>
  </singleXmlCell>
  <singleXmlCell id="631" r="M123" connectionId="0">
    <xmlCellPr id="1" uniqueName="1">
      <xmlPr mapId="43" xpath="/ns1:Root/ns1:Prog/ns1:Achieved__P6_3" xmlDataType="string"/>
    </xmlCellPr>
  </singleXmlCell>
  <singleXmlCell id="632" r="N123" connectionId="0">
    <xmlCellPr id="1" uniqueName="1">
      <xmlPr mapId="43" xpath="/ns1:Root/ns1:Prog/ns1:Achieved__P7_3" xmlDataType="string"/>
    </xmlCellPr>
  </singleXmlCell>
  <singleXmlCell id="633" r="O123" connectionId="0">
    <xmlCellPr id="1" uniqueName="1">
      <xmlPr mapId="43" xpath="/ns1:Root/ns1:Prog/ns1:Achieved__P8_3" xmlDataType="string"/>
    </xmlCellPr>
  </singleXmlCell>
  <singleXmlCell id="634" r="P123" connectionId="0">
    <xmlCellPr id="1" uniqueName="1">
      <xmlPr mapId="43" xpath="/ns1:Root/ns1:Prog/ns1:Achieved__P9_3" xmlDataType="string"/>
    </xmlCellPr>
  </singleXmlCell>
  <singleXmlCell id="635" r="Q123" connectionId="0">
    <xmlCellPr id="1" uniqueName="1">
      <xmlPr mapId="43" xpath="/ns1:Root/ns1:Prog/ns1:Achieved__P10_3" xmlDataType="string"/>
    </xmlCellPr>
  </singleXmlCell>
  <singleXmlCell id="636" r="R123" connectionId="0">
    <xmlCellPr id="1" uniqueName="1">
      <xmlPr mapId="43" xpath="/ns1:Root/ns1:Prog/ns1:Achieved__P11_3" xmlDataType="string"/>
    </xmlCellPr>
  </singleXmlCell>
  <singleXmlCell id="637" r="S123" connectionId="0">
    <xmlCellPr id="1" uniqueName="1">
      <xmlPr mapId="43" xpath="/ns1:Root/ns1:Prog/ns1:Achieved__P12_3" xmlDataType="string"/>
    </xmlCellPr>
  </singleXmlCell>
  <singleXmlCell id="638" r="H124" connectionId="0">
    <xmlCellPr id="1" uniqueName="1">
      <xmlPr mapId="43" xpath="/ns1:Root/ns1:Prog/ns1:Target_P1_4" xmlDataType="string"/>
    </xmlCellPr>
  </singleXmlCell>
  <singleXmlCell id="639" r="I124" connectionId="0">
    <xmlCellPr id="1" uniqueName="1">
      <xmlPr mapId="43" xpath="/ns1:Root/ns1:Prog/ns1:Target_P2_4" xmlDataType="string"/>
    </xmlCellPr>
  </singleXmlCell>
  <singleXmlCell id="640" r="J124" connectionId="0">
    <xmlCellPr id="1" uniqueName="1">
      <xmlPr mapId="43" xpath="/ns1:Root/ns1:Prog/ns1:Target_P3_4" xmlDataType="string"/>
    </xmlCellPr>
  </singleXmlCell>
  <singleXmlCell id="641" r="K124" connectionId="0">
    <xmlCellPr id="1" uniqueName="1">
      <xmlPr mapId="43" xpath="/ns1:Root/ns1:Prog/ns1:Target_P4_4" xmlDataType="double"/>
    </xmlCellPr>
  </singleXmlCell>
  <singleXmlCell id="642" r="L124" connectionId="0">
    <xmlCellPr id="1" uniqueName="1">
      <xmlPr mapId="43" xpath="/ns1:Root/ns1:Prog/ns1:Target_P5_4" xmlDataType="string"/>
    </xmlCellPr>
  </singleXmlCell>
  <singleXmlCell id="643" r="M124" connectionId="0">
    <xmlCellPr id="1" uniqueName="1">
      <xmlPr mapId="43" xpath="/ns1:Root/ns1:Prog/ns1:Target_P6_4" xmlDataType="string"/>
    </xmlCellPr>
  </singleXmlCell>
  <singleXmlCell id="644" r="N124" connectionId="0">
    <xmlCellPr id="1" uniqueName="1">
      <xmlPr mapId="43" xpath="/ns1:Root/ns1:Prog/ns1:Target_P7_4" xmlDataType="string"/>
    </xmlCellPr>
  </singleXmlCell>
  <singleXmlCell id="645" r="O124" connectionId="0">
    <xmlCellPr id="1" uniqueName="1">
      <xmlPr mapId="43" xpath="/ns1:Root/ns1:Prog/ns1:Target_P8_4" xmlDataType="double"/>
    </xmlCellPr>
  </singleXmlCell>
  <singleXmlCell id="646" r="P124" connectionId="0">
    <xmlCellPr id="1" uniqueName="1">
      <xmlPr mapId="43" xpath="/ns1:Root/ns1:Prog/ns1:Target_P9_4" xmlDataType="string"/>
    </xmlCellPr>
  </singleXmlCell>
  <singleXmlCell id="647" r="Q124" connectionId="0">
    <xmlCellPr id="1" uniqueName="1">
      <xmlPr mapId="43" xpath="/ns1:Root/ns1:Prog/ns1:Target_P10_4" xmlDataType="string"/>
    </xmlCellPr>
  </singleXmlCell>
  <singleXmlCell id="648" r="R124" connectionId="0">
    <xmlCellPr id="1" uniqueName="1">
      <xmlPr mapId="43" xpath="/ns1:Root/ns1:Prog/ns1:Target_P11_4" xmlDataType="string"/>
    </xmlCellPr>
  </singleXmlCell>
  <singleXmlCell id="649" r="S124" connectionId="0">
    <xmlCellPr id="1" uniqueName="1">
      <xmlPr mapId="43" xpath="/ns1:Root/ns1:Prog/ns1:Target_P12_4" xmlDataType="double"/>
    </xmlCellPr>
  </singleXmlCell>
  <singleXmlCell id="650" r="H125" connectionId="0">
    <xmlCellPr id="1" uniqueName="1">
      <xmlPr mapId="43" xpath="/ns1:Root/ns1:Prog/ns1:Achieved__P1_4" xmlDataType="string"/>
    </xmlCellPr>
  </singleXmlCell>
  <singleXmlCell id="651" r="I125" connectionId="0">
    <xmlCellPr id="1" uniqueName="1">
      <xmlPr mapId="43" xpath="/ns1:Root/ns1:Prog/ns1:Achieved__P2_4" xmlDataType="string"/>
    </xmlCellPr>
  </singleXmlCell>
  <singleXmlCell id="652" r="J125" connectionId="0">
    <xmlCellPr id="1" uniqueName="1">
      <xmlPr mapId="43" xpath="/ns1:Root/ns1:Prog/ns1:Achieved__P3_4" xmlDataType="string"/>
    </xmlCellPr>
  </singleXmlCell>
  <singleXmlCell id="653" r="K125" connectionId="0">
    <xmlCellPr id="1" uniqueName="1">
      <xmlPr mapId="43" xpath="/ns1:Root/ns1:Prog/ns1:Achieved__P4_4" xmlDataType="double"/>
    </xmlCellPr>
  </singleXmlCell>
  <singleXmlCell id="654" r="L125" connectionId="0">
    <xmlCellPr id="1" uniqueName="1">
      <xmlPr mapId="43" xpath="/ns1:Root/ns1:Prog/ns1:Achieved__P5_4" xmlDataType="string"/>
    </xmlCellPr>
  </singleXmlCell>
  <singleXmlCell id="655" r="M125" connectionId="0">
    <xmlCellPr id="1" uniqueName="1">
      <xmlPr mapId="43" xpath="/ns1:Root/ns1:Prog/ns1:Achieved__P6_4" xmlDataType="string"/>
    </xmlCellPr>
  </singleXmlCell>
  <singleXmlCell id="656" r="N125" connectionId="0">
    <xmlCellPr id="1" uniqueName="1">
      <xmlPr mapId="43" xpath="/ns1:Root/ns1:Prog/ns1:Achieved__P7_4" xmlDataType="string"/>
    </xmlCellPr>
  </singleXmlCell>
  <singleXmlCell id="657" r="O125" connectionId="0">
    <xmlCellPr id="1" uniqueName="1">
      <xmlPr mapId="43" xpath="/ns1:Root/ns1:Prog/ns1:Achieved__P8_4" xmlDataType="string"/>
    </xmlCellPr>
  </singleXmlCell>
  <singleXmlCell id="658" r="P125" connectionId="0">
    <xmlCellPr id="1" uniqueName="1">
      <xmlPr mapId="43" xpath="/ns1:Root/ns1:Prog/ns1:Achieved__P9_4" xmlDataType="string"/>
    </xmlCellPr>
  </singleXmlCell>
  <singleXmlCell id="659" r="Q125" connectionId="0">
    <xmlCellPr id="1" uniqueName="1">
      <xmlPr mapId="43" xpath="/ns1:Root/ns1:Prog/ns1:Achieved__P10_4" xmlDataType="string"/>
    </xmlCellPr>
  </singleXmlCell>
  <singleXmlCell id="660" r="R125" connectionId="0">
    <xmlCellPr id="1" uniqueName="1">
      <xmlPr mapId="43" xpath="/ns1:Root/ns1:Prog/ns1:Achieved__P11_4" xmlDataType="string"/>
    </xmlCellPr>
  </singleXmlCell>
  <singleXmlCell id="661" r="S125" connectionId="0">
    <xmlCellPr id="1" uniqueName="1">
      <xmlPr mapId="43" xpath="/ns1:Root/ns1:Prog/ns1:Achieved__P12_4" xmlDataType="string"/>
    </xmlCellPr>
  </singleXmlCell>
  <singleXmlCell id="662" r="H126" connectionId="0">
    <xmlCellPr id="1" uniqueName="1">
      <xmlPr mapId="43" xpath="/ns1:Root/ns1:Prog/ns1:Target_P1_5" xmlDataType="double"/>
    </xmlCellPr>
  </singleXmlCell>
  <singleXmlCell id="663" r="I126" connectionId="0">
    <xmlCellPr id="1" uniqueName="1">
      <xmlPr mapId="43" xpath="/ns1:Root/ns1:Prog/ns1:Target_P2_5" xmlDataType="double"/>
    </xmlCellPr>
  </singleXmlCell>
  <singleXmlCell id="664" r="J126" connectionId="0">
    <xmlCellPr id="1" uniqueName="1">
      <xmlPr mapId="43" xpath="/ns1:Root/ns1:Prog/ns1:Target_P3_5" xmlDataType="double"/>
    </xmlCellPr>
  </singleXmlCell>
  <singleXmlCell id="665" r="K126" connectionId="0">
    <xmlCellPr id="1" uniqueName="1">
      <xmlPr mapId="43" xpath="/ns1:Root/ns1:Prog/ns1:Target_P4_5" xmlDataType="double"/>
    </xmlCellPr>
  </singleXmlCell>
  <singleXmlCell id="666" r="L126" connectionId="0">
    <xmlCellPr id="1" uniqueName="1">
      <xmlPr mapId="43" xpath="/ns1:Root/ns1:Prog/ns1:Target_P5_5" xmlDataType="double"/>
    </xmlCellPr>
  </singleXmlCell>
  <singleXmlCell id="667" r="M126" connectionId="0">
    <xmlCellPr id="1" uniqueName="1">
      <xmlPr mapId="43" xpath="/ns1:Root/ns1:Prog/ns1:Target_P6_5" xmlDataType="double"/>
    </xmlCellPr>
  </singleXmlCell>
  <singleXmlCell id="668" r="N126" connectionId="0">
    <xmlCellPr id="1" uniqueName="1">
      <xmlPr mapId="43" xpath="/ns1:Root/ns1:Prog/ns1:Target_P7_5" xmlDataType="double"/>
    </xmlCellPr>
  </singleXmlCell>
  <singleXmlCell id="669" r="O126" connectionId="0">
    <xmlCellPr id="1" uniqueName="1">
      <xmlPr mapId="43" xpath="/ns1:Root/ns1:Prog/ns1:Target_P8_5" xmlDataType="double"/>
    </xmlCellPr>
  </singleXmlCell>
  <singleXmlCell id="670" r="P126" connectionId="0">
    <xmlCellPr id="1" uniqueName="1">
      <xmlPr mapId="43" xpath="/ns1:Root/ns1:Prog/ns1:Target_P9_5" xmlDataType="double"/>
    </xmlCellPr>
  </singleXmlCell>
  <singleXmlCell id="671" r="Q126" connectionId="0">
    <xmlCellPr id="1" uniqueName="1">
      <xmlPr mapId="43" xpath="/ns1:Root/ns1:Prog/ns1:Target_P10_5" xmlDataType="double"/>
    </xmlCellPr>
  </singleXmlCell>
  <singleXmlCell id="672" r="R126" connectionId="0">
    <xmlCellPr id="1" uniqueName="1">
      <xmlPr mapId="43" xpath="/ns1:Root/ns1:Prog/ns1:Target_P11_5" xmlDataType="double"/>
    </xmlCellPr>
  </singleXmlCell>
  <singleXmlCell id="673" r="S126" connectionId="0">
    <xmlCellPr id="1" uniqueName="1">
      <xmlPr mapId="43" xpath="/ns1:Root/ns1:Prog/ns1:Target_P12_5" xmlDataType="double"/>
    </xmlCellPr>
  </singleXmlCell>
  <singleXmlCell id="674" r="H127" connectionId="0">
    <xmlCellPr id="1" uniqueName="1">
      <xmlPr mapId="43" xpath="/ns1:Root/ns1:Prog/ns1:Achieved__P1_5" xmlDataType="double"/>
    </xmlCellPr>
  </singleXmlCell>
  <singleXmlCell id="675" r="I127" connectionId="0">
    <xmlCellPr id="1" uniqueName="1">
      <xmlPr mapId="43" xpath="/ns1:Root/ns1:Prog/ns1:Achieved__P2_5" xmlDataType="double"/>
    </xmlCellPr>
  </singleXmlCell>
  <singleXmlCell id="676" r="J127" connectionId="0">
    <xmlCellPr id="1" uniqueName="1">
      <xmlPr mapId="43" xpath="/ns1:Root/ns1:Prog/ns1:Achieved__P3_5" xmlDataType="double"/>
    </xmlCellPr>
  </singleXmlCell>
  <singleXmlCell id="677" r="K127" connectionId="0">
    <xmlCellPr id="1" uniqueName="1">
      <xmlPr mapId="43" xpath="/ns1:Root/ns1:Prog/ns1:Achieved__P4_5" xmlDataType="double"/>
    </xmlCellPr>
  </singleXmlCell>
  <singleXmlCell id="678" r="L127" connectionId="0">
    <xmlCellPr id="1" uniqueName="1">
      <xmlPr mapId="43" xpath="/ns1:Root/ns1:Prog/ns1:Achieved__P5_5" xmlDataType="string"/>
    </xmlCellPr>
  </singleXmlCell>
  <singleXmlCell id="679" r="M127" connectionId="0">
    <xmlCellPr id="1" uniqueName="1">
      <xmlPr mapId="43" xpath="/ns1:Root/ns1:Prog/ns1:Achieved__P6_5" xmlDataType="string"/>
    </xmlCellPr>
  </singleXmlCell>
  <singleXmlCell id="680" r="N127" connectionId="0">
    <xmlCellPr id="1" uniqueName="1">
      <xmlPr mapId="43" xpath="/ns1:Root/ns1:Prog/ns1:Achieved__P7_5" xmlDataType="string"/>
    </xmlCellPr>
  </singleXmlCell>
  <singleXmlCell id="681" r="O127" connectionId="0">
    <xmlCellPr id="1" uniqueName="1">
      <xmlPr mapId="43" xpath="/ns1:Root/ns1:Prog/ns1:Achieved__P8_5" xmlDataType="string"/>
    </xmlCellPr>
  </singleXmlCell>
  <singleXmlCell id="682" r="P127" connectionId="0">
    <xmlCellPr id="1" uniqueName="1">
      <xmlPr mapId="43" xpath="/ns1:Root/ns1:Prog/ns1:Achieved__P9_5" xmlDataType="string"/>
    </xmlCellPr>
  </singleXmlCell>
  <singleXmlCell id="683" r="Q127" connectionId="0">
    <xmlCellPr id="1" uniqueName="1">
      <xmlPr mapId="43" xpath="/ns1:Root/ns1:Prog/ns1:Achieved__P10_5" xmlDataType="string"/>
    </xmlCellPr>
  </singleXmlCell>
  <singleXmlCell id="684" r="R127" connectionId="0">
    <xmlCellPr id="1" uniqueName="1">
      <xmlPr mapId="43" xpath="/ns1:Root/ns1:Prog/ns1:Achieved__P11_5" xmlDataType="string"/>
    </xmlCellPr>
  </singleXmlCell>
  <singleXmlCell id="685" r="S127" connectionId="0">
    <xmlCellPr id="1" uniqueName="1">
      <xmlPr mapId="43" xpath="/ns1:Root/ns1:Prog/ns1:Achieved__P12_5" xmlDataType="string"/>
    </xmlCellPr>
  </singleXmlCell>
  <singleXmlCell id="686" r="H128" connectionId="0">
    <xmlCellPr id="1" uniqueName="1">
      <xmlPr mapId="43" xpath="/ns1:Root/ns1:Prog/ns1:Target_P1_6" xmlDataType="double"/>
    </xmlCellPr>
  </singleXmlCell>
  <singleXmlCell id="687" r="I128" connectionId="0">
    <xmlCellPr id="1" uniqueName="1">
      <xmlPr mapId="43" xpath="/ns1:Root/ns1:Prog/ns1:Target_P2_6" xmlDataType="double"/>
    </xmlCellPr>
  </singleXmlCell>
  <singleXmlCell id="688" r="J128" connectionId="0">
    <xmlCellPr id="1" uniqueName="1">
      <xmlPr mapId="43" xpath="/ns1:Root/ns1:Prog/ns1:Target_P3_6" xmlDataType="double"/>
    </xmlCellPr>
  </singleXmlCell>
  <singleXmlCell id="689" r="K128" connectionId="0">
    <xmlCellPr id="1" uniqueName="1">
      <xmlPr mapId="43" xpath="/ns1:Root/ns1:Prog/ns1:Target_P4_6" xmlDataType="double"/>
    </xmlCellPr>
  </singleXmlCell>
  <singleXmlCell id="690" r="L128" connectionId="0">
    <xmlCellPr id="1" uniqueName="1">
      <xmlPr mapId="43" xpath="/ns1:Root/ns1:Prog/ns1:Target_P5_6" xmlDataType="double"/>
    </xmlCellPr>
  </singleXmlCell>
  <singleXmlCell id="691" r="M128" connectionId="0">
    <xmlCellPr id="1" uniqueName="1">
      <xmlPr mapId="43" xpath="/ns1:Root/ns1:Prog/ns1:Target_P6_6" xmlDataType="double"/>
    </xmlCellPr>
  </singleXmlCell>
  <singleXmlCell id="692" r="N128" connectionId="0">
    <xmlCellPr id="1" uniqueName="1">
      <xmlPr mapId="43" xpath="/ns1:Root/ns1:Prog/ns1:Target_P7_6" xmlDataType="double"/>
    </xmlCellPr>
  </singleXmlCell>
  <singleXmlCell id="693" r="O128" connectionId="0">
    <xmlCellPr id="1" uniqueName="1">
      <xmlPr mapId="43" xpath="/ns1:Root/ns1:Prog/ns1:Target_P8_6" xmlDataType="double"/>
    </xmlCellPr>
  </singleXmlCell>
  <singleXmlCell id="694" r="P128" connectionId="0">
    <xmlCellPr id="1" uniqueName="1">
      <xmlPr mapId="43" xpath="/ns1:Root/ns1:Prog/ns1:Target_P9_6" xmlDataType="double"/>
    </xmlCellPr>
  </singleXmlCell>
  <singleXmlCell id="695" r="Q128" connectionId="0">
    <xmlCellPr id="1" uniqueName="1">
      <xmlPr mapId="43" xpath="/ns1:Root/ns1:Prog/ns1:Target_P10_6" xmlDataType="double"/>
    </xmlCellPr>
  </singleXmlCell>
  <singleXmlCell id="696" r="R128" connectionId="0">
    <xmlCellPr id="1" uniqueName="1">
      <xmlPr mapId="43" xpath="/ns1:Root/ns1:Prog/ns1:Target_P11_6" xmlDataType="double"/>
    </xmlCellPr>
  </singleXmlCell>
  <singleXmlCell id="697" r="S128" connectionId="0">
    <xmlCellPr id="1" uniqueName="1">
      <xmlPr mapId="43" xpath="/ns1:Root/ns1:Prog/ns1:Target_P12_6" xmlDataType="double"/>
    </xmlCellPr>
  </singleXmlCell>
  <singleXmlCell id="698" r="H129" connectionId="0">
    <xmlCellPr id="1" uniqueName="1">
      <xmlPr mapId="43" xpath="/ns1:Root/ns1:Prog/ns1:Achieved__P1_6" xmlDataType="double"/>
    </xmlCellPr>
  </singleXmlCell>
  <singleXmlCell id="699" r="I129" connectionId="0">
    <xmlCellPr id="1" uniqueName="1">
      <xmlPr mapId="43" xpath="/ns1:Root/ns1:Prog/ns1:Achieved__P2_6" xmlDataType="double"/>
    </xmlCellPr>
  </singleXmlCell>
  <singleXmlCell id="700" r="J129" connectionId="0">
    <xmlCellPr id="1" uniqueName="1">
      <xmlPr mapId="43" xpath="/ns1:Root/ns1:Prog/ns1:Achieved__P3_6" xmlDataType="double"/>
    </xmlCellPr>
  </singleXmlCell>
  <singleXmlCell id="701" r="K129" connectionId="0">
    <xmlCellPr id="1" uniqueName="1">
      <xmlPr mapId="43" xpath="/ns1:Root/ns1:Prog/ns1:Achieved__P4_6" xmlDataType="double"/>
    </xmlCellPr>
  </singleXmlCell>
  <singleXmlCell id="702" r="L129" connectionId="0">
    <xmlCellPr id="1" uniqueName="1">
      <xmlPr mapId="43" xpath="/ns1:Root/ns1:Prog/ns1:Achieved__P5_6" xmlDataType="string"/>
    </xmlCellPr>
  </singleXmlCell>
  <singleXmlCell id="703" r="M129" connectionId="0">
    <xmlCellPr id="1" uniqueName="1">
      <xmlPr mapId="43" xpath="/ns1:Root/ns1:Prog/ns1:Achieved__P6_6" xmlDataType="string"/>
    </xmlCellPr>
  </singleXmlCell>
  <singleXmlCell id="704" r="N129" connectionId="0">
    <xmlCellPr id="1" uniqueName="1">
      <xmlPr mapId="43" xpath="/ns1:Root/ns1:Prog/ns1:Achieved__P7_6" xmlDataType="string"/>
    </xmlCellPr>
  </singleXmlCell>
  <singleXmlCell id="705" r="O129" connectionId="0">
    <xmlCellPr id="1" uniqueName="1">
      <xmlPr mapId="43" xpath="/ns1:Root/ns1:Prog/ns1:Achieved__P8_6" xmlDataType="string"/>
    </xmlCellPr>
  </singleXmlCell>
  <singleXmlCell id="706" r="P129" connectionId="0">
    <xmlCellPr id="1" uniqueName="1">
      <xmlPr mapId="43" xpath="/ns1:Root/ns1:Prog/ns1:Achieved__P9_6" xmlDataType="string"/>
    </xmlCellPr>
  </singleXmlCell>
  <singleXmlCell id="707" r="Q129" connectionId="0">
    <xmlCellPr id="1" uniqueName="1">
      <xmlPr mapId="43" xpath="/ns1:Root/ns1:Prog/ns1:Achieved__P10_6" xmlDataType="string"/>
    </xmlCellPr>
  </singleXmlCell>
  <singleXmlCell id="708" r="R129" connectionId="0">
    <xmlCellPr id="1" uniqueName="1">
      <xmlPr mapId="43" xpath="/ns1:Root/ns1:Prog/ns1:Achieved__P11_6" xmlDataType="string"/>
    </xmlCellPr>
  </singleXmlCell>
  <singleXmlCell id="709" r="S129" connectionId="0">
    <xmlCellPr id="1" uniqueName="1">
      <xmlPr mapId="43" xpath="/ns1:Root/ns1:Prog/ns1:Achieved__P12_6" xmlDataType="string"/>
    </xmlCellPr>
  </singleXmlCell>
  <singleXmlCell id="710" r="H130" connectionId="0">
    <xmlCellPr id="1" uniqueName="1">
      <xmlPr mapId="43" xpath="/ns1:Root/ns1:Prog/ns1:Target_P1_7" xmlDataType="double"/>
    </xmlCellPr>
  </singleXmlCell>
  <singleXmlCell id="711" r="I130" connectionId="0">
    <xmlCellPr id="1" uniqueName="1">
      <xmlPr mapId="43" xpath="/ns1:Root/ns1:Prog/ns1:Target_P2_7" xmlDataType="double"/>
    </xmlCellPr>
  </singleXmlCell>
  <singleXmlCell id="712" r="J130" connectionId="0">
    <xmlCellPr id="1" uniqueName="1">
      <xmlPr mapId="43" xpath="/ns1:Root/ns1:Prog/ns1:Target_P3_7" xmlDataType="double"/>
    </xmlCellPr>
  </singleXmlCell>
  <singleXmlCell id="713" r="K130" connectionId="0">
    <xmlCellPr id="1" uniqueName="1">
      <xmlPr mapId="43" xpath="/ns1:Root/ns1:Prog/ns1:Target_P4_7" xmlDataType="double"/>
    </xmlCellPr>
  </singleXmlCell>
  <singleXmlCell id="714" r="L130" connectionId="0">
    <xmlCellPr id="1" uniqueName="1">
      <xmlPr mapId="43" xpath="/ns1:Root/ns1:Prog/ns1:Target_P5_7" xmlDataType="double"/>
    </xmlCellPr>
  </singleXmlCell>
  <singleXmlCell id="715" r="M130" connectionId="0">
    <xmlCellPr id="1" uniqueName="1">
      <xmlPr mapId="43" xpath="/ns1:Root/ns1:Prog/ns1:Target_P6_7" xmlDataType="double"/>
    </xmlCellPr>
  </singleXmlCell>
  <singleXmlCell id="716" r="N130" connectionId="0">
    <xmlCellPr id="1" uniqueName="1">
      <xmlPr mapId="43" xpath="/ns1:Root/ns1:Prog/ns1:Target_P7_7" xmlDataType="double"/>
    </xmlCellPr>
  </singleXmlCell>
  <singleXmlCell id="717" r="O130" connectionId="0">
    <xmlCellPr id="1" uniqueName="1">
      <xmlPr mapId="43" xpath="/ns1:Root/ns1:Prog/ns1:Target_P8_7" xmlDataType="double"/>
    </xmlCellPr>
  </singleXmlCell>
  <singleXmlCell id="718" r="P130" connectionId="0">
    <xmlCellPr id="1" uniqueName="1">
      <xmlPr mapId="43" xpath="/ns1:Root/ns1:Prog/ns1:Target_P9_7" xmlDataType="double"/>
    </xmlCellPr>
  </singleXmlCell>
  <singleXmlCell id="719" r="Q130" connectionId="0">
    <xmlCellPr id="1" uniqueName="1">
      <xmlPr mapId="43" xpath="/ns1:Root/ns1:Prog/ns1:Target_P10_7" xmlDataType="double"/>
    </xmlCellPr>
  </singleXmlCell>
  <singleXmlCell id="720" r="R130" connectionId="0">
    <xmlCellPr id="1" uniqueName="1">
      <xmlPr mapId="43" xpath="/ns1:Root/ns1:Prog/ns1:Target_P11_7" xmlDataType="double"/>
    </xmlCellPr>
  </singleXmlCell>
  <singleXmlCell id="721" r="S130" connectionId="0">
    <xmlCellPr id="1" uniqueName="1">
      <xmlPr mapId="43" xpath="/ns1:Root/ns1:Prog/ns1:Target_P12_7" xmlDataType="double"/>
    </xmlCellPr>
  </singleXmlCell>
  <singleXmlCell id="722" r="H131" connectionId="0">
    <xmlCellPr id="1" uniqueName="1">
      <xmlPr mapId="43" xpath="/ns1:Root/ns1:Prog/ns1:Achieved__P1_7" xmlDataType="double"/>
    </xmlCellPr>
  </singleXmlCell>
  <singleXmlCell id="723" r="I131" connectionId="0">
    <xmlCellPr id="1" uniqueName="1">
      <xmlPr mapId="43" xpath="/ns1:Root/ns1:Prog/ns1:Achieved__P2_7" xmlDataType="double"/>
    </xmlCellPr>
  </singleXmlCell>
  <singleXmlCell id="724" r="J131" connectionId="0">
    <xmlCellPr id="1" uniqueName="1">
      <xmlPr mapId="43" xpath="/ns1:Root/ns1:Prog/ns1:Achieved__P3_7" xmlDataType="double"/>
    </xmlCellPr>
  </singleXmlCell>
  <singleXmlCell id="725" r="K131" connectionId="0">
    <xmlCellPr id="1" uniqueName="1">
      <xmlPr mapId="43" xpath="/ns1:Root/ns1:Prog/ns1:Achieved__P4_7" xmlDataType="double"/>
    </xmlCellPr>
  </singleXmlCell>
  <singleXmlCell id="726" r="L131" connectionId="0">
    <xmlCellPr id="1" uniqueName="1">
      <xmlPr mapId="43" xpath="/ns1:Root/ns1:Prog/ns1:Achieved__P5_7" xmlDataType="string"/>
    </xmlCellPr>
  </singleXmlCell>
  <singleXmlCell id="727" r="M131" connectionId="0">
    <xmlCellPr id="1" uniqueName="1">
      <xmlPr mapId="43" xpath="/ns1:Root/ns1:Prog/ns1:Achieved__P6_7" xmlDataType="string"/>
    </xmlCellPr>
  </singleXmlCell>
  <singleXmlCell id="728" r="N131" connectionId="0">
    <xmlCellPr id="1" uniqueName="1">
      <xmlPr mapId="43" xpath="/ns1:Root/ns1:Prog/ns1:Achieved__P7_7" xmlDataType="string"/>
    </xmlCellPr>
  </singleXmlCell>
  <singleXmlCell id="729" r="O131" connectionId="0">
    <xmlCellPr id="1" uniqueName="1">
      <xmlPr mapId="43" xpath="/ns1:Root/ns1:Prog/ns1:Achieved__P8_7" xmlDataType="string"/>
    </xmlCellPr>
  </singleXmlCell>
  <singleXmlCell id="730" r="P131" connectionId="0">
    <xmlCellPr id="1" uniqueName="1">
      <xmlPr mapId="43" xpath="/ns1:Root/ns1:Prog/ns1:Achieved__P9_7" xmlDataType="string"/>
    </xmlCellPr>
  </singleXmlCell>
  <singleXmlCell id="731" r="Q131" connectionId="0">
    <xmlCellPr id="1" uniqueName="1">
      <xmlPr mapId="43" xpath="/ns1:Root/ns1:Prog/ns1:Achieved__P10_7" xmlDataType="string"/>
    </xmlCellPr>
  </singleXmlCell>
  <singleXmlCell id="732" r="R131" connectionId="0">
    <xmlCellPr id="1" uniqueName="1">
      <xmlPr mapId="43" xpath="/ns1:Root/ns1:Prog/ns1:Achieved__P11_7" xmlDataType="string"/>
    </xmlCellPr>
  </singleXmlCell>
  <singleXmlCell id="733" r="S131" connectionId="0">
    <xmlCellPr id="1" uniqueName="1">
      <xmlPr mapId="43" xpath="/ns1:Root/ns1:Prog/ns1:Achieved__P12_7" xmlDataType="string"/>
    </xmlCellPr>
  </singleXmlCell>
  <singleXmlCell id="734" r="H132" connectionId="0">
    <xmlCellPr id="1" uniqueName="1">
      <xmlPr mapId="43" xpath="/ns1:Root/ns1:Prog/ns1:Target_P1_8" xmlDataType="string"/>
    </xmlCellPr>
  </singleXmlCell>
  <singleXmlCell id="735" r="I132" connectionId="0">
    <xmlCellPr id="1" uniqueName="1">
      <xmlPr mapId="43" xpath="/ns1:Root/ns1:Prog/ns1:Target_P2_8" xmlDataType="double"/>
    </xmlCellPr>
  </singleXmlCell>
  <singleXmlCell id="736" r="J132" connectionId="0">
    <xmlCellPr id="1" uniqueName="1">
      <xmlPr mapId="43" xpath="/ns1:Root/ns1:Prog/ns1:Target_P3_8" xmlDataType="string"/>
    </xmlCellPr>
  </singleXmlCell>
  <singleXmlCell id="737" r="K132" connectionId="0">
    <xmlCellPr id="1" uniqueName="1">
      <xmlPr mapId="43" xpath="/ns1:Root/ns1:Prog/ns1:Target_P4_8" xmlDataType="double"/>
    </xmlCellPr>
  </singleXmlCell>
  <singleXmlCell id="738" r="L132" connectionId="0">
    <xmlCellPr id="1" uniqueName="1">
      <xmlPr mapId="43" xpath="/ns1:Root/ns1:Prog/ns1:Target_P5_8" xmlDataType="string"/>
    </xmlCellPr>
  </singleXmlCell>
  <singleXmlCell id="739" r="M132" connectionId="0">
    <xmlCellPr id="1" uniqueName="1">
      <xmlPr mapId="43" xpath="/ns1:Root/ns1:Prog/ns1:Target_P6_8" xmlDataType="double"/>
    </xmlCellPr>
  </singleXmlCell>
  <singleXmlCell id="740" r="N132" connectionId="0">
    <xmlCellPr id="1" uniqueName="1">
      <xmlPr mapId="43" xpath="/ns1:Root/ns1:Prog/ns1:Target_P7_8" xmlDataType="string"/>
    </xmlCellPr>
  </singleXmlCell>
  <singleXmlCell id="741" r="O132" connectionId="0">
    <xmlCellPr id="1" uniqueName="1">
      <xmlPr mapId="43" xpath="/ns1:Root/ns1:Prog/ns1:Target_P8_8" xmlDataType="double"/>
    </xmlCellPr>
  </singleXmlCell>
  <singleXmlCell id="742" r="P132" connectionId="0">
    <xmlCellPr id="1" uniqueName="1">
      <xmlPr mapId="43" xpath="/ns1:Root/ns1:Prog/ns1:Target_P9_8" xmlDataType="double"/>
    </xmlCellPr>
  </singleXmlCell>
  <singleXmlCell id="743" r="Q132" connectionId="0">
    <xmlCellPr id="1" uniqueName="1">
      <xmlPr mapId="43" xpath="/ns1:Root/ns1:Prog/ns1:Target_P10_8" xmlDataType="double"/>
    </xmlCellPr>
  </singleXmlCell>
  <singleXmlCell id="744" r="R132" connectionId="0">
    <xmlCellPr id="1" uniqueName="1">
      <xmlPr mapId="43" xpath="/ns1:Root/ns1:Prog/ns1:Target_P11_8" xmlDataType="double"/>
    </xmlCellPr>
  </singleXmlCell>
  <singleXmlCell id="745" r="S132" connectionId="0">
    <xmlCellPr id="1" uniqueName="1">
      <xmlPr mapId="43" xpath="/ns1:Root/ns1:Prog/ns1:Target_P12_8" xmlDataType="double"/>
    </xmlCellPr>
  </singleXmlCell>
  <singleXmlCell id="746" r="H133" connectionId="0">
    <xmlCellPr id="1" uniqueName="1">
      <xmlPr mapId="43" xpath="/ns1:Root/ns1:Prog/ns1:Achieved__P1_8" xmlDataType="string"/>
    </xmlCellPr>
  </singleXmlCell>
  <singleXmlCell id="747" r="I133" connectionId="0">
    <xmlCellPr id="1" uniqueName="1">
      <xmlPr mapId="43" xpath="/ns1:Root/ns1:Prog/ns1:Achieved__P2_8" xmlDataType="string"/>
    </xmlCellPr>
  </singleXmlCell>
  <singleXmlCell id="748" r="J133" connectionId="0">
    <xmlCellPr id="1" uniqueName="1">
      <xmlPr mapId="43" xpath="/ns1:Root/ns1:Prog/ns1:Achieved__P3_8" xmlDataType="string"/>
    </xmlCellPr>
  </singleXmlCell>
  <singleXmlCell id="749" r="K133" connectionId="0">
    <xmlCellPr id="1" uniqueName="1">
      <xmlPr mapId="43" xpath="/ns1:Root/ns1:Prog/ns1:Achieved__P4_8" xmlDataType="string"/>
    </xmlCellPr>
  </singleXmlCell>
  <singleXmlCell id="750" r="L133" connectionId="0">
    <xmlCellPr id="1" uniqueName="1">
      <xmlPr mapId="43" xpath="/ns1:Root/ns1:Prog/ns1:Achieved__P5_8" xmlDataType="string"/>
    </xmlCellPr>
  </singleXmlCell>
  <singleXmlCell id="751" r="M133" connectionId="0">
    <xmlCellPr id="1" uniqueName="1">
      <xmlPr mapId="43" xpath="/ns1:Root/ns1:Prog/ns1:Achieved__P6_8" xmlDataType="string"/>
    </xmlCellPr>
  </singleXmlCell>
  <singleXmlCell id="752" r="N133" connectionId="0">
    <xmlCellPr id="1" uniqueName="1">
      <xmlPr mapId="43" xpath="/ns1:Root/ns1:Prog/ns1:Achieved__P7_8" xmlDataType="string"/>
    </xmlCellPr>
  </singleXmlCell>
  <singleXmlCell id="753" r="O133" connectionId="0">
    <xmlCellPr id="1" uniqueName="1">
      <xmlPr mapId="43" xpath="/ns1:Root/ns1:Prog/ns1:Achieved__P8_8" xmlDataType="string"/>
    </xmlCellPr>
  </singleXmlCell>
  <singleXmlCell id="754" r="P133" connectionId="0">
    <xmlCellPr id="1" uniqueName="1">
      <xmlPr mapId="43" xpath="/ns1:Root/ns1:Prog/ns1:Achieved__P9_8" xmlDataType="string"/>
    </xmlCellPr>
  </singleXmlCell>
  <singleXmlCell id="755" r="Q133" connectionId="0">
    <xmlCellPr id="1" uniqueName="1">
      <xmlPr mapId="43" xpath="/ns1:Root/ns1:Prog/ns1:Achieved__P10_8" xmlDataType="string"/>
    </xmlCellPr>
  </singleXmlCell>
  <singleXmlCell id="756" r="R133" connectionId="0">
    <xmlCellPr id="1" uniqueName="1">
      <xmlPr mapId="43" xpath="/ns1:Root/ns1:Prog/ns1:Achieved__P11_8" xmlDataType="string"/>
    </xmlCellPr>
  </singleXmlCell>
  <singleXmlCell id="757" r="S133" connectionId="0">
    <xmlCellPr id="1" uniqueName="1">
      <xmlPr mapId="43" xpath="/ns1:Root/ns1:Prog/ns1:Achieved__P12_8" xmlDataType="string"/>
    </xmlCellPr>
  </singleXmlCell>
  <singleXmlCell id="758" r="H134" connectionId="0">
    <xmlCellPr id="1" uniqueName="1">
      <xmlPr mapId="43" xpath="/ns1:Root/ns1:Prog/ns1:Target_P1_9" xmlDataType="double"/>
    </xmlCellPr>
  </singleXmlCell>
  <singleXmlCell id="759" r="I134" connectionId="0">
    <xmlCellPr id="1" uniqueName="1">
      <xmlPr mapId="43" xpath="/ns1:Root/ns1:Prog/ns1:Target_P2_9" xmlDataType="double"/>
    </xmlCellPr>
  </singleXmlCell>
  <singleXmlCell id="760" r="J134" connectionId="0">
    <xmlCellPr id="1" uniqueName="1">
      <xmlPr mapId="43" xpath="/ns1:Root/ns1:Prog/ns1:Target_P3_9" xmlDataType="double"/>
    </xmlCellPr>
  </singleXmlCell>
  <singleXmlCell id="761" r="K134" connectionId="0">
    <xmlCellPr id="1" uniqueName="1">
      <xmlPr mapId="43" xpath="/ns1:Root/ns1:Prog/ns1:Target_P4_9" xmlDataType="double"/>
    </xmlCellPr>
  </singleXmlCell>
  <singleXmlCell id="762" r="L134" connectionId="0">
    <xmlCellPr id="1" uniqueName="1">
      <xmlPr mapId="43" xpath="/ns1:Root/ns1:Prog/ns1:Target_P5_9" xmlDataType="double"/>
    </xmlCellPr>
  </singleXmlCell>
  <singleXmlCell id="763" r="M134" connectionId="0">
    <xmlCellPr id="1" uniqueName="1">
      <xmlPr mapId="43" xpath="/ns1:Root/ns1:Prog/ns1:Target_P6_9" xmlDataType="double"/>
    </xmlCellPr>
  </singleXmlCell>
  <singleXmlCell id="764" r="N134" connectionId="0">
    <xmlCellPr id="1" uniqueName="1">
      <xmlPr mapId="43" xpath="/ns1:Root/ns1:Prog/ns1:Target_P7_9" xmlDataType="double"/>
    </xmlCellPr>
  </singleXmlCell>
  <singleXmlCell id="765" r="O134" connectionId="0">
    <xmlCellPr id="1" uniqueName="1">
      <xmlPr mapId="43" xpath="/ns1:Root/ns1:Prog/ns1:Target_P8_9" xmlDataType="double"/>
    </xmlCellPr>
  </singleXmlCell>
  <singleXmlCell id="766" r="P134" connectionId="0">
    <xmlCellPr id="1" uniqueName="1">
      <xmlPr mapId="43" xpath="/ns1:Root/ns1:Prog/ns1:Target_P9_9" xmlDataType="double"/>
    </xmlCellPr>
  </singleXmlCell>
  <singleXmlCell id="767" r="Q134" connectionId="0">
    <xmlCellPr id="1" uniqueName="1">
      <xmlPr mapId="43" xpath="/ns1:Root/ns1:Prog/ns1:Target_P10_9" xmlDataType="double"/>
    </xmlCellPr>
  </singleXmlCell>
  <singleXmlCell id="768" r="R134" connectionId="0">
    <xmlCellPr id="1" uniqueName="1">
      <xmlPr mapId="43" xpath="/ns1:Root/ns1:Prog/ns1:Target_P11_9" xmlDataType="double"/>
    </xmlCellPr>
  </singleXmlCell>
  <singleXmlCell id="769" r="S134" connectionId="0">
    <xmlCellPr id="1" uniqueName="1">
      <xmlPr mapId="43" xpath="/ns1:Root/ns1:Prog/ns1:Target_P12_9" xmlDataType="double"/>
    </xmlCellPr>
  </singleXmlCell>
  <singleXmlCell id="770" r="H135" connectionId="0">
    <xmlCellPr id="1" uniqueName="1">
      <xmlPr mapId="43" xpath="/ns1:Root/ns1:Prog/ns1:Achieved__P1_9" xmlDataType="string"/>
    </xmlCellPr>
  </singleXmlCell>
  <singleXmlCell id="771" r="I135" connectionId="0">
    <xmlCellPr id="1" uniqueName="1">
      <xmlPr mapId="43" xpath="/ns1:Root/ns1:Prog/ns1:Achieved__P2_9" xmlDataType="double"/>
    </xmlCellPr>
  </singleXmlCell>
  <singleXmlCell id="772" r="J135" connectionId="0">
    <xmlCellPr id="1" uniqueName="1">
      <xmlPr mapId="43" xpath="/ns1:Root/ns1:Prog/ns1:Achieved__P3_9" xmlDataType="string"/>
    </xmlCellPr>
  </singleXmlCell>
  <singleXmlCell id="773" r="K135" connectionId="0">
    <xmlCellPr id="1" uniqueName="1">
      <xmlPr mapId="43" xpath="/ns1:Root/ns1:Prog/ns1:Achieved__P4_9" xmlDataType="double"/>
    </xmlCellPr>
  </singleXmlCell>
  <singleXmlCell id="774" r="L135" connectionId="0">
    <xmlCellPr id="1" uniqueName="1">
      <xmlPr mapId="43" xpath="/ns1:Root/ns1:Prog/ns1:Achieved__P5_9" xmlDataType="string"/>
    </xmlCellPr>
  </singleXmlCell>
  <singleXmlCell id="775" r="M135" connectionId="0">
    <xmlCellPr id="1" uniqueName="1">
      <xmlPr mapId="43" xpath="/ns1:Root/ns1:Prog/ns1:Achieved__P6_9" xmlDataType="string"/>
    </xmlCellPr>
  </singleXmlCell>
  <singleXmlCell id="776" r="N135" connectionId="0">
    <xmlCellPr id="1" uniqueName="1">
      <xmlPr mapId="43" xpath="/ns1:Root/ns1:Prog/ns1:Achieved__P7_9" xmlDataType="string"/>
    </xmlCellPr>
  </singleXmlCell>
  <singleXmlCell id="777" r="O135" connectionId="0">
    <xmlCellPr id="1" uniqueName="1">
      <xmlPr mapId="43" xpath="/ns1:Root/ns1:Prog/ns1:Achieved__P8_9" xmlDataType="string"/>
    </xmlCellPr>
  </singleXmlCell>
  <singleXmlCell id="778" r="P135" connectionId="0">
    <xmlCellPr id="1" uniqueName="1">
      <xmlPr mapId="43" xpath="/ns1:Root/ns1:Prog/ns1:Achieved__P9_9" xmlDataType="string"/>
    </xmlCellPr>
  </singleXmlCell>
  <singleXmlCell id="779" r="Q135" connectionId="0">
    <xmlCellPr id="1" uniqueName="1">
      <xmlPr mapId="43" xpath="/ns1:Root/ns1:Prog/ns1:Achieved__P10_9" xmlDataType="string"/>
    </xmlCellPr>
  </singleXmlCell>
  <singleXmlCell id="780" r="R135" connectionId="0">
    <xmlCellPr id="1" uniqueName="1">
      <xmlPr mapId="43" xpath="/ns1:Root/ns1:Prog/ns1:Achieved__P11_9" xmlDataType="string"/>
    </xmlCellPr>
  </singleXmlCell>
  <singleXmlCell id="781" r="S135" connectionId="0">
    <xmlCellPr id="1" uniqueName="1">
      <xmlPr mapId="43" xpath="/ns1:Root/ns1:Prog/ns1:Achieved__P12_9" xmlDataType="string"/>
    </xmlCellPr>
  </singleXmlCell>
  <singleXmlCell id="782" r="H136" connectionId="0">
    <xmlCellPr id="1" uniqueName="1">
      <xmlPr mapId="43" xpath="/ns1:Root/ns1:Prog/ns1:Target_P1" xmlDataType="string"/>
    </xmlCellPr>
  </singleXmlCell>
  <singleXmlCell id="783" r="I136" connectionId="0">
    <xmlCellPr id="1" uniqueName="1">
      <xmlPr mapId="43" xpath="/ns1:Root/ns1:Prog/ns1:Target_P2" xmlDataType="string"/>
    </xmlCellPr>
  </singleXmlCell>
  <singleXmlCell id="784" r="J136" connectionId="0">
    <xmlCellPr id="1" uniqueName="1">
      <xmlPr mapId="43" xpath="/ns1:Root/ns1:Prog/ns1:Target_P3" xmlDataType="string"/>
    </xmlCellPr>
  </singleXmlCell>
  <singleXmlCell id="785" r="K136" connectionId="0">
    <xmlCellPr id="1" uniqueName="1">
      <xmlPr mapId="43" xpath="/ns1:Root/ns1:Prog/ns1:Target_P4" xmlDataType="double"/>
    </xmlCellPr>
  </singleXmlCell>
  <singleXmlCell id="786" r="L136" connectionId="0">
    <xmlCellPr id="1" uniqueName="1">
      <xmlPr mapId="43" xpath="/ns1:Root/ns1:Prog/ns1:Target_P5" xmlDataType="string"/>
    </xmlCellPr>
  </singleXmlCell>
  <singleXmlCell id="787" r="M136" connectionId="0">
    <xmlCellPr id="1" uniqueName="1">
      <xmlPr mapId="43" xpath="/ns1:Root/ns1:Prog/ns1:Target_P6" xmlDataType="string"/>
    </xmlCellPr>
  </singleXmlCell>
  <singleXmlCell id="788" r="N136" connectionId="0">
    <xmlCellPr id="1" uniqueName="1">
      <xmlPr mapId="43" xpath="/ns1:Root/ns1:Prog/ns1:Target_P7" xmlDataType="string"/>
    </xmlCellPr>
  </singleXmlCell>
  <singleXmlCell id="789" r="O136" connectionId="0">
    <xmlCellPr id="1" uniqueName="1">
      <xmlPr mapId="43" xpath="/ns1:Root/ns1:Prog/ns1:Target_P8" xmlDataType="string"/>
    </xmlCellPr>
  </singleXmlCell>
  <singleXmlCell id="790" r="P136" connectionId="0">
    <xmlCellPr id="1" uniqueName="1">
      <xmlPr mapId="43" xpath="/ns1:Root/ns1:Prog/ns1:Target_P9" xmlDataType="string"/>
    </xmlCellPr>
  </singleXmlCell>
  <singleXmlCell id="791" r="Q136" connectionId="0">
    <xmlCellPr id="1" uniqueName="1">
      <xmlPr mapId="43" xpath="/ns1:Root/ns1:Prog/ns1:Target_P10" xmlDataType="string"/>
    </xmlCellPr>
  </singleXmlCell>
  <singleXmlCell id="792" r="R136" connectionId="0">
    <xmlCellPr id="1" uniqueName="1">
      <xmlPr mapId="43" xpath="/ns1:Root/ns1:Prog/ns1:Target_P11" xmlDataType="string"/>
    </xmlCellPr>
  </singleXmlCell>
  <singleXmlCell id="793" r="S136" connectionId="0">
    <xmlCellPr id="1" uniqueName="1">
      <xmlPr mapId="43" xpath="/ns1:Root/ns1:Prog/ns1:Target_P12" xmlDataType="string"/>
    </xmlCellPr>
  </singleXmlCell>
  <singleXmlCell id="794" r="H137" connectionId="0">
    <xmlCellPr id="1" uniqueName="1">
      <xmlPr mapId="43" xpath="/ns1:Root/ns1:Prog/ns1:Achieved__P1" xmlDataType="string"/>
    </xmlCellPr>
  </singleXmlCell>
  <singleXmlCell id="795" r="I137" connectionId="0">
    <xmlCellPr id="1" uniqueName="1">
      <xmlPr mapId="43" xpath="/ns1:Root/ns1:Prog/ns1:Achieved__P2" xmlDataType="string"/>
    </xmlCellPr>
  </singleXmlCell>
  <singleXmlCell id="796" r="J137" connectionId="0">
    <xmlCellPr id="1" uniqueName="1">
      <xmlPr mapId="43" xpath="/ns1:Root/ns1:Prog/ns1:Achieved__P3" xmlDataType="string"/>
    </xmlCellPr>
  </singleXmlCell>
  <singleXmlCell id="797" r="K137" connectionId="0">
    <xmlCellPr id="1" uniqueName="1">
      <xmlPr mapId="43" xpath="/ns1:Root/ns1:Prog/ns1:Achieved__P4" xmlDataType="string"/>
    </xmlCellPr>
  </singleXmlCell>
  <singleXmlCell id="798" r="L137" connectionId="0">
    <xmlCellPr id="1" uniqueName="1">
      <xmlPr mapId="43" xpath="/ns1:Root/ns1:Prog/ns1:Achieved__P5" xmlDataType="string"/>
    </xmlCellPr>
  </singleXmlCell>
  <singleXmlCell id="799" r="M137" connectionId="0">
    <xmlCellPr id="1" uniqueName="1">
      <xmlPr mapId="43" xpath="/ns1:Root/ns1:Prog/ns1:Achieved__P6" xmlDataType="string"/>
    </xmlCellPr>
  </singleXmlCell>
  <singleXmlCell id="800" r="N137" connectionId="0">
    <xmlCellPr id="1" uniqueName="1">
      <xmlPr mapId="43" xpath="/ns1:Root/ns1:Prog/ns1:Achieved__P7" xmlDataType="string"/>
    </xmlCellPr>
  </singleXmlCell>
  <singleXmlCell id="801" r="O137" connectionId="0">
    <xmlCellPr id="1" uniqueName="1">
      <xmlPr mapId="43" xpath="/ns1:Root/ns1:Prog/ns1:Achieved__P8" xmlDataType="string"/>
    </xmlCellPr>
  </singleXmlCell>
  <singleXmlCell id="802" r="P137" connectionId="0">
    <xmlCellPr id="1" uniqueName="1">
      <xmlPr mapId="43" xpath="/ns1:Root/ns1:Prog/ns1:Achieved__P9" xmlDataType="string"/>
    </xmlCellPr>
  </singleXmlCell>
  <singleXmlCell id="803" r="Q137" connectionId="0">
    <xmlCellPr id="1" uniqueName="1">
      <xmlPr mapId="43" xpath="/ns1:Root/ns1:Prog/ns1:Achieved__P10" xmlDataType="string"/>
    </xmlCellPr>
  </singleXmlCell>
  <singleXmlCell id="804" r="R137" connectionId="0">
    <xmlCellPr id="1" uniqueName="1">
      <xmlPr mapId="43" xpath="/ns1:Root/ns1:Prog/ns1:Achieved__P11" xmlDataType="string"/>
    </xmlCellPr>
  </singleXmlCell>
  <singleXmlCell id="805" r="S137" connectionId="0">
    <xmlCellPr id="1" uniqueName="1">
      <xmlPr mapId="43" xpath="/ns1:Root/ns1:Prog/ns1:Achieved__P12" xmlDataType="string"/>
    </xmlCellPr>
  </singleXmlCell>
  <singleXmlCell id="806" r="K120" connectionId="0">
    <xmlCellPr id="1" uniqueName="1">
      <xmlPr mapId="43" xpath="/ns1:Root/ns1:Prog/ns1:Target_P4_2" xmlDataType="double"/>
    </xmlCellPr>
  </singleXmlCell>
  <singleXmlCell id="807" r="B118" connectionId="0">
    <xmlCellPr id="1" uniqueName="1">
      <xmlPr mapId="43" xpath="/ns1:Root/ns1:P1" xmlDataType="string"/>
    </xmlCellPr>
  </singleXmlCell>
  <singleXmlCell id="808" r="E118" connectionId="0">
    <xmlCellPr id="1" uniqueName="1">
      <xmlPr mapId="43" xpath="/ns1:Root/ns1:P1_Code" xmlDataType="double"/>
    </xmlCellPr>
  </singleXmlCell>
  <singleXmlCell id="809" r="F118" connectionId="0">
    <xmlCellPr id="1" uniqueName="1">
      <xmlPr mapId="43" xpath="/ns1:Root/ns1:P1_Tied" xmlDataType="string"/>
    </xmlCellPr>
  </singleXmlCell>
  <singleXmlCell id="810" r="B120" connectionId="0">
    <xmlCellPr id="1" uniqueName="1">
      <xmlPr mapId="43" xpath="/ns1:Root/ns1:P2" xmlDataType="string"/>
    </xmlCellPr>
  </singleXmlCell>
  <singleXmlCell id="811" r="E120" connectionId="0">
    <xmlCellPr id="1" uniqueName="1">
      <xmlPr mapId="43" xpath="/ns1:Root/ns1:P2_Code" xmlDataType="double"/>
    </xmlCellPr>
  </singleXmlCell>
  <singleXmlCell id="812" r="F120" connectionId="0">
    <xmlCellPr id="1" uniqueName="1">
      <xmlPr mapId="43" xpath="/ns1:Root/ns1:P2_Tied" xmlDataType="string"/>
    </xmlCellPr>
  </singleXmlCell>
  <singleXmlCell id="813" r="B122" connectionId="0">
    <xmlCellPr id="1" uniqueName="1">
      <xmlPr mapId="43" xpath="/ns1:Root/ns1:P3" xmlDataType="string"/>
    </xmlCellPr>
  </singleXmlCell>
  <singleXmlCell id="814" r="E122" connectionId="0">
    <xmlCellPr id="1" uniqueName="1">
      <xmlPr mapId="43" xpath="/ns1:Root/ns1:P3_Code" xmlDataType="double"/>
    </xmlCellPr>
  </singleXmlCell>
  <singleXmlCell id="815" r="F122" connectionId="0">
    <xmlCellPr id="1" uniqueName="1">
      <xmlPr mapId="43" xpath="/ns1:Root/ns1:P3_Tied" xmlDataType="string"/>
    </xmlCellPr>
  </singleXmlCell>
  <singleXmlCell id="816" r="B124" connectionId="0">
    <xmlCellPr id="1" uniqueName="1">
      <xmlPr mapId="43" xpath="/ns1:Root/ns1:P4" xmlDataType="string"/>
    </xmlCellPr>
  </singleXmlCell>
  <singleXmlCell id="817" r="E124" connectionId="0">
    <xmlCellPr id="1" uniqueName="1">
      <xmlPr mapId="43" xpath="/ns1:Root/ns1:P4_Code" xmlDataType="double"/>
    </xmlCellPr>
  </singleXmlCell>
  <singleXmlCell id="818" r="F124" connectionId="0">
    <xmlCellPr id="1" uniqueName="1">
      <xmlPr mapId="43" xpath="/ns1:Root/ns1:P4_Tied" xmlDataType="string"/>
    </xmlCellPr>
  </singleXmlCell>
  <singleXmlCell id="819" r="B126" connectionId="0">
    <xmlCellPr id="1" uniqueName="1">
      <xmlPr mapId="43" xpath="/ns1:Root/ns1:P5" xmlDataType="string"/>
    </xmlCellPr>
  </singleXmlCell>
  <singleXmlCell id="820" r="E126" connectionId="0">
    <xmlCellPr id="1" uniqueName="1">
      <xmlPr mapId="43" xpath="/ns1:Root/ns1:P5_Code" xmlDataType="double"/>
    </xmlCellPr>
  </singleXmlCell>
  <singleXmlCell id="821" r="F126" connectionId="0">
    <xmlCellPr id="1" uniqueName="1">
      <xmlPr mapId="43" xpath="/ns1:Root/ns1:P5_Tied" xmlDataType="string"/>
    </xmlCellPr>
  </singleXmlCell>
  <singleXmlCell id="822" r="B128" connectionId="0">
    <xmlCellPr id="1" uniqueName="1">
      <xmlPr mapId="43" xpath="/ns1:Root/ns1:P6" xmlDataType="string"/>
    </xmlCellPr>
  </singleXmlCell>
  <singleXmlCell id="823" r="E128" connectionId="0">
    <xmlCellPr id="1" uniqueName="1">
      <xmlPr mapId="43" xpath="/ns1:Root/ns1:P6_Code" xmlDataType="double"/>
    </xmlCellPr>
  </singleXmlCell>
  <singleXmlCell id="824" r="F128" connectionId="0">
    <xmlCellPr id="1" uniqueName="1">
      <xmlPr mapId="43" xpath="/ns1:Root/ns1:P6_Tied" xmlDataType="string"/>
    </xmlCellPr>
  </singleXmlCell>
  <singleXmlCell id="825" r="B130" connectionId="0">
    <xmlCellPr id="1" uniqueName="1">
      <xmlPr mapId="43" xpath="/ns1:Root/ns1:P7" xmlDataType="string"/>
    </xmlCellPr>
  </singleXmlCell>
  <singleXmlCell id="826" r="E130" connectionId="0">
    <xmlCellPr id="1" uniqueName="1">
      <xmlPr mapId="43" xpath="/ns1:Root/ns1:P7_Code" xmlDataType="double"/>
    </xmlCellPr>
  </singleXmlCell>
  <singleXmlCell id="827" r="F130" connectionId="0">
    <xmlCellPr id="1" uniqueName="1">
      <xmlPr mapId="43" xpath="/ns1:Root/ns1:P7_Tied" xmlDataType="string"/>
    </xmlCellPr>
  </singleXmlCell>
  <singleXmlCell id="828" r="B132" connectionId="0">
    <xmlCellPr id="1" uniqueName="1">
      <xmlPr mapId="43" xpath="/ns1:Root/ns1:P8" xmlDataType="string"/>
    </xmlCellPr>
  </singleXmlCell>
  <singleXmlCell id="829" r="E132" connectionId="0">
    <xmlCellPr id="1" uniqueName="1">
      <xmlPr mapId="43" xpath="/ns1:Root/ns1:P8_Code" xmlDataType="double"/>
    </xmlCellPr>
  </singleXmlCell>
  <singleXmlCell id="830" r="F132" connectionId="0">
    <xmlCellPr id="1" uniqueName="1">
      <xmlPr mapId="43" xpath="/ns1:Root/ns1:P8_Tied" xmlDataType="string"/>
    </xmlCellPr>
  </singleXmlCell>
  <singleXmlCell id="831" r="B134" connectionId="0">
    <xmlCellPr id="1" uniqueName="1">
      <xmlPr mapId="43" xpath="/ns1:Root/ns1:P9" xmlDataType="string"/>
    </xmlCellPr>
  </singleXmlCell>
  <singleXmlCell id="832" r="E134" connectionId="0">
    <xmlCellPr id="1" uniqueName="1">
      <xmlPr mapId="43" xpath="/ns1:Root/ns1:P9_Code" xmlDataType="double"/>
    </xmlCellPr>
  </singleXmlCell>
  <singleXmlCell id="833" r="F134" connectionId="0">
    <xmlCellPr id="1" uniqueName="1">
      <xmlPr mapId="43" xpath="/ns1:Root/ns1:P9_Tied" xmlDataType="double"/>
    </xmlCellPr>
  </singleXmlCell>
  <singleXmlCell id="834" r="B136" connectionId="0">
    <xmlCellPr id="1" uniqueName="1">
      <xmlPr mapId="43" xpath="/ns1:Root/ns1:P10" xmlDataType="string"/>
    </xmlCellPr>
  </singleXmlCell>
  <singleXmlCell id="835" r="E136" connectionId="0">
    <xmlCellPr id="1" uniqueName="1">
      <xmlPr mapId="43" xpath="/ns1:Root/ns1:P10_Code" xmlDataType="double"/>
    </xmlCellPr>
  </singleXmlCell>
  <singleXmlCell id="836" r="F136" connectionId="0">
    <xmlCellPr id="1" uniqueName="1">
      <xmlPr mapId="43" xpath="/ns1:Root/ns1:P10_Tied" xmlDataType="string"/>
    </xmlCellPr>
  </singleXmlCell>
  <singleXmlCell id="837" r="D26" connectionId="0">
    <xmlCellPr id="1" uniqueName="1">
      <xmlPr mapId="43" xpath="/ns1:Root/ns1:Currency"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vmlDrawing" Target="../drawings/vmlDrawing1.vml"/><Relationship Id="rId1" Type="http://schemas.openxmlformats.org/officeDocument/2006/relationships/drawing" Target="../drawings/drawing3.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1"/>
  </sheetPr>
  <dimension ref="B1:O22"/>
  <sheetViews>
    <sheetView showGridLines="0" showRowColHeaders="0" zoomScale="120" workbookViewId="0">
      <selection activeCell="B22" sqref="B22:L22"/>
    </sheetView>
  </sheetViews>
  <sheetFormatPr defaultColWidth="11" defaultRowHeight="14.5"/>
  <cols>
    <col min="1" max="1" width="1.08984375" customWidth="1"/>
    <col min="2" max="10" width="11.453125" customWidth="1"/>
    <col min="11" max="11" width="1.6328125" customWidth="1"/>
  </cols>
  <sheetData>
    <row r="1" spans="2:15" ht="25.5" customHeight="1"/>
    <row r="2" spans="2:15" ht="36">
      <c r="B2" s="491" t="str">
        <f>+'Grant Detail'!B3:J3</f>
        <v>Dashboard:  Georgia - TB</v>
      </c>
      <c r="C2" s="491"/>
      <c r="D2" s="491"/>
      <c r="E2" s="491"/>
      <c r="F2" s="491"/>
      <c r="G2" s="491"/>
      <c r="H2" s="491"/>
      <c r="I2" s="491"/>
      <c r="J2" s="491"/>
      <c r="K2" s="491"/>
      <c r="L2" s="491"/>
      <c r="M2" s="1"/>
      <c r="N2" s="1"/>
      <c r="O2" s="1"/>
    </row>
    <row r="4" spans="2:15" ht="21">
      <c r="B4" s="492" t="str">
        <f>+IF('Data Entry'!G6="Please Select", "",'Data Entry'!G6) &amp;"  "&amp;+IF('Data Entry'!G8="Please Select", "", 'Data Entry'!G8&amp;",  ")&amp;+IF('Data Entry'!I8="Please Select","",'Data Entry'!I8)</f>
        <v>TB  Round 10,  Phase 2</v>
      </c>
      <c r="C4" s="492"/>
      <c r="D4" s="492"/>
      <c r="E4" s="493"/>
      <c r="F4" s="233"/>
      <c r="G4" s="233"/>
      <c r="H4" s="358" t="str">
        <f>+'Data Entry'!B6&amp;" "&amp;+'Data Entry'!C6</f>
        <v>Grant No.: GEO-T-NCDC</v>
      </c>
      <c r="I4" s="358"/>
      <c r="J4" s="232"/>
      <c r="K4" s="233"/>
      <c r="L4" s="233"/>
    </row>
    <row r="22" spans="2:12" ht="26">
      <c r="B22" s="494" t="s">
        <v>408</v>
      </c>
      <c r="C22" s="495"/>
      <c r="D22" s="495"/>
      <c r="E22" s="495"/>
      <c r="F22" s="495"/>
      <c r="G22" s="495"/>
      <c r="H22" s="495"/>
      <c r="I22" s="495"/>
      <c r="J22" s="495"/>
      <c r="K22" s="495"/>
      <c r="L22" s="495"/>
    </row>
  </sheetData>
  <sheetProtection password="CFC9" sheet="1"/>
  <mergeCells count="3">
    <mergeCell ref="B2:L2"/>
    <mergeCell ref="B4:E4"/>
    <mergeCell ref="B22:L22"/>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&amp;L&amp;F&amp;C&amp;A&amp;R&amp;D</oddFoot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O144"/>
  <sheetViews>
    <sheetView showGridLines="0" topLeftCell="C1" zoomScale="80" zoomScaleNormal="80" zoomScalePageLayoutView="80" workbookViewId="0">
      <selection activeCell="G24" sqref="G24"/>
    </sheetView>
  </sheetViews>
  <sheetFormatPr defaultColWidth="11" defaultRowHeight="14.5"/>
  <cols>
    <col min="1" max="1" width="11.453125" customWidth="1"/>
    <col min="2" max="2" width="16.08984375" customWidth="1"/>
    <col min="3" max="3" width="14.6328125" customWidth="1"/>
    <col min="4" max="4" width="15.453125" customWidth="1"/>
    <col min="5" max="6" width="11.453125" customWidth="1"/>
    <col min="7" max="7" width="14.453125" customWidth="1"/>
    <col min="8" max="8" width="35.453125" customWidth="1"/>
    <col min="9" max="9" width="45.6328125" customWidth="1"/>
    <col min="10" max="10" width="33.453125" customWidth="1"/>
    <col min="11" max="12" width="11.453125" customWidth="1"/>
    <col min="13" max="13" width="28.453125" customWidth="1"/>
    <col min="14" max="14" width="46.453125" customWidth="1"/>
  </cols>
  <sheetData>
    <row r="2" spans="2:15" ht="25.5" customHeight="1"/>
    <row r="3" spans="2:15" ht="36">
      <c r="B3" s="896" t="str">
        <f>'Grant Detail'!B3:J3</f>
        <v>Dashboard:  Georgia - TB</v>
      </c>
      <c r="C3" s="896"/>
      <c r="D3" s="896"/>
      <c r="E3" s="896"/>
      <c r="F3" s="896"/>
      <c r="G3" s="896"/>
      <c r="H3" s="896"/>
      <c r="I3" s="1"/>
    </row>
    <row r="6" spans="2:15" ht="18.5">
      <c r="B6" s="884" t="s">
        <v>320</v>
      </c>
      <c r="C6" s="884"/>
      <c r="D6" s="884"/>
      <c r="E6" s="884"/>
      <c r="F6" s="884"/>
      <c r="G6" s="884"/>
      <c r="H6" s="884"/>
    </row>
    <row r="8" spans="2:15" ht="18.5">
      <c r="B8" s="62" t="s">
        <v>33</v>
      </c>
      <c r="C8" s="62" t="s">
        <v>36</v>
      </c>
      <c r="D8" s="62" t="s">
        <v>37</v>
      </c>
      <c r="E8" s="62" t="s">
        <v>42</v>
      </c>
      <c r="F8" s="62" t="s">
        <v>287</v>
      </c>
      <c r="G8" s="62" t="s">
        <v>266</v>
      </c>
      <c r="H8" s="62" t="s">
        <v>294</v>
      </c>
      <c r="I8" s="63" t="s">
        <v>88</v>
      </c>
      <c r="J8" s="63" t="s">
        <v>130</v>
      </c>
      <c r="M8" s="19"/>
      <c r="N8" s="19"/>
      <c r="O8" s="19"/>
    </row>
    <row r="9" spans="2:15">
      <c r="B9" s="86" t="s">
        <v>374</v>
      </c>
      <c r="C9" s="86" t="s">
        <v>374</v>
      </c>
      <c r="D9" s="86" t="s">
        <v>374</v>
      </c>
      <c r="E9" s="86" t="s">
        <v>374</v>
      </c>
      <c r="F9" s="86" t="s">
        <v>374</v>
      </c>
      <c r="G9" s="86" t="s">
        <v>374</v>
      </c>
      <c r="H9" s="86" t="s">
        <v>374</v>
      </c>
      <c r="I9" s="426" t="s">
        <v>374</v>
      </c>
      <c r="J9" s="86" t="s">
        <v>374</v>
      </c>
      <c r="M9" s="19"/>
      <c r="N9" s="19"/>
      <c r="O9" s="19"/>
    </row>
    <row r="10" spans="2:15">
      <c r="B10" s="57" t="s">
        <v>28</v>
      </c>
      <c r="C10" s="57" t="s">
        <v>19</v>
      </c>
      <c r="D10" s="57" t="s">
        <v>17</v>
      </c>
      <c r="E10" s="57" t="s">
        <v>18</v>
      </c>
      <c r="F10" s="57" t="s">
        <v>106</v>
      </c>
      <c r="G10" s="435" t="s">
        <v>44</v>
      </c>
      <c r="H10" s="60" t="s">
        <v>49</v>
      </c>
      <c r="I10" s="27" t="s">
        <v>300</v>
      </c>
      <c r="J10" s="86" t="s">
        <v>131</v>
      </c>
      <c r="M10" s="19"/>
      <c r="N10" s="19"/>
      <c r="O10" s="19"/>
    </row>
    <row r="11" spans="2:15">
      <c r="B11" s="57" t="s">
        <v>34</v>
      </c>
      <c r="C11" s="57" t="s">
        <v>14</v>
      </c>
      <c r="D11" s="57" t="s">
        <v>20</v>
      </c>
      <c r="E11" s="57" t="s">
        <v>16</v>
      </c>
      <c r="F11" s="57" t="s">
        <v>107</v>
      </c>
      <c r="G11" s="435" t="s">
        <v>45</v>
      </c>
      <c r="H11" s="60" t="s">
        <v>50</v>
      </c>
      <c r="I11" s="27" t="s">
        <v>301</v>
      </c>
      <c r="J11" s="86" t="s">
        <v>132</v>
      </c>
      <c r="M11" s="19"/>
      <c r="N11" s="19"/>
      <c r="O11" s="19"/>
    </row>
    <row r="12" spans="2:15">
      <c r="B12" s="57" t="s">
        <v>35</v>
      </c>
      <c r="D12" s="57" t="s">
        <v>23</v>
      </c>
      <c r="E12" s="57" t="s">
        <v>24</v>
      </c>
      <c r="F12" s="57" t="s">
        <v>108</v>
      </c>
      <c r="G12" s="435" t="s">
        <v>46</v>
      </c>
      <c r="H12" s="60" t="s">
        <v>51</v>
      </c>
      <c r="I12" s="27" t="s">
        <v>302</v>
      </c>
      <c r="J12" s="86" t="s">
        <v>133</v>
      </c>
      <c r="M12" s="199"/>
      <c r="N12" s="19"/>
      <c r="O12" s="19"/>
    </row>
    <row r="13" spans="2:15">
      <c r="B13" s="57" t="s">
        <v>84</v>
      </c>
      <c r="D13" s="57" t="s">
        <v>25</v>
      </c>
      <c r="E13" s="58"/>
      <c r="F13" s="57" t="s">
        <v>109</v>
      </c>
      <c r="G13" s="435" t="s">
        <v>47</v>
      </c>
      <c r="H13" s="60" t="s">
        <v>52</v>
      </c>
      <c r="I13" s="27" t="s">
        <v>303</v>
      </c>
      <c r="J13" s="86" t="s">
        <v>134</v>
      </c>
      <c r="M13" s="199"/>
      <c r="N13" s="19"/>
      <c r="O13" s="19"/>
    </row>
    <row r="14" spans="2:15">
      <c r="B14" s="57" t="s">
        <v>85</v>
      </c>
      <c r="D14" s="57" t="s">
        <v>38</v>
      </c>
      <c r="F14" s="57" t="s">
        <v>121</v>
      </c>
      <c r="G14" s="435" t="s">
        <v>48</v>
      </c>
      <c r="H14" s="60" t="s">
        <v>53</v>
      </c>
      <c r="I14" s="27" t="s">
        <v>272</v>
      </c>
      <c r="J14" s="86" t="s">
        <v>135</v>
      </c>
      <c r="M14" s="199"/>
      <c r="N14" s="19"/>
      <c r="O14" s="19"/>
    </row>
    <row r="15" spans="2:15">
      <c r="D15" s="57" t="s">
        <v>39</v>
      </c>
      <c r="F15" s="57" t="s">
        <v>122</v>
      </c>
      <c r="H15" s="60" t="s">
        <v>54</v>
      </c>
      <c r="I15" s="27" t="s">
        <v>71</v>
      </c>
      <c r="J15" s="86" t="s">
        <v>136</v>
      </c>
      <c r="M15" s="199"/>
      <c r="N15" s="19"/>
      <c r="O15" s="19"/>
    </row>
    <row r="16" spans="2:15">
      <c r="D16" s="57" t="s">
        <v>40</v>
      </c>
      <c r="F16" s="57" t="s">
        <v>123</v>
      </c>
      <c r="H16" s="60" t="s">
        <v>55</v>
      </c>
      <c r="I16" s="27" t="s">
        <v>72</v>
      </c>
      <c r="J16" s="86" t="s">
        <v>137</v>
      </c>
      <c r="M16" s="199"/>
      <c r="N16" s="19"/>
      <c r="O16" s="19"/>
    </row>
    <row r="17" spans="4:15">
      <c r="D17" s="57" t="s">
        <v>41</v>
      </c>
      <c r="F17" s="57" t="s">
        <v>124</v>
      </c>
      <c r="H17" s="60" t="s">
        <v>56</v>
      </c>
      <c r="I17" s="27" t="s">
        <v>73</v>
      </c>
      <c r="J17" s="86" t="s">
        <v>138</v>
      </c>
      <c r="M17" s="199"/>
      <c r="N17" s="19"/>
      <c r="O17" s="19"/>
    </row>
    <row r="18" spans="4:15">
      <c r="D18" s="57" t="s">
        <v>15</v>
      </c>
      <c r="F18" s="57" t="s">
        <v>125</v>
      </c>
      <c r="H18" s="60" t="s">
        <v>57</v>
      </c>
      <c r="I18" s="27" t="s">
        <v>74</v>
      </c>
      <c r="J18" s="86" t="s">
        <v>139</v>
      </c>
      <c r="M18" s="199"/>
      <c r="N18" s="19"/>
      <c r="O18" s="19"/>
    </row>
    <row r="19" spans="4:15">
      <c r="D19" s="434" t="s">
        <v>370</v>
      </c>
      <c r="F19" s="57" t="s">
        <v>126</v>
      </c>
      <c r="H19" s="60" t="s">
        <v>58</v>
      </c>
      <c r="I19" s="27" t="s">
        <v>75</v>
      </c>
      <c r="J19" s="86" t="s">
        <v>140</v>
      </c>
      <c r="M19" s="199"/>
      <c r="N19" s="19"/>
      <c r="O19" s="19"/>
    </row>
    <row r="20" spans="4:15">
      <c r="D20" s="59"/>
      <c r="F20" s="57" t="s">
        <v>127</v>
      </c>
      <c r="H20" s="60" t="s">
        <v>263</v>
      </c>
      <c r="I20" s="27" t="s">
        <v>76</v>
      </c>
      <c r="J20" s="86" t="s">
        <v>141</v>
      </c>
      <c r="M20" s="19"/>
      <c r="N20" s="19"/>
      <c r="O20" s="19"/>
    </row>
    <row r="21" spans="4:15">
      <c r="D21" s="61"/>
      <c r="F21" s="57" t="s">
        <v>288</v>
      </c>
      <c r="H21" s="61"/>
      <c r="I21" s="27" t="s">
        <v>78</v>
      </c>
      <c r="J21" s="86" t="s">
        <v>142</v>
      </c>
      <c r="M21" s="19"/>
      <c r="N21" s="19"/>
      <c r="O21" s="19"/>
    </row>
    <row r="22" spans="4:15">
      <c r="H22" s="61"/>
      <c r="I22" s="27" t="s">
        <v>79</v>
      </c>
      <c r="J22" s="86" t="s">
        <v>143</v>
      </c>
      <c r="M22" s="19"/>
      <c r="N22" s="19"/>
      <c r="O22" s="19"/>
    </row>
    <row r="23" spans="4:15">
      <c r="I23" s="27" t="s">
        <v>77</v>
      </c>
      <c r="J23" s="86" t="s">
        <v>144</v>
      </c>
      <c r="M23" s="19"/>
      <c r="N23" s="19"/>
      <c r="O23" s="19"/>
    </row>
    <row r="24" spans="4:15">
      <c r="I24" s="27" t="s">
        <v>311</v>
      </c>
      <c r="J24" s="86" t="s">
        <v>145</v>
      </c>
      <c r="M24" s="19"/>
      <c r="N24" s="19"/>
      <c r="O24" s="19"/>
    </row>
    <row r="25" spans="4:15">
      <c r="I25" s="45"/>
      <c r="J25" s="86" t="s">
        <v>146</v>
      </c>
    </row>
    <row r="26" spans="4:15">
      <c r="I26" s="27" t="s">
        <v>315</v>
      </c>
      <c r="J26" s="86" t="s">
        <v>147</v>
      </c>
    </row>
    <row r="27" spans="4:15">
      <c r="I27" s="27" t="s">
        <v>310</v>
      </c>
      <c r="J27" s="86" t="s">
        <v>148</v>
      </c>
    </row>
    <row r="28" spans="4:15">
      <c r="I28" s="45"/>
      <c r="J28" s="86" t="s">
        <v>149</v>
      </c>
    </row>
    <row r="29" spans="4:15">
      <c r="I29" s="45"/>
      <c r="J29" s="86" t="s">
        <v>150</v>
      </c>
    </row>
    <row r="30" spans="4:15">
      <c r="I30" s="45"/>
      <c r="J30" s="86" t="s">
        <v>151</v>
      </c>
    </row>
    <row r="31" spans="4:15">
      <c r="J31" s="86" t="s">
        <v>152</v>
      </c>
    </row>
    <row r="32" spans="4:15">
      <c r="J32" s="86" t="s">
        <v>153</v>
      </c>
    </row>
    <row r="33" spans="10:10">
      <c r="J33" s="86" t="s">
        <v>154</v>
      </c>
    </row>
    <row r="34" spans="10:10">
      <c r="J34" s="86" t="s">
        <v>155</v>
      </c>
    </row>
    <row r="35" spans="10:10">
      <c r="J35" s="86" t="s">
        <v>156</v>
      </c>
    </row>
    <row r="36" spans="10:10">
      <c r="J36" s="86" t="s">
        <v>156</v>
      </c>
    </row>
    <row r="37" spans="10:10">
      <c r="J37" s="86" t="s">
        <v>157</v>
      </c>
    </row>
    <row r="38" spans="10:10">
      <c r="J38" s="86" t="s">
        <v>158</v>
      </c>
    </row>
    <row r="39" spans="10:10">
      <c r="J39" s="86" t="s">
        <v>159</v>
      </c>
    </row>
    <row r="40" spans="10:10">
      <c r="J40" s="86" t="s">
        <v>160</v>
      </c>
    </row>
    <row r="41" spans="10:10">
      <c r="J41" s="86" t="s">
        <v>161</v>
      </c>
    </row>
    <row r="42" spans="10:10">
      <c r="J42" s="86" t="s">
        <v>162</v>
      </c>
    </row>
    <row r="43" spans="10:10">
      <c r="J43" s="86" t="s">
        <v>163</v>
      </c>
    </row>
    <row r="44" spans="10:10">
      <c r="J44" s="86" t="s">
        <v>164</v>
      </c>
    </row>
    <row r="45" spans="10:10">
      <c r="J45" s="86" t="s">
        <v>165</v>
      </c>
    </row>
    <row r="46" spans="10:10">
      <c r="J46" s="86" t="s">
        <v>166</v>
      </c>
    </row>
    <row r="47" spans="10:10">
      <c r="J47" s="86" t="s">
        <v>167</v>
      </c>
    </row>
    <row r="48" spans="10:10">
      <c r="J48" s="86" t="s">
        <v>168</v>
      </c>
    </row>
    <row r="49" spans="10:10">
      <c r="J49" s="86" t="s">
        <v>169</v>
      </c>
    </row>
    <row r="50" spans="10:10">
      <c r="J50" s="86" t="s">
        <v>170</v>
      </c>
    </row>
    <row r="51" spans="10:10">
      <c r="J51" s="86" t="s">
        <v>171</v>
      </c>
    </row>
    <row r="52" spans="10:10">
      <c r="J52" s="86" t="s">
        <v>172</v>
      </c>
    </row>
    <row r="53" spans="10:10">
      <c r="J53" s="86" t="s">
        <v>173</v>
      </c>
    </row>
    <row r="54" spans="10:10">
      <c r="J54" s="86" t="s">
        <v>174</v>
      </c>
    </row>
    <row r="55" spans="10:10">
      <c r="J55" s="86" t="s">
        <v>175</v>
      </c>
    </row>
    <row r="56" spans="10:10">
      <c r="J56" s="86" t="s">
        <v>176</v>
      </c>
    </row>
    <row r="57" spans="10:10">
      <c r="J57" s="86" t="s">
        <v>177</v>
      </c>
    </row>
    <row r="58" spans="10:10">
      <c r="J58" s="86" t="s">
        <v>178</v>
      </c>
    </row>
    <row r="59" spans="10:10">
      <c r="J59" s="86" t="s">
        <v>179</v>
      </c>
    </row>
    <row r="60" spans="10:10">
      <c r="J60" s="86" t="s">
        <v>180</v>
      </c>
    </row>
    <row r="61" spans="10:10">
      <c r="J61" s="86" t="s">
        <v>181</v>
      </c>
    </row>
    <row r="62" spans="10:10">
      <c r="J62" s="86" t="s">
        <v>182</v>
      </c>
    </row>
    <row r="63" spans="10:10">
      <c r="J63" s="86" t="s">
        <v>183</v>
      </c>
    </row>
    <row r="64" spans="10:10">
      <c r="J64" s="86" t="s">
        <v>184</v>
      </c>
    </row>
    <row r="65" spans="10:10">
      <c r="J65" s="86" t="s">
        <v>185</v>
      </c>
    </row>
    <row r="66" spans="10:10">
      <c r="J66" s="86" t="s">
        <v>186</v>
      </c>
    </row>
    <row r="67" spans="10:10">
      <c r="J67" s="86" t="s">
        <v>187</v>
      </c>
    </row>
    <row r="68" spans="10:10">
      <c r="J68" s="86" t="s">
        <v>188</v>
      </c>
    </row>
    <row r="69" spans="10:10">
      <c r="J69" s="86" t="s">
        <v>189</v>
      </c>
    </row>
    <row r="70" spans="10:10">
      <c r="J70" s="86" t="s">
        <v>190</v>
      </c>
    </row>
    <row r="71" spans="10:10">
      <c r="J71" s="86" t="s">
        <v>191</v>
      </c>
    </row>
    <row r="72" spans="10:10">
      <c r="J72" s="86" t="s">
        <v>192</v>
      </c>
    </row>
    <row r="73" spans="10:10">
      <c r="J73" s="86" t="s">
        <v>193</v>
      </c>
    </row>
    <row r="74" spans="10:10">
      <c r="J74" s="86" t="s">
        <v>194</v>
      </c>
    </row>
    <row r="75" spans="10:10">
      <c r="J75" s="86" t="s">
        <v>195</v>
      </c>
    </row>
    <row r="76" spans="10:10">
      <c r="J76" s="86" t="s">
        <v>196</v>
      </c>
    </row>
    <row r="77" spans="10:10">
      <c r="J77" s="86" t="s">
        <v>197</v>
      </c>
    </row>
    <row r="78" spans="10:10">
      <c r="J78" s="86" t="s">
        <v>198</v>
      </c>
    </row>
    <row r="79" spans="10:10">
      <c r="J79" s="86" t="s">
        <v>199</v>
      </c>
    </row>
    <row r="80" spans="10:10">
      <c r="J80" s="86" t="s">
        <v>200</v>
      </c>
    </row>
    <row r="81" spans="10:10">
      <c r="J81" s="86" t="s">
        <v>201</v>
      </c>
    </row>
    <row r="82" spans="10:10">
      <c r="J82" s="86" t="s">
        <v>202</v>
      </c>
    </row>
    <row r="83" spans="10:10">
      <c r="J83" s="86" t="s">
        <v>203</v>
      </c>
    </row>
    <row r="84" spans="10:10">
      <c r="J84" s="86" t="s">
        <v>204</v>
      </c>
    </row>
    <row r="85" spans="10:10">
      <c r="J85" s="86" t="s">
        <v>205</v>
      </c>
    </row>
    <row r="86" spans="10:10">
      <c r="J86" s="86" t="s">
        <v>206</v>
      </c>
    </row>
    <row r="87" spans="10:10">
      <c r="J87" s="86" t="s">
        <v>207</v>
      </c>
    </row>
    <row r="88" spans="10:10">
      <c r="J88" s="86" t="s">
        <v>208</v>
      </c>
    </row>
    <row r="89" spans="10:10">
      <c r="J89" s="86" t="s">
        <v>209</v>
      </c>
    </row>
    <row r="90" spans="10:10">
      <c r="J90" s="86" t="s">
        <v>210</v>
      </c>
    </row>
    <row r="91" spans="10:10">
      <c r="J91" s="86" t="s">
        <v>211</v>
      </c>
    </row>
    <row r="92" spans="10:10">
      <c r="J92" s="86" t="s">
        <v>212</v>
      </c>
    </row>
    <row r="93" spans="10:10">
      <c r="J93" s="86" t="s">
        <v>213</v>
      </c>
    </row>
    <row r="94" spans="10:10">
      <c r="J94" s="86" t="s">
        <v>214</v>
      </c>
    </row>
    <row r="95" spans="10:10">
      <c r="J95" s="86" t="s">
        <v>215</v>
      </c>
    </row>
    <row r="96" spans="10:10">
      <c r="J96" s="86" t="s">
        <v>216</v>
      </c>
    </row>
    <row r="97" spans="10:10">
      <c r="J97" s="86" t="s">
        <v>217</v>
      </c>
    </row>
    <row r="98" spans="10:10">
      <c r="J98" s="86" t="s">
        <v>218</v>
      </c>
    </row>
    <row r="99" spans="10:10">
      <c r="J99" s="86" t="s">
        <v>219</v>
      </c>
    </row>
    <row r="100" spans="10:10">
      <c r="J100" s="86" t="s">
        <v>220</v>
      </c>
    </row>
    <row r="101" spans="10:10">
      <c r="J101" s="86" t="s">
        <v>221</v>
      </c>
    </row>
    <row r="102" spans="10:10">
      <c r="J102" s="86" t="s">
        <v>222</v>
      </c>
    </row>
    <row r="103" spans="10:10">
      <c r="J103" s="86" t="s">
        <v>223</v>
      </c>
    </row>
    <row r="104" spans="10:10">
      <c r="J104" s="86" t="s">
        <v>224</v>
      </c>
    </row>
    <row r="105" spans="10:10">
      <c r="J105" s="86" t="s">
        <v>225</v>
      </c>
    </row>
    <row r="106" spans="10:10">
      <c r="J106" s="86" t="s">
        <v>226</v>
      </c>
    </row>
    <row r="107" spans="10:10">
      <c r="J107" s="86" t="s">
        <v>227</v>
      </c>
    </row>
    <row r="108" spans="10:10">
      <c r="J108" s="86" t="s">
        <v>228</v>
      </c>
    </row>
    <row r="109" spans="10:10">
      <c r="J109" s="86" t="s">
        <v>229</v>
      </c>
    </row>
    <row r="110" spans="10:10">
      <c r="J110" s="86" t="s">
        <v>230</v>
      </c>
    </row>
    <row r="111" spans="10:10">
      <c r="J111" s="86" t="s">
        <v>81</v>
      </c>
    </row>
    <row r="112" spans="10:10">
      <c r="J112" s="86" t="s">
        <v>231</v>
      </c>
    </row>
    <row r="113" spans="10:10">
      <c r="J113" s="86" t="s">
        <v>232</v>
      </c>
    </row>
    <row r="114" spans="10:10">
      <c r="J114" s="86" t="s">
        <v>233</v>
      </c>
    </row>
    <row r="115" spans="10:10">
      <c r="J115" s="86" t="s">
        <v>234</v>
      </c>
    </row>
    <row r="116" spans="10:10">
      <c r="J116" s="86" t="s">
        <v>235</v>
      </c>
    </row>
    <row r="117" spans="10:10">
      <c r="J117" s="86" t="s">
        <v>236</v>
      </c>
    </row>
    <row r="118" spans="10:10">
      <c r="J118" s="86" t="s">
        <v>237</v>
      </c>
    </row>
    <row r="119" spans="10:10">
      <c r="J119" s="86" t="s">
        <v>238</v>
      </c>
    </row>
    <row r="120" spans="10:10">
      <c r="J120" s="86" t="s">
        <v>239</v>
      </c>
    </row>
    <row r="121" spans="10:10">
      <c r="J121" s="86" t="s">
        <v>240</v>
      </c>
    </row>
    <row r="122" spans="10:10">
      <c r="J122" s="86" t="s">
        <v>241</v>
      </c>
    </row>
    <row r="123" spans="10:10">
      <c r="J123" s="86" t="s">
        <v>242</v>
      </c>
    </row>
    <row r="124" spans="10:10">
      <c r="J124" s="86" t="s">
        <v>243</v>
      </c>
    </row>
    <row r="125" spans="10:10">
      <c r="J125" s="86" t="s">
        <v>244</v>
      </c>
    </row>
    <row r="126" spans="10:10">
      <c r="J126" s="86" t="s">
        <v>245</v>
      </c>
    </row>
    <row r="127" spans="10:10">
      <c r="J127" s="86" t="s">
        <v>246</v>
      </c>
    </row>
    <row r="128" spans="10:10">
      <c r="J128" s="86" t="s">
        <v>247</v>
      </c>
    </row>
    <row r="129" spans="10:10">
      <c r="J129" s="86" t="s">
        <v>248</v>
      </c>
    </row>
    <row r="130" spans="10:10">
      <c r="J130" s="86" t="s">
        <v>249</v>
      </c>
    </row>
    <row r="131" spans="10:10">
      <c r="J131" s="86" t="s">
        <v>250</v>
      </c>
    </row>
    <row r="132" spans="10:10">
      <c r="J132" s="86" t="s">
        <v>251</v>
      </c>
    </row>
    <row r="133" spans="10:10">
      <c r="J133" s="86" t="s">
        <v>252</v>
      </c>
    </row>
    <row r="134" spans="10:10">
      <c r="J134" s="86" t="s">
        <v>253</v>
      </c>
    </row>
    <row r="135" spans="10:10">
      <c r="J135" s="86" t="s">
        <v>254</v>
      </c>
    </row>
    <row r="136" spans="10:10">
      <c r="J136" s="86" t="s">
        <v>255</v>
      </c>
    </row>
    <row r="137" spans="10:10">
      <c r="J137" s="86" t="s">
        <v>256</v>
      </c>
    </row>
    <row r="138" spans="10:10">
      <c r="J138" s="86" t="s">
        <v>257</v>
      </c>
    </row>
    <row r="139" spans="10:10">
      <c r="J139" s="86" t="s">
        <v>258</v>
      </c>
    </row>
    <row r="140" spans="10:10">
      <c r="J140" s="86" t="s">
        <v>259</v>
      </c>
    </row>
    <row r="141" spans="10:10">
      <c r="J141" s="86" t="s">
        <v>260</v>
      </c>
    </row>
    <row r="142" spans="10:10">
      <c r="J142" s="86" t="s">
        <v>261</v>
      </c>
    </row>
    <row r="143" spans="10:10">
      <c r="J143" s="86" t="s">
        <v>262</v>
      </c>
    </row>
    <row r="144" spans="10:10">
      <c r="J144" s="424"/>
    </row>
  </sheetData>
  <mergeCells count="2">
    <mergeCell ref="B3:H3"/>
    <mergeCell ref="B6:H6"/>
  </mergeCells>
  <phoneticPr fontId="30" type="noConversion"/>
  <dataValidations count="1">
    <dataValidation type="list" allowBlank="1" showInputMessage="1" showErrorMessage="1" sqref="M28">
      <formula1>$J$10:$J$143</formula1>
    </dataValidation>
  </dataValidations>
  <pageMargins left="0.7" right="0.7" top="0.75" bottom="0.75" header="0.3" footer="0.3"/>
  <pageSetup orientation="landscape" horizontalDpi="4294967293"/>
  <headerFooter>
    <oddFooter>&amp;L&amp;"Calibri,Italic"&amp;8&amp;F: &amp;A</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V53"/>
  <sheetViews>
    <sheetView showGridLines="0" zoomScale="80" zoomScaleNormal="80" zoomScalePageLayoutView="80" workbookViewId="0">
      <pane ySplit="2" topLeftCell="A3" activePane="bottomLeft" state="frozen"/>
      <selection activeCell="E22" sqref="E22"/>
      <selection pane="bottomLeft"/>
    </sheetView>
  </sheetViews>
  <sheetFormatPr defaultColWidth="11" defaultRowHeight="14.5"/>
  <cols>
    <col min="1" max="1" width="2.6328125" customWidth="1"/>
    <col min="2" max="2" width="21.453125" customWidth="1"/>
    <col min="3" max="3" width="11.453125" customWidth="1"/>
    <col min="4" max="4" width="11.08984375" customWidth="1"/>
    <col min="5" max="5" width="16.453125" customWidth="1"/>
    <col min="6" max="6" width="15.6328125" customWidth="1"/>
    <col min="7" max="7" width="37.36328125" customWidth="1"/>
    <col min="8" max="8" width="17.36328125" customWidth="1"/>
    <col min="9" max="9" width="71" customWidth="1"/>
    <col min="10" max="10" width="14.08984375" customWidth="1"/>
    <col min="11" max="11" width="16" customWidth="1"/>
    <col min="12" max="12" width="13.08984375" customWidth="1"/>
    <col min="13" max="13" width="49.453125" customWidth="1"/>
    <col min="14" max="14" width="2.453125" style="36" customWidth="1"/>
    <col min="15" max="15" width="3" style="36" customWidth="1"/>
    <col min="16" max="16" width="2.453125" customWidth="1"/>
    <col min="17" max="17" width="16.08984375" customWidth="1"/>
    <col min="18" max="18" width="13.6328125" customWidth="1"/>
    <col min="19" max="19" width="11.453125" customWidth="1"/>
    <col min="20" max="20" width="14.90625" customWidth="1"/>
    <col min="21" max="21" width="16" customWidth="1"/>
    <col min="22" max="22" width="11.453125" hidden="1" customWidth="1"/>
    <col min="23" max="23" width="15.453125" customWidth="1"/>
    <col min="24" max="24" width="11.453125" customWidth="1"/>
    <col min="25" max="25" width="2.36328125" customWidth="1"/>
    <col min="26" max="26" width="1.08984375" customWidth="1"/>
    <col min="27" max="27" width="3.36328125" customWidth="1"/>
    <col min="28" max="28" width="17" customWidth="1"/>
    <col min="29" max="29" width="15" customWidth="1"/>
    <col min="30" max="30" width="11.453125" customWidth="1"/>
    <col min="31" max="31" width="13.453125" customWidth="1"/>
    <col min="32" max="32" width="16.90625" customWidth="1"/>
    <col min="33" max="33" width="11.453125" customWidth="1"/>
    <col min="34" max="34" width="2" customWidth="1"/>
    <col min="35" max="35" width="3.36328125" customWidth="1"/>
    <col min="36" max="36" width="2.36328125" customWidth="1"/>
    <col min="37" max="37" width="40.6328125" customWidth="1"/>
    <col min="38" max="38" width="15.453125" customWidth="1"/>
  </cols>
  <sheetData>
    <row r="1" spans="1:15" ht="34.5" customHeight="1">
      <c r="A1" s="3"/>
      <c r="B1" s="3"/>
      <c r="C1" s="3"/>
      <c r="D1" s="3"/>
      <c r="E1" s="3"/>
      <c r="F1" s="3"/>
      <c r="G1" s="3"/>
      <c r="H1" s="3"/>
      <c r="I1" s="3"/>
      <c r="J1" s="3"/>
      <c r="K1" s="3"/>
      <c r="L1" s="3"/>
      <c r="M1" s="3"/>
    </row>
    <row r="2" spans="1:15" ht="36" customHeight="1">
      <c r="A2" s="3"/>
      <c r="B2" s="587" t="str">
        <f>+"Dashboard: "&amp;" "&amp;+IF('Data Entry'!C4="Please Select","",'Data Entry'!C4&amp;" - ")&amp;+IF('Data Entry'!G6="Please Select","",'Data Entry'!G6)</f>
        <v>Dashboard:  Georgia - TB</v>
      </c>
      <c r="C2" s="587"/>
      <c r="D2" s="587"/>
      <c r="E2" s="587"/>
      <c r="F2" s="587"/>
      <c r="G2" s="587"/>
      <c r="H2" s="587"/>
      <c r="I2" s="587"/>
      <c r="J2" s="587"/>
      <c r="K2" s="587"/>
      <c r="L2" s="587"/>
      <c r="M2" s="587"/>
    </row>
    <row r="3" spans="1:15" ht="15.75" customHeight="1">
      <c r="A3" s="3"/>
      <c r="B3" s="224"/>
      <c r="C3" s="224"/>
      <c r="D3" s="224"/>
      <c r="E3" s="224"/>
      <c r="F3" s="224"/>
      <c r="G3" s="224"/>
      <c r="H3" s="224"/>
      <c r="I3" s="224"/>
      <c r="J3" s="224"/>
      <c r="K3" s="225"/>
      <c r="L3" s="225"/>
      <c r="M3" s="3"/>
    </row>
    <row r="5" spans="1:15" ht="23.5">
      <c r="B5" s="562" t="s">
        <v>284</v>
      </c>
      <c r="C5" s="562"/>
      <c r="D5" s="562"/>
      <c r="E5" s="562"/>
      <c r="F5" s="562"/>
      <c r="G5" s="562"/>
      <c r="H5" s="562"/>
      <c r="I5" s="562"/>
      <c r="J5" s="562"/>
      <c r="K5" s="562"/>
      <c r="L5" s="562"/>
      <c r="M5" s="562"/>
      <c r="N5" s="562"/>
      <c r="O5" s="562"/>
    </row>
    <row r="7" spans="1:15" ht="21">
      <c r="B7" s="588" t="s">
        <v>273</v>
      </c>
      <c r="C7" s="589"/>
      <c r="D7" s="590"/>
      <c r="E7" s="588" t="s">
        <v>274</v>
      </c>
      <c r="F7" s="589"/>
      <c r="G7" s="589"/>
      <c r="H7" s="589"/>
      <c r="I7" s="590"/>
      <c r="J7" s="588" t="s">
        <v>275</v>
      </c>
      <c r="K7" s="589"/>
      <c r="L7" s="590"/>
      <c r="M7" s="588" t="s">
        <v>348</v>
      </c>
      <c r="N7" s="589"/>
      <c r="O7" s="590"/>
    </row>
    <row r="8" spans="1:15" ht="92.25" customHeight="1">
      <c r="B8" s="516" t="str">
        <f>+'Data Entry'!B27</f>
        <v>F1: Budget and disbursements by Global Fund</v>
      </c>
      <c r="C8" s="599"/>
      <c r="D8" s="600"/>
      <c r="E8" s="591" t="s">
        <v>395</v>
      </c>
      <c r="F8" s="592"/>
      <c r="G8" s="592"/>
      <c r="H8" s="592"/>
      <c r="I8" s="593"/>
      <c r="J8" s="502" t="s">
        <v>349</v>
      </c>
      <c r="K8" s="503"/>
      <c r="L8" s="504"/>
      <c r="M8" s="502" t="s">
        <v>396</v>
      </c>
      <c r="N8" s="503"/>
      <c r="O8" s="504"/>
    </row>
    <row r="9" spans="1:15" ht="117.75" customHeight="1">
      <c r="B9" s="516" t="str">
        <f>+'Data Entry'!B36</f>
        <v>F2: Budget and actual expenditures by Grant Objective</v>
      </c>
      <c r="C9" s="599"/>
      <c r="D9" s="600"/>
      <c r="E9" s="519" t="s">
        <v>357</v>
      </c>
      <c r="F9" s="520"/>
      <c r="G9" s="520"/>
      <c r="H9" s="520"/>
      <c r="I9" s="521"/>
      <c r="J9" s="502" t="s">
        <v>351</v>
      </c>
      <c r="K9" s="503"/>
      <c r="L9" s="504"/>
      <c r="M9" s="502" t="s">
        <v>396</v>
      </c>
      <c r="N9" s="503"/>
      <c r="O9" s="504"/>
    </row>
    <row r="10" spans="1:15" ht="152.25" customHeight="1">
      <c r="B10" s="594" t="str">
        <f>+'Data Entry'!B49</f>
        <v>F3: Disbursements and expenditures</v>
      </c>
      <c r="C10" s="597"/>
      <c r="D10" s="598"/>
      <c r="E10" s="519" t="s">
        <v>397</v>
      </c>
      <c r="F10" s="520"/>
      <c r="G10" s="520"/>
      <c r="H10" s="520"/>
      <c r="I10" s="521"/>
      <c r="J10" s="502" t="s">
        <v>358</v>
      </c>
      <c r="K10" s="503"/>
      <c r="L10" s="504"/>
      <c r="M10" s="502" t="s">
        <v>350</v>
      </c>
      <c r="N10" s="503"/>
      <c r="O10" s="504"/>
    </row>
    <row r="11" spans="1:15" ht="279.75" customHeight="1">
      <c r="B11" s="594" t="str">
        <f>+'Data Entry'!B58</f>
        <v>F4: Latest PR reporting and disbursement cycle</v>
      </c>
      <c r="C11" s="595"/>
      <c r="D11" s="596"/>
      <c r="E11" s="519" t="s">
        <v>409</v>
      </c>
      <c r="F11" s="520"/>
      <c r="G11" s="520"/>
      <c r="H11" s="520"/>
      <c r="I11" s="521"/>
      <c r="J11" s="502" t="s">
        <v>359</v>
      </c>
      <c r="K11" s="503"/>
      <c r="L11" s="504"/>
      <c r="M11" s="502" t="s">
        <v>278</v>
      </c>
      <c r="N11" s="503"/>
      <c r="O11" s="504"/>
    </row>
    <row r="12" spans="1:15" s="19" customFormat="1">
      <c r="B12" s="558"/>
      <c r="C12" s="558"/>
      <c r="D12" s="558"/>
      <c r="E12" s="586"/>
      <c r="F12" s="586"/>
      <c r="G12" s="586"/>
      <c r="H12" s="586"/>
      <c r="I12" s="586"/>
      <c r="J12" s="586"/>
      <c r="K12" s="586"/>
      <c r="L12" s="586"/>
      <c r="M12" s="586"/>
      <c r="N12" s="586"/>
      <c r="O12" s="586"/>
    </row>
    <row r="13" spans="1:15" s="19" customFormat="1">
      <c r="B13" s="584"/>
      <c r="C13" s="584"/>
      <c r="D13" s="584"/>
      <c r="E13" s="585"/>
      <c r="F13" s="585"/>
      <c r="G13" s="585"/>
      <c r="H13" s="585"/>
      <c r="I13" s="585"/>
      <c r="J13" s="585"/>
      <c r="K13" s="585"/>
      <c r="L13" s="585"/>
      <c r="M13" s="585"/>
      <c r="N13" s="585"/>
      <c r="O13" s="585"/>
    </row>
    <row r="14" spans="1:15" s="19" customFormat="1">
      <c r="B14" s="584"/>
      <c r="C14" s="584"/>
      <c r="D14" s="584"/>
      <c r="E14" s="585"/>
      <c r="F14" s="585"/>
      <c r="G14" s="585"/>
      <c r="H14" s="585"/>
      <c r="I14" s="585"/>
      <c r="J14" s="585"/>
      <c r="K14" s="585"/>
      <c r="L14" s="585"/>
      <c r="M14" s="585"/>
      <c r="N14" s="585"/>
      <c r="O14" s="585"/>
    </row>
    <row r="15" spans="1:15" s="19" customFormat="1">
      <c r="B15" s="584"/>
      <c r="C15" s="584"/>
      <c r="D15" s="584"/>
      <c r="E15" s="585"/>
      <c r="F15" s="585"/>
      <c r="G15" s="585"/>
      <c r="H15" s="585"/>
      <c r="I15" s="585"/>
      <c r="J15" s="585"/>
      <c r="K15" s="585"/>
      <c r="L15" s="585"/>
      <c r="M15" s="585"/>
      <c r="N15" s="585"/>
      <c r="O15" s="585"/>
    </row>
    <row r="16" spans="1:15" ht="23.5">
      <c r="B16" s="562" t="s">
        <v>285</v>
      </c>
      <c r="C16" s="562"/>
      <c r="D16" s="562"/>
      <c r="E16" s="562"/>
      <c r="F16" s="562"/>
      <c r="G16" s="562"/>
      <c r="H16" s="562"/>
      <c r="I16" s="562"/>
      <c r="J16" s="562"/>
      <c r="K16" s="562"/>
      <c r="L16" s="562"/>
      <c r="M16" s="562"/>
      <c r="N16" s="562"/>
      <c r="O16" s="562"/>
    </row>
    <row r="18" spans="1:15" ht="21">
      <c r="B18" s="581" t="s">
        <v>273</v>
      </c>
      <c r="C18" s="582"/>
      <c r="D18" s="583"/>
      <c r="E18" s="581" t="s">
        <v>274</v>
      </c>
      <c r="F18" s="582"/>
      <c r="G18" s="582"/>
      <c r="H18" s="582"/>
      <c r="I18" s="583"/>
      <c r="J18" s="581" t="s">
        <v>275</v>
      </c>
      <c r="K18" s="582"/>
      <c r="L18" s="583"/>
      <c r="M18" s="581" t="s">
        <v>276</v>
      </c>
      <c r="N18" s="582"/>
      <c r="O18" s="583"/>
    </row>
    <row r="19" spans="1:15" ht="114" customHeight="1">
      <c r="B19" s="516" t="str">
        <f>+'Data Entry'!B69</f>
        <v>M1: Status of Conditions Precedent (CPs) and Time Bound Actions (TBAs)</v>
      </c>
      <c r="C19" s="517"/>
      <c r="D19" s="518"/>
      <c r="E19" s="519" t="s">
        <v>283</v>
      </c>
      <c r="F19" s="520"/>
      <c r="G19" s="520"/>
      <c r="H19" s="520"/>
      <c r="I19" s="521"/>
      <c r="J19" s="502" t="s">
        <v>352</v>
      </c>
      <c r="K19" s="503"/>
      <c r="L19" s="504"/>
      <c r="M19" s="502" t="s">
        <v>353</v>
      </c>
      <c r="N19" s="503"/>
      <c r="O19" s="504"/>
    </row>
    <row r="20" spans="1:15" ht="102.75" customHeight="1">
      <c r="B20" s="516" t="str">
        <f>+'Data Entry'!B76</f>
        <v>M2: Status of key PR management positions</v>
      </c>
      <c r="C20" s="517"/>
      <c r="D20" s="518"/>
      <c r="E20" s="519" t="s">
        <v>398</v>
      </c>
      <c r="F20" s="520"/>
      <c r="G20" s="520"/>
      <c r="H20" s="520"/>
      <c r="I20" s="521"/>
      <c r="J20" s="502" t="s">
        <v>280</v>
      </c>
      <c r="K20" s="503"/>
      <c r="L20" s="504"/>
      <c r="M20" s="502" t="s">
        <v>279</v>
      </c>
      <c r="N20" s="503"/>
      <c r="O20" s="504"/>
    </row>
    <row r="21" spans="1:15" ht="111.75" customHeight="1">
      <c r="B21" s="516" t="str">
        <f>+'Data Entry'!B81</f>
        <v xml:space="preserve">M3: Contractual arrangements (SRs) </v>
      </c>
      <c r="C21" s="517"/>
      <c r="D21" s="518"/>
      <c r="E21" s="522" t="s">
        <v>0</v>
      </c>
      <c r="F21" s="520"/>
      <c r="G21" s="520"/>
      <c r="H21" s="520"/>
      <c r="I21" s="521"/>
      <c r="J21" s="502" t="s">
        <v>354</v>
      </c>
      <c r="K21" s="503"/>
      <c r="L21" s="504"/>
      <c r="M21" s="502" t="s">
        <v>355</v>
      </c>
      <c r="N21" s="503"/>
      <c r="O21" s="504"/>
    </row>
    <row r="22" spans="1:15" ht="74.25" customHeight="1">
      <c r="B22" s="516" t="str">
        <f>+'Data Entry'!B86</f>
        <v>M4: Number of complete reports received on time</v>
      </c>
      <c r="C22" s="517"/>
      <c r="D22" s="518"/>
      <c r="E22" s="522" t="s">
        <v>410</v>
      </c>
      <c r="F22" s="529"/>
      <c r="G22" s="529"/>
      <c r="H22" s="529"/>
      <c r="I22" s="530"/>
      <c r="J22" s="502" t="s">
        <v>360</v>
      </c>
      <c r="K22" s="503"/>
      <c r="L22" s="504"/>
      <c r="M22" s="502" t="s">
        <v>281</v>
      </c>
      <c r="N22" s="503"/>
      <c r="O22" s="504"/>
    </row>
    <row r="23" spans="1:15" ht="207.75" customHeight="1">
      <c r="B23" s="523" t="str">
        <f>+'Data Entry'!B92</f>
        <v>M5: Budget and Procurement of health products, health equipment, medicines and pharmaceuticals</v>
      </c>
      <c r="C23" s="524"/>
      <c r="D23" s="525"/>
      <c r="E23" s="540" t="s">
        <v>361</v>
      </c>
      <c r="F23" s="541"/>
      <c r="G23" s="541"/>
      <c r="H23" s="541"/>
      <c r="I23" s="542"/>
      <c r="J23" s="534" t="s">
        <v>277</v>
      </c>
      <c r="K23" s="535"/>
      <c r="L23" s="536"/>
      <c r="M23" s="534" t="s">
        <v>282</v>
      </c>
      <c r="N23" s="535"/>
      <c r="O23" s="536"/>
    </row>
    <row r="24" spans="1:15" ht="114.75" customHeight="1">
      <c r="B24" s="526"/>
      <c r="C24" s="527"/>
      <c r="D24" s="528"/>
      <c r="E24" s="543" t="s">
        <v>356</v>
      </c>
      <c r="F24" s="544"/>
      <c r="G24" s="544"/>
      <c r="H24" s="544"/>
      <c r="I24" s="545"/>
      <c r="J24" s="537"/>
      <c r="K24" s="538"/>
      <c r="L24" s="539"/>
      <c r="M24" s="537"/>
      <c r="N24" s="538"/>
      <c r="O24" s="539"/>
    </row>
    <row r="25" spans="1:15" ht="409.5" customHeight="1">
      <c r="B25" s="516" t="str">
        <f>+'Data Entry'!B105</f>
        <v>M6: Difference between current and safety stock</v>
      </c>
      <c r="C25" s="517"/>
      <c r="D25" s="518"/>
      <c r="E25" s="546" t="s">
        <v>411</v>
      </c>
      <c r="F25" s="547"/>
      <c r="G25" s="547"/>
      <c r="H25" s="547"/>
      <c r="I25" s="548"/>
      <c r="J25" s="552" t="s">
        <v>362</v>
      </c>
      <c r="K25" s="553"/>
      <c r="L25" s="554"/>
      <c r="M25" s="549" t="s">
        <v>367</v>
      </c>
      <c r="N25" s="550"/>
      <c r="O25" s="551"/>
    </row>
    <row r="29" spans="1:15" ht="18.5">
      <c r="B29" s="259"/>
    </row>
    <row r="30" spans="1:15" ht="23.5">
      <c r="B30" s="562" t="s">
        <v>298</v>
      </c>
      <c r="C30" s="562"/>
      <c r="D30" s="562"/>
      <c r="E30" s="562"/>
      <c r="F30" s="562"/>
      <c r="G30" s="562"/>
      <c r="H30" s="562"/>
      <c r="I30" s="562"/>
      <c r="J30" s="562"/>
      <c r="K30" s="562"/>
      <c r="L30" s="562"/>
      <c r="M30" s="562"/>
      <c r="N30" s="562"/>
      <c r="O30" s="562"/>
    </row>
    <row r="32" spans="1:15" ht="28.5" customHeight="1">
      <c r="A32" s="250"/>
      <c r="B32" s="563" t="s">
        <v>346</v>
      </c>
      <c r="C32" s="564"/>
      <c r="D32" s="565"/>
      <c r="E32" s="566" t="s">
        <v>304</v>
      </c>
      <c r="F32" s="567"/>
      <c r="G32" s="567"/>
      <c r="H32" s="567"/>
      <c r="I32" s="568"/>
      <c r="J32" s="566" t="s">
        <v>275</v>
      </c>
      <c r="K32" s="567"/>
      <c r="L32" s="568"/>
      <c r="M32" s="566" t="s">
        <v>276</v>
      </c>
      <c r="N32" s="567"/>
      <c r="O32" s="568"/>
    </row>
    <row r="33" spans="1:15" ht="47.25" customHeight="1">
      <c r="A33" s="251"/>
      <c r="B33" s="505"/>
      <c r="C33" s="506"/>
      <c r="D33" s="507"/>
      <c r="E33" s="496"/>
      <c r="F33" s="497"/>
      <c r="G33" s="497"/>
      <c r="H33" s="497"/>
      <c r="I33" s="498"/>
      <c r="J33" s="508"/>
      <c r="K33" s="509"/>
      <c r="L33" s="510"/>
      <c r="M33" s="508"/>
      <c r="N33" s="509"/>
      <c r="O33" s="510"/>
    </row>
    <row r="34" spans="1:15" ht="59.25" customHeight="1">
      <c r="A34" s="251"/>
      <c r="B34" s="505"/>
      <c r="C34" s="506"/>
      <c r="D34" s="507"/>
      <c r="E34" s="496"/>
      <c r="F34" s="497"/>
      <c r="G34" s="497"/>
      <c r="H34" s="497"/>
      <c r="I34" s="498"/>
      <c r="J34" s="508"/>
      <c r="K34" s="509"/>
      <c r="L34" s="510"/>
      <c r="M34" s="508"/>
      <c r="N34" s="509"/>
      <c r="O34" s="510"/>
    </row>
    <row r="35" spans="1:15" ht="57.75" customHeight="1">
      <c r="A35" s="251"/>
      <c r="B35" s="505"/>
      <c r="C35" s="506"/>
      <c r="D35" s="507"/>
      <c r="E35" s="508"/>
      <c r="F35" s="509"/>
      <c r="G35" s="509"/>
      <c r="H35" s="509"/>
      <c r="I35" s="510"/>
      <c r="J35" s="508"/>
      <c r="K35" s="509"/>
      <c r="L35" s="510"/>
      <c r="M35" s="508"/>
      <c r="N35" s="509"/>
      <c r="O35" s="510"/>
    </row>
    <row r="36" spans="1:15" ht="9.75" customHeight="1">
      <c r="A36" s="251"/>
      <c r="B36" s="511"/>
      <c r="C36" s="512"/>
      <c r="D36" s="513"/>
      <c r="E36" s="252"/>
      <c r="F36" s="253"/>
      <c r="G36" s="253"/>
      <c r="H36" s="253"/>
      <c r="I36" s="254"/>
      <c r="J36" s="272"/>
      <c r="K36" s="273"/>
      <c r="L36" s="274"/>
      <c r="M36" s="272"/>
      <c r="N36" s="273"/>
      <c r="O36" s="274"/>
    </row>
    <row r="37" spans="1:15" ht="46.5" customHeight="1">
      <c r="A37" s="251"/>
      <c r="B37" s="505"/>
      <c r="C37" s="506"/>
      <c r="D37" s="507"/>
      <c r="E37" s="508"/>
      <c r="F37" s="514"/>
      <c r="G37" s="514"/>
      <c r="H37" s="514"/>
      <c r="I37" s="515"/>
      <c r="J37" s="267"/>
      <c r="K37" s="268"/>
      <c r="L37" s="269"/>
      <c r="M37" s="267"/>
      <c r="N37" s="268"/>
      <c r="O37" s="269"/>
    </row>
    <row r="38" spans="1:15" ht="69" customHeight="1">
      <c r="A38" s="251"/>
      <c r="B38" s="505"/>
      <c r="C38" s="506"/>
      <c r="D38" s="507"/>
      <c r="E38" s="496"/>
      <c r="F38" s="497"/>
      <c r="G38" s="497"/>
      <c r="H38" s="497"/>
      <c r="I38" s="498"/>
      <c r="J38" s="508"/>
      <c r="K38" s="509"/>
      <c r="L38" s="510"/>
      <c r="M38" s="508"/>
      <c r="N38" s="509"/>
      <c r="O38" s="510"/>
    </row>
    <row r="39" spans="1:15" ht="64.5" customHeight="1">
      <c r="A39" s="251"/>
      <c r="B39" s="505"/>
      <c r="C39" s="506"/>
      <c r="D39" s="507"/>
      <c r="E39" s="508"/>
      <c r="F39" s="509"/>
      <c r="G39" s="509"/>
      <c r="H39" s="509"/>
      <c r="I39" s="510"/>
      <c r="J39" s="267"/>
      <c r="K39" s="268"/>
      <c r="L39" s="269"/>
      <c r="M39" s="267"/>
      <c r="N39" s="268"/>
      <c r="O39" s="269"/>
    </row>
    <row r="40" spans="1:15" ht="45" customHeight="1">
      <c r="A40" s="251"/>
      <c r="B40" s="555"/>
      <c r="C40" s="556"/>
      <c r="D40" s="557"/>
      <c r="E40" s="578"/>
      <c r="F40" s="579"/>
      <c r="G40" s="579"/>
      <c r="H40" s="579"/>
      <c r="I40" s="580"/>
      <c r="J40" s="508"/>
      <c r="K40" s="509"/>
      <c r="L40" s="510"/>
      <c r="M40" s="508"/>
      <c r="N40" s="509"/>
      <c r="O40" s="510"/>
    </row>
    <row r="41" spans="1:15" ht="62.25" customHeight="1">
      <c r="A41" s="251"/>
      <c r="B41" s="499"/>
      <c r="C41" s="500"/>
      <c r="D41" s="501"/>
      <c r="E41" s="496"/>
      <c r="F41" s="497"/>
      <c r="G41" s="497"/>
      <c r="H41" s="497"/>
      <c r="I41" s="498"/>
      <c r="J41" s="508"/>
      <c r="K41" s="509"/>
      <c r="L41" s="510"/>
      <c r="M41" s="508"/>
      <c r="N41" s="509"/>
      <c r="O41" s="510"/>
    </row>
    <row r="42" spans="1:15" ht="84" customHeight="1">
      <c r="A42" s="251"/>
      <c r="B42" s="499"/>
      <c r="C42" s="500"/>
      <c r="D42" s="501"/>
      <c r="E42" s="508"/>
      <c r="F42" s="509"/>
      <c r="G42" s="509"/>
      <c r="H42" s="509"/>
      <c r="I42" s="510"/>
      <c r="J42" s="267"/>
      <c r="K42" s="268"/>
      <c r="L42" s="269"/>
      <c r="M42" s="267"/>
      <c r="N42" s="268"/>
      <c r="O42" s="269"/>
    </row>
    <row r="43" spans="1:15" ht="45" customHeight="1">
      <c r="A43" s="251"/>
      <c r="B43" s="499"/>
      <c r="C43" s="500"/>
      <c r="D43" s="501"/>
      <c r="E43" s="496"/>
      <c r="F43" s="497"/>
      <c r="G43" s="497"/>
      <c r="H43" s="497"/>
      <c r="I43" s="498"/>
      <c r="J43" s="508"/>
      <c r="K43" s="509"/>
      <c r="L43" s="510"/>
      <c r="M43" s="267"/>
      <c r="N43" s="268"/>
      <c r="O43" s="269"/>
    </row>
    <row r="44" spans="1:15" ht="64.5" customHeight="1">
      <c r="A44" s="251"/>
      <c r="B44" s="555"/>
      <c r="C44" s="556"/>
      <c r="D44" s="557"/>
      <c r="E44" s="496"/>
      <c r="F44" s="497"/>
      <c r="G44" s="497"/>
      <c r="H44" s="497"/>
      <c r="I44" s="498"/>
      <c r="J44" s="508"/>
      <c r="K44" s="509"/>
      <c r="L44" s="510"/>
      <c r="M44" s="267"/>
      <c r="N44" s="268"/>
      <c r="O44" s="269"/>
    </row>
    <row r="45" spans="1:15" ht="49.5" customHeight="1">
      <c r="B45" s="555"/>
      <c r="C45" s="556"/>
      <c r="D45" s="557"/>
      <c r="E45" s="496"/>
      <c r="F45" s="497"/>
      <c r="G45" s="497"/>
      <c r="H45" s="497"/>
      <c r="I45" s="498"/>
      <c r="J45" s="508"/>
      <c r="K45" s="509"/>
      <c r="L45" s="510"/>
      <c r="M45" s="267"/>
      <c r="N45" s="268"/>
      <c r="O45" s="269"/>
    </row>
    <row r="46" spans="1:15" ht="30" customHeight="1">
      <c r="B46" s="531"/>
      <c r="C46" s="532"/>
      <c r="D46" s="533"/>
      <c r="E46" s="255"/>
      <c r="F46" s="256"/>
      <c r="G46" s="256"/>
      <c r="H46" s="256"/>
      <c r="I46" s="257"/>
      <c r="J46" s="267"/>
      <c r="K46" s="268"/>
      <c r="L46" s="269"/>
      <c r="M46" s="267"/>
      <c r="N46" s="268"/>
      <c r="O46" s="269"/>
    </row>
    <row r="47" spans="1:15" ht="44.25" customHeight="1">
      <c r="B47" s="572" t="s">
        <v>299</v>
      </c>
      <c r="C47" s="573"/>
      <c r="D47" s="574"/>
      <c r="E47" s="575" t="s">
        <v>274</v>
      </c>
      <c r="F47" s="576"/>
      <c r="G47" s="576"/>
      <c r="H47" s="576"/>
      <c r="I47" s="577"/>
      <c r="J47" s="575" t="s">
        <v>275</v>
      </c>
      <c r="K47" s="576"/>
      <c r="L47" s="577"/>
      <c r="M47" s="575" t="s">
        <v>276</v>
      </c>
      <c r="N47" s="576"/>
      <c r="O47" s="577"/>
    </row>
    <row r="48" spans="1:15" ht="33.75" customHeight="1">
      <c r="B48" s="246"/>
      <c r="C48" s="247"/>
      <c r="D48" s="247"/>
      <c r="E48" s="240"/>
      <c r="F48" s="242"/>
      <c r="G48" s="242"/>
      <c r="H48" s="242"/>
      <c r="I48" s="242"/>
      <c r="J48" s="240"/>
      <c r="K48" s="240"/>
      <c r="L48" s="241"/>
      <c r="M48" s="239"/>
      <c r="N48" s="240"/>
      <c r="O48" s="241"/>
    </row>
    <row r="49" spans="2:15" ht="15.75" customHeight="1">
      <c r="B49" s="569" t="s">
        <v>296</v>
      </c>
      <c r="C49" s="570"/>
      <c r="D49" s="570"/>
      <c r="E49" s="570"/>
      <c r="F49" s="570"/>
      <c r="G49" s="570"/>
      <c r="H49" s="570"/>
      <c r="I49" s="570"/>
      <c r="J49" s="570"/>
      <c r="K49" s="570"/>
      <c r="L49" s="571"/>
      <c r="M49" s="559" t="s">
        <v>286</v>
      </c>
      <c r="N49" s="560"/>
      <c r="O49" s="561"/>
    </row>
    <row r="50" spans="2:15">
      <c r="D50" s="226"/>
    </row>
    <row r="52" spans="2:15">
      <c r="D52" s="226"/>
    </row>
    <row r="53" spans="2:15">
      <c r="D53" s="226"/>
    </row>
  </sheetData>
  <mergeCells count="120">
    <mergeCell ref="M11:O11"/>
    <mergeCell ref="J12:L12"/>
    <mergeCell ref="M12:O12"/>
    <mergeCell ref="E12:I12"/>
    <mergeCell ref="B2:M2"/>
    <mergeCell ref="B5:O5"/>
    <mergeCell ref="M8:O8"/>
    <mergeCell ref="J8:L8"/>
    <mergeCell ref="E7:I7"/>
    <mergeCell ref="B7:D7"/>
    <mergeCell ref="E8:I8"/>
    <mergeCell ref="B11:D11"/>
    <mergeCell ref="B10:D10"/>
    <mergeCell ref="E10:I10"/>
    <mergeCell ref="J10:L10"/>
    <mergeCell ref="J7:L7"/>
    <mergeCell ref="M7:O7"/>
    <mergeCell ref="M10:O10"/>
    <mergeCell ref="B8:D8"/>
    <mergeCell ref="M9:O9"/>
    <mergeCell ref="B9:D9"/>
    <mergeCell ref="E9:I9"/>
    <mergeCell ref="J9:L9"/>
    <mergeCell ref="E11:I11"/>
    <mergeCell ref="B40:D40"/>
    <mergeCell ref="E41:I41"/>
    <mergeCell ref="J40:L40"/>
    <mergeCell ref="J19:L19"/>
    <mergeCell ref="E18:I18"/>
    <mergeCell ref="J18:L18"/>
    <mergeCell ref="B18:D18"/>
    <mergeCell ref="B15:D15"/>
    <mergeCell ref="B13:D13"/>
    <mergeCell ref="B16:O16"/>
    <mergeCell ref="J15:L15"/>
    <mergeCell ref="E13:I13"/>
    <mergeCell ref="J13:L13"/>
    <mergeCell ref="M14:O14"/>
    <mergeCell ref="B14:D14"/>
    <mergeCell ref="E14:I14"/>
    <mergeCell ref="B19:D19"/>
    <mergeCell ref="M19:O19"/>
    <mergeCell ref="M15:O15"/>
    <mergeCell ref="M13:O13"/>
    <mergeCell ref="M18:O18"/>
    <mergeCell ref="J14:L14"/>
    <mergeCell ref="E15:I15"/>
    <mergeCell ref="E19:I19"/>
    <mergeCell ref="E44:I44"/>
    <mergeCell ref="B44:D44"/>
    <mergeCell ref="B45:D45"/>
    <mergeCell ref="B12:D12"/>
    <mergeCell ref="J11:L11"/>
    <mergeCell ref="M49:O49"/>
    <mergeCell ref="B30:O30"/>
    <mergeCell ref="B32:D32"/>
    <mergeCell ref="E32:I32"/>
    <mergeCell ref="J32:L32"/>
    <mergeCell ref="M32:O32"/>
    <mergeCell ref="B49:L49"/>
    <mergeCell ref="B47:D47"/>
    <mergeCell ref="E47:I47"/>
    <mergeCell ref="J47:L47"/>
    <mergeCell ref="M47:O47"/>
    <mergeCell ref="J41:L41"/>
    <mergeCell ref="M41:O41"/>
    <mergeCell ref="M35:O35"/>
    <mergeCell ref="E42:I42"/>
    <mergeCell ref="E43:I43"/>
    <mergeCell ref="B42:D42"/>
    <mergeCell ref="E40:I40"/>
    <mergeCell ref="B41:D41"/>
    <mergeCell ref="E22:I22"/>
    <mergeCell ref="J22:L22"/>
    <mergeCell ref="J20:L20"/>
    <mergeCell ref="M40:O40"/>
    <mergeCell ref="B46:D46"/>
    <mergeCell ref="M23:O24"/>
    <mergeCell ref="E23:I23"/>
    <mergeCell ref="E24:I24"/>
    <mergeCell ref="E33:I33"/>
    <mergeCell ref="E34:I34"/>
    <mergeCell ref="E25:I25"/>
    <mergeCell ref="M25:O25"/>
    <mergeCell ref="J25:L25"/>
    <mergeCell ref="J23:L24"/>
    <mergeCell ref="M33:O33"/>
    <mergeCell ref="M34:O34"/>
    <mergeCell ref="B25:D25"/>
    <mergeCell ref="B33:D33"/>
    <mergeCell ref="B34:D34"/>
    <mergeCell ref="J33:L33"/>
    <mergeCell ref="J34:L34"/>
    <mergeCell ref="J43:L43"/>
    <mergeCell ref="J44:L44"/>
    <mergeCell ref="J45:L45"/>
    <mergeCell ref="E45:I45"/>
    <mergeCell ref="B43:D43"/>
    <mergeCell ref="M20:O20"/>
    <mergeCell ref="J21:L21"/>
    <mergeCell ref="M21:O21"/>
    <mergeCell ref="M22:O22"/>
    <mergeCell ref="B39:D39"/>
    <mergeCell ref="M38:O38"/>
    <mergeCell ref="E39:I39"/>
    <mergeCell ref="B37:D37"/>
    <mergeCell ref="B35:D35"/>
    <mergeCell ref="J35:L35"/>
    <mergeCell ref="B38:D38"/>
    <mergeCell ref="E38:I38"/>
    <mergeCell ref="J38:L38"/>
    <mergeCell ref="B36:D36"/>
    <mergeCell ref="E37:I37"/>
    <mergeCell ref="E35:I35"/>
    <mergeCell ref="B20:D20"/>
    <mergeCell ref="E20:I20"/>
    <mergeCell ref="B21:D21"/>
    <mergeCell ref="E21:I21"/>
    <mergeCell ref="B22:D22"/>
    <mergeCell ref="B23:D24"/>
  </mergeCells>
  <phoneticPr fontId="30" type="noConversion"/>
  <pageMargins left="0.70866141732283472" right="0.70866141732283472" top="0.74803149606299213" bottom="0.74803149606299213" header="0.31496062992125984" footer="0.31496062992125984"/>
  <pageSetup paperSize="9" scale="44" orientation="landscape"/>
  <headerFooter alignWithMargins="0">
    <oddFooter>&amp;L&amp;F&amp;C&amp;A&amp;RV1.0          &amp;D</oddFooter>
  </headerFooter>
  <rowBreaks count="1" manualBreakCount="1">
    <brk id="11" max="16383" man="1"/>
  </row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sheetPr>
  <dimension ref="A1:AJ152"/>
  <sheetViews>
    <sheetView showGridLines="0" topLeftCell="A28" workbookViewId="0">
      <selection activeCell="D52" sqref="D52"/>
    </sheetView>
  </sheetViews>
  <sheetFormatPr defaultColWidth="11" defaultRowHeight="14.5"/>
  <cols>
    <col min="1" max="1" width="2.6328125" customWidth="1"/>
    <col min="2" max="2" width="46.08984375" customWidth="1"/>
    <col min="3" max="3" width="23" customWidth="1"/>
    <col min="4" max="4" width="19.08984375" customWidth="1"/>
    <col min="5" max="5" width="16.453125" customWidth="1"/>
    <col min="6" max="6" width="17.453125" customWidth="1"/>
    <col min="7" max="7" width="16.453125" customWidth="1"/>
    <col min="8" max="8" width="17.453125" customWidth="1"/>
    <col min="9" max="9" width="16.36328125" customWidth="1"/>
    <col min="10" max="10" width="16.90625" customWidth="1"/>
    <col min="11" max="11" width="16" customWidth="1"/>
    <col min="12" max="12" width="15.36328125" customWidth="1"/>
    <col min="13" max="13" width="15.453125" customWidth="1"/>
    <col min="14" max="14" width="14.36328125" style="36" customWidth="1"/>
    <col min="15" max="15" width="15.453125" style="36" customWidth="1"/>
    <col min="16" max="16" width="19.453125" customWidth="1"/>
    <col min="17" max="17" width="16.08984375" customWidth="1"/>
    <col min="18" max="18" width="13.6328125" customWidth="1"/>
    <col min="19" max="19" width="13.453125" customWidth="1"/>
    <col min="20" max="20" width="14.90625" customWidth="1"/>
    <col min="21" max="21" width="16" customWidth="1"/>
    <col min="22" max="22" width="11.453125" hidden="1" customWidth="1"/>
    <col min="23" max="23" width="15.453125" customWidth="1"/>
    <col min="24" max="24" width="11.453125" customWidth="1"/>
    <col min="25" max="25" width="2.36328125" customWidth="1"/>
    <col min="26" max="26" width="1.08984375" customWidth="1"/>
    <col min="27" max="27" width="3.36328125" customWidth="1"/>
    <col min="28" max="28" width="17" customWidth="1"/>
    <col min="29" max="29" width="15" customWidth="1"/>
    <col min="30" max="30" width="11.453125" customWidth="1"/>
    <col min="31" max="31" width="13.453125" customWidth="1"/>
    <col min="32" max="32" width="16.90625" customWidth="1"/>
    <col min="33" max="33" width="11.453125" customWidth="1"/>
    <col min="34" max="34" width="2" style="36" customWidth="1"/>
    <col min="35" max="35" width="3.36328125" style="36" customWidth="1"/>
    <col min="36" max="36" width="2.36328125" style="36" customWidth="1"/>
    <col min="37" max="37" width="40.6328125" customWidth="1"/>
    <col min="38" max="38" width="15.453125" customWidth="1"/>
  </cols>
  <sheetData>
    <row r="1" spans="1:13" ht="29.25" customHeight="1">
      <c r="A1" s="3"/>
      <c r="B1" s="3"/>
      <c r="C1" s="3"/>
      <c r="D1" s="3"/>
      <c r="E1" s="3"/>
      <c r="F1" s="3"/>
      <c r="G1" s="3"/>
      <c r="H1" s="3"/>
      <c r="I1" s="3"/>
      <c r="J1" s="3"/>
      <c r="K1" s="3"/>
      <c r="L1" s="3"/>
      <c r="M1" s="3"/>
    </row>
    <row r="2" spans="1:13" ht="15.75" customHeight="1">
      <c r="A2" s="3"/>
      <c r="B2" s="630" t="s">
        <v>375</v>
      </c>
      <c r="C2" s="630"/>
      <c r="D2" s="630"/>
      <c r="E2" s="630"/>
      <c r="F2" s="630"/>
      <c r="G2" s="630"/>
      <c r="H2" s="630"/>
      <c r="I2" s="630"/>
      <c r="J2" s="630"/>
      <c r="K2" s="291"/>
      <c r="L2" s="291"/>
      <c r="M2" s="291"/>
    </row>
    <row r="3" spans="1:13" ht="4.5" customHeight="1">
      <c r="A3" s="3"/>
      <c r="B3" s="3"/>
      <c r="C3" s="3"/>
      <c r="D3" s="3"/>
      <c r="E3" s="3"/>
      <c r="F3" s="3"/>
      <c r="G3" s="3"/>
      <c r="H3" s="3"/>
      <c r="I3" s="3"/>
      <c r="J3" s="3"/>
      <c r="K3" s="3"/>
      <c r="L3" s="3"/>
      <c r="M3" s="3"/>
    </row>
    <row r="4" spans="1:13">
      <c r="A4" s="3"/>
      <c r="B4" s="289" t="s">
        <v>26</v>
      </c>
      <c r="C4" s="631" t="s">
        <v>177</v>
      </c>
      <c r="D4" s="632"/>
      <c r="E4" s="601" t="s">
        <v>12</v>
      </c>
      <c r="F4" s="601"/>
      <c r="G4" s="633"/>
      <c r="H4" s="634"/>
      <c r="I4" s="634"/>
      <c r="J4" s="635"/>
      <c r="K4" s="3"/>
      <c r="L4" s="3"/>
      <c r="M4" s="3"/>
    </row>
    <row r="5" spans="1:13" ht="3" customHeight="1">
      <c r="A5" s="3"/>
      <c r="B5" s="289"/>
      <c r="C5" s="3"/>
      <c r="D5" s="3"/>
      <c r="E5" s="292"/>
      <c r="F5" s="292"/>
      <c r="G5" s="3"/>
      <c r="H5" s="3"/>
      <c r="I5" s="3"/>
      <c r="J5" s="3"/>
      <c r="K5" s="3"/>
      <c r="L5" s="3"/>
      <c r="M5" s="3"/>
    </row>
    <row r="6" spans="1:13">
      <c r="A6" s="3"/>
      <c r="B6" s="289" t="s">
        <v>117</v>
      </c>
      <c r="C6" s="631" t="s">
        <v>440</v>
      </c>
      <c r="D6" s="632"/>
      <c r="E6" s="601" t="s">
        <v>27</v>
      </c>
      <c r="F6" s="601"/>
      <c r="G6" s="322" t="s">
        <v>35</v>
      </c>
      <c r="H6" s="289" t="s">
        <v>322</v>
      </c>
      <c r="I6" s="638">
        <v>11182992</v>
      </c>
      <c r="J6" s="639"/>
      <c r="K6" s="3"/>
      <c r="L6" s="3"/>
      <c r="M6" s="3"/>
    </row>
    <row r="7" spans="1:13" ht="3" customHeight="1">
      <c r="A7" s="3"/>
      <c r="B7" s="289"/>
      <c r="C7" s="3"/>
      <c r="D7" s="3"/>
      <c r="E7" s="292"/>
      <c r="F7" s="292"/>
      <c r="G7" s="3"/>
      <c r="H7" s="289"/>
      <c r="I7" s="3"/>
      <c r="J7" s="3"/>
      <c r="K7" s="3"/>
      <c r="L7" s="3"/>
      <c r="M7" s="3"/>
    </row>
    <row r="8" spans="1:13">
      <c r="A8" s="3"/>
      <c r="B8" s="289" t="s">
        <v>269</v>
      </c>
      <c r="C8" s="631" t="s">
        <v>439</v>
      </c>
      <c r="D8" s="632"/>
      <c r="E8" s="293"/>
      <c r="F8" s="288" t="s">
        <v>324</v>
      </c>
      <c r="G8" s="411" t="s">
        <v>370</v>
      </c>
      <c r="H8" s="288" t="s">
        <v>323</v>
      </c>
      <c r="I8" s="631" t="s">
        <v>16</v>
      </c>
      <c r="J8" s="632"/>
      <c r="K8" s="3"/>
      <c r="L8" s="3"/>
      <c r="M8" s="3"/>
    </row>
    <row r="9" spans="1:13" ht="3" customHeight="1">
      <c r="A9" s="3"/>
      <c r="B9" s="292"/>
      <c r="C9" s="3"/>
      <c r="D9" s="3"/>
      <c r="E9" s="292"/>
      <c r="F9" s="292"/>
      <c r="G9" s="3"/>
      <c r="H9" s="3"/>
      <c r="I9" s="3"/>
      <c r="J9" s="3"/>
      <c r="K9" s="3"/>
      <c r="L9" s="3"/>
      <c r="M9" s="3"/>
    </row>
    <row r="10" spans="1:13">
      <c r="A10" s="3"/>
      <c r="B10" s="289" t="s">
        <v>405</v>
      </c>
      <c r="C10" s="643">
        <v>41730</v>
      </c>
      <c r="D10" s="644"/>
      <c r="E10" s="636" t="s">
        <v>31</v>
      </c>
      <c r="F10" s="637"/>
      <c r="G10" s="631" t="s">
        <v>263</v>
      </c>
      <c r="H10" s="641"/>
      <c r="I10" s="641"/>
      <c r="J10" s="632"/>
      <c r="K10" s="3"/>
      <c r="L10" s="3"/>
      <c r="M10" s="3"/>
    </row>
    <row r="11" spans="1:13" ht="5.25" customHeight="1">
      <c r="A11" s="3"/>
      <c r="B11" s="3"/>
      <c r="C11" s="3"/>
      <c r="D11" s="3"/>
      <c r="E11" s="3"/>
      <c r="F11" s="3"/>
      <c r="G11" s="3"/>
      <c r="H11" s="3"/>
      <c r="I11" s="3"/>
      <c r="J11" s="3"/>
      <c r="K11" s="3"/>
      <c r="L11" s="3"/>
      <c r="M11" s="3"/>
    </row>
    <row r="12" spans="1:13" ht="15" customHeight="1">
      <c r="A12" s="3"/>
      <c r="B12" s="289" t="s">
        <v>29</v>
      </c>
      <c r="C12" s="652" t="s">
        <v>45</v>
      </c>
      <c r="D12" s="652"/>
      <c r="E12" s="636" t="s">
        <v>290</v>
      </c>
      <c r="F12" s="601"/>
      <c r="G12" s="640" t="s">
        <v>438</v>
      </c>
      <c r="H12" s="640"/>
      <c r="I12" s="640"/>
      <c r="J12" s="640"/>
      <c r="K12" s="3"/>
      <c r="L12" s="3"/>
      <c r="M12" s="3"/>
    </row>
    <row r="13" spans="1:13" ht="5.25" customHeight="1">
      <c r="A13" s="3"/>
      <c r="B13" s="3"/>
      <c r="C13" s="3"/>
      <c r="D13" s="3"/>
      <c r="E13" s="3"/>
      <c r="F13" s="3"/>
      <c r="G13" s="3"/>
      <c r="H13" s="3"/>
      <c r="I13" s="3"/>
      <c r="J13" s="3"/>
      <c r="K13" s="3"/>
      <c r="L13" s="3"/>
      <c r="M13" s="3"/>
    </row>
    <row r="14" spans="1:13" ht="15.75" customHeight="1">
      <c r="A14" s="3"/>
      <c r="B14" s="630" t="s">
        <v>2</v>
      </c>
      <c r="C14" s="630"/>
      <c r="D14" s="630"/>
      <c r="E14" s="630"/>
      <c r="F14" s="630"/>
      <c r="G14" s="630"/>
      <c r="H14" s="630"/>
      <c r="I14" s="630"/>
      <c r="J14" s="630"/>
      <c r="K14" s="3"/>
      <c r="L14" s="3"/>
      <c r="M14" s="3"/>
    </row>
    <row r="15" spans="1:13" ht="3" customHeight="1">
      <c r="A15" s="3"/>
      <c r="B15" s="3"/>
      <c r="C15" s="3"/>
      <c r="D15" s="3"/>
      <c r="E15" s="3"/>
      <c r="F15" s="3"/>
      <c r="G15" s="3"/>
      <c r="H15" s="3"/>
      <c r="I15" s="3"/>
      <c r="J15" s="3"/>
      <c r="K15" s="3"/>
      <c r="L15" s="3"/>
      <c r="M15" s="3"/>
    </row>
    <row r="16" spans="1:13">
      <c r="A16" s="3"/>
      <c r="B16" s="289" t="s">
        <v>21</v>
      </c>
      <c r="C16" s="411" t="s">
        <v>125</v>
      </c>
      <c r="D16" s="288" t="s">
        <v>325</v>
      </c>
      <c r="E16" s="294">
        <v>42461</v>
      </c>
      <c r="F16" s="290" t="s">
        <v>8</v>
      </c>
      <c r="G16" s="294">
        <v>42551</v>
      </c>
      <c r="H16" s="636" t="s">
        <v>326</v>
      </c>
      <c r="I16" s="637"/>
      <c r="J16" s="490">
        <v>42602</v>
      </c>
      <c r="K16" s="3"/>
      <c r="L16" s="3"/>
      <c r="M16" s="3"/>
    </row>
    <row r="17" spans="1:35" ht="3" customHeight="1">
      <c r="A17" s="3"/>
      <c r="B17" s="3"/>
      <c r="C17" s="3"/>
      <c r="D17" s="3"/>
      <c r="E17" s="3"/>
      <c r="F17" s="3"/>
      <c r="G17" s="3"/>
      <c r="H17" s="3"/>
      <c r="I17" s="3"/>
      <c r="J17" s="3"/>
      <c r="K17" s="3"/>
      <c r="L17" s="3"/>
      <c r="M17" s="3"/>
    </row>
    <row r="18" spans="1:35">
      <c r="A18" s="3"/>
      <c r="B18" s="642" t="s">
        <v>32</v>
      </c>
      <c r="C18" s="637"/>
      <c r="D18" s="653" t="s">
        <v>441</v>
      </c>
      <c r="E18" s="653"/>
      <c r="F18" s="653"/>
      <c r="G18" s="295"/>
      <c r="H18" s="295"/>
      <c r="I18" s="295"/>
      <c r="J18" s="295"/>
      <c r="K18" s="3"/>
      <c r="L18" s="3"/>
      <c r="M18" s="3"/>
    </row>
    <row r="19" spans="1:35" ht="3" customHeight="1">
      <c r="A19" s="3"/>
      <c r="B19" s="3"/>
      <c r="C19" s="3"/>
      <c r="D19" s="3"/>
      <c r="E19" s="3"/>
      <c r="F19" s="3"/>
      <c r="G19" s="3"/>
      <c r="H19" s="3"/>
      <c r="I19" s="3"/>
      <c r="J19" s="3"/>
      <c r="K19" s="3"/>
      <c r="L19" s="3"/>
      <c r="M19" s="3"/>
    </row>
    <row r="20" spans="1:35" ht="5.25" customHeight="1">
      <c r="A20" s="3"/>
      <c r="B20" s="3"/>
      <c r="C20" s="3"/>
      <c r="D20" s="3"/>
      <c r="E20" s="3"/>
      <c r="F20" s="3"/>
      <c r="G20" s="3"/>
      <c r="H20" s="3"/>
      <c r="I20" s="3"/>
      <c r="J20" s="3"/>
      <c r="K20" s="3"/>
      <c r="L20" s="3"/>
      <c r="M20" s="3"/>
    </row>
    <row r="21" spans="1:35" ht="15.75" customHeight="1">
      <c r="A21" s="3"/>
      <c r="B21" s="630" t="s">
        <v>363</v>
      </c>
      <c r="C21" s="630"/>
      <c r="D21" s="630"/>
      <c r="E21" s="630"/>
      <c r="F21" s="630"/>
      <c r="G21" s="630"/>
      <c r="H21" s="630"/>
      <c r="I21" s="630"/>
      <c r="J21" s="630"/>
      <c r="K21" s="3"/>
      <c r="L21" s="3"/>
      <c r="M21" s="3"/>
    </row>
    <row r="22" spans="1:35">
      <c r="A22" s="3"/>
      <c r="B22" s="292" t="s">
        <v>3</v>
      </c>
      <c r="C22" s="3"/>
      <c r="D22" s="3"/>
      <c r="E22" s="296"/>
      <c r="F22" s="296"/>
      <c r="G22" s="3"/>
      <c r="H22" s="3"/>
      <c r="I22" s="296"/>
      <c r="J22" s="296"/>
      <c r="K22" s="3"/>
      <c r="L22" s="3"/>
      <c r="M22" s="3"/>
    </row>
    <row r="23" spans="1:35" ht="3" customHeight="1">
      <c r="A23" s="3"/>
      <c r="B23" s="3"/>
      <c r="C23" s="3"/>
      <c r="D23" s="3"/>
      <c r="E23" s="3"/>
      <c r="F23" s="3"/>
      <c r="G23" s="3"/>
      <c r="H23" s="3"/>
      <c r="I23" s="3"/>
      <c r="J23" s="3"/>
      <c r="K23" s="3"/>
      <c r="L23" s="3"/>
      <c r="M23" s="3"/>
    </row>
    <row r="24" spans="1:35" ht="15" thickBot="1">
      <c r="A24" s="3"/>
      <c r="B24" s="289" t="s">
        <v>400</v>
      </c>
      <c r="C24" s="397"/>
      <c r="D24" s="601" t="s">
        <v>401</v>
      </c>
      <c r="E24" s="601"/>
      <c r="F24" s="398"/>
      <c r="G24" s="601" t="s">
        <v>402</v>
      </c>
      <c r="H24" s="601"/>
      <c r="I24" s="602"/>
      <c r="J24" s="603"/>
      <c r="K24" s="3"/>
      <c r="L24" s="3"/>
      <c r="M24" s="3"/>
      <c r="N24" s="20"/>
    </row>
    <row r="25" spans="1:35" ht="19" thickBot="1">
      <c r="A25" s="3"/>
      <c r="B25" s="87" t="s">
        <v>400</v>
      </c>
      <c r="C25" s="88"/>
      <c r="D25" s="88"/>
      <c r="E25" s="88"/>
      <c r="F25" s="88"/>
      <c r="G25" s="88"/>
      <c r="H25" s="275"/>
      <c r="I25" s="89"/>
      <c r="J25" s="89"/>
      <c r="K25" s="275" t="s">
        <v>327</v>
      </c>
      <c r="L25" s="88"/>
      <c r="M25" s="88"/>
      <c r="N25" s="419"/>
      <c r="O25" s="40"/>
      <c r="AI25" s="44"/>
    </row>
    <row r="26" spans="1:35">
      <c r="A26" s="3"/>
      <c r="B26" s="657" t="s">
        <v>371</v>
      </c>
      <c r="C26" s="658"/>
      <c r="D26" s="433" t="s">
        <v>14</v>
      </c>
      <c r="E26" s="91"/>
      <c r="F26" s="91"/>
      <c r="G26" s="91"/>
      <c r="H26" s="91"/>
      <c r="I26" s="91"/>
      <c r="J26" s="92"/>
      <c r="K26" s="91"/>
      <c r="L26" s="91"/>
      <c r="M26" s="91"/>
      <c r="N26" s="40"/>
      <c r="O26" s="40"/>
      <c r="AI26" s="44"/>
    </row>
    <row r="27" spans="1:35" ht="18.5">
      <c r="A27" s="3"/>
      <c r="B27" s="90" t="s">
        <v>381</v>
      </c>
      <c r="C27" s="91"/>
      <c r="D27" s="91"/>
      <c r="E27" s="91"/>
      <c r="F27" s="91"/>
      <c r="G27" s="91"/>
      <c r="H27" s="91"/>
      <c r="I27" s="91"/>
      <c r="J27" s="92"/>
      <c r="K27" s="91"/>
      <c r="L27" s="91"/>
      <c r="M27" s="91"/>
      <c r="N27" s="40"/>
      <c r="O27" s="40"/>
      <c r="AI27" s="44"/>
    </row>
    <row r="28" spans="1:35" ht="15" thickBot="1">
      <c r="A28" s="3"/>
      <c r="B28" s="3"/>
      <c r="C28" s="3"/>
      <c r="D28" s="3"/>
      <c r="E28" s="3"/>
      <c r="F28" s="3"/>
      <c r="G28" s="3"/>
      <c r="H28" s="3"/>
      <c r="I28" s="3"/>
      <c r="J28" s="3"/>
      <c r="K28" s="3"/>
      <c r="L28" s="3"/>
      <c r="M28" s="3"/>
    </row>
    <row r="29" spans="1:35" ht="15" thickBot="1">
      <c r="A29" s="3"/>
      <c r="B29" s="605" t="s">
        <v>60</v>
      </c>
      <c r="C29" s="606"/>
      <c r="D29" s="606"/>
      <c r="E29" s="606"/>
      <c r="F29" s="606"/>
      <c r="G29" s="606"/>
      <c r="H29" s="606"/>
      <c r="I29" s="606"/>
      <c r="J29" s="606"/>
      <c r="K29" s="606"/>
      <c r="L29" s="606"/>
      <c r="M29" s="606"/>
      <c r="N29" s="607"/>
      <c r="P29" s="211"/>
      <c r="Q29" s="212"/>
      <c r="R29" s="213">
        <f>+C33</f>
        <v>921623.07000000007</v>
      </c>
      <c r="S29" s="211"/>
    </row>
    <row r="30" spans="1:35">
      <c r="A30" s="3"/>
      <c r="B30" s="93" t="s">
        <v>268</v>
      </c>
      <c r="C30" s="378" t="s">
        <v>106</v>
      </c>
      <c r="D30" s="378" t="s">
        <v>107</v>
      </c>
      <c r="E30" s="378" t="s">
        <v>108</v>
      </c>
      <c r="F30" s="378" t="s">
        <v>109</v>
      </c>
      <c r="G30" s="378" t="s">
        <v>121</v>
      </c>
      <c r="H30" s="378" t="s">
        <v>122</v>
      </c>
      <c r="I30" s="378" t="s">
        <v>123</v>
      </c>
      <c r="J30" s="378" t="s">
        <v>124</v>
      </c>
      <c r="K30" s="378" t="s">
        <v>125</v>
      </c>
      <c r="L30" s="378" t="s">
        <v>126</v>
      </c>
      <c r="M30" s="378" t="s">
        <v>127</v>
      </c>
      <c r="N30" s="379" t="s">
        <v>288</v>
      </c>
      <c r="O30" s="380" t="s">
        <v>4</v>
      </c>
      <c r="P30" s="211"/>
      <c r="Q30" s="212"/>
      <c r="R30" s="213">
        <f>+D33</f>
        <v>1347642.61</v>
      </c>
      <c r="S30" s="211"/>
    </row>
    <row r="31" spans="1:35">
      <c r="A31" s="3"/>
      <c r="B31" s="285" t="str">
        <f>CONCATENATE("Budget (in ",'Data Entry'!$D$26,")")</f>
        <v>Budget (in €)</v>
      </c>
      <c r="C31" s="390">
        <f>ROUNDUP(921623.064533753,2)</f>
        <v>921623.07000000007</v>
      </c>
      <c r="D31" s="389">
        <f>ROUNDUP(426019.539042753,2)</f>
        <v>426019.54000000004</v>
      </c>
      <c r="E31" s="389">
        <f>ROUNDUP(2922402.58530628,2)</f>
        <v>2922402.59</v>
      </c>
      <c r="F31" s="389">
        <f>ROUNDUP(519656.946297292,2)</f>
        <v>519656.95</v>
      </c>
      <c r="G31" s="389">
        <f>ROUNDUP(3484339.67872618,2)</f>
        <v>3484339.6799999997</v>
      </c>
      <c r="H31" s="389">
        <v>274655</v>
      </c>
      <c r="I31" s="389">
        <v>309910</v>
      </c>
      <c r="J31" s="389">
        <v>431499</v>
      </c>
      <c r="K31" s="389">
        <v>1892886</v>
      </c>
      <c r="L31" s="389"/>
      <c r="M31" s="389"/>
      <c r="N31" s="389"/>
      <c r="O31" s="692">
        <f>+SUM(C35:N35)</f>
        <v>0.64519049550266916</v>
      </c>
      <c r="P31" s="211"/>
      <c r="Q31" s="212"/>
      <c r="R31" s="213">
        <f>+E33</f>
        <v>4270045.2</v>
      </c>
      <c r="S31" s="211"/>
    </row>
    <row r="32" spans="1:35">
      <c r="A32" s="3"/>
      <c r="B32" s="93" t="str">
        <f>CONCATENATE("Disbursements by GF (in ", $D$26,")")</f>
        <v>Disbursements by GF (in €)</v>
      </c>
      <c r="C32" s="390">
        <v>691821</v>
      </c>
      <c r="D32" s="390">
        <f>664842+36529</f>
        <v>701371</v>
      </c>
      <c r="E32" s="390">
        <f>2391463</f>
        <v>2391463</v>
      </c>
      <c r="F32" s="390">
        <v>0</v>
      </c>
      <c r="G32" s="390">
        <v>43994.7</v>
      </c>
      <c r="H32" s="390">
        <v>0</v>
      </c>
      <c r="I32" s="390">
        <f>1319553.6+49343.84</f>
        <v>1368897.4400000002</v>
      </c>
      <c r="J32" s="389">
        <f>140600.42+45685+1831327.48</f>
        <v>2017612.9</v>
      </c>
      <c r="K32" s="389">
        <v>0</v>
      </c>
      <c r="L32" s="389"/>
      <c r="M32" s="389"/>
      <c r="N32" s="389"/>
      <c r="O32" s="693"/>
      <c r="P32" s="211"/>
      <c r="Q32" s="212"/>
      <c r="R32" s="213">
        <f>+F33</f>
        <v>4789702.1500000004</v>
      </c>
      <c r="S32" s="211"/>
    </row>
    <row r="33" spans="1:35">
      <c r="A33" s="3"/>
      <c r="B33" s="94" t="s">
        <v>387</v>
      </c>
      <c r="C33" s="391">
        <f>+C31</f>
        <v>921623.07000000007</v>
      </c>
      <c r="D33" s="391">
        <f>IF(AND(D31=0,D32=0),0,+C33+D31)</f>
        <v>1347642.61</v>
      </c>
      <c r="E33" s="391">
        <f t="shared" ref="E33:N33" si="0">IF(AND(E31=0,E32=0),0,+D33+E31)</f>
        <v>4270045.2</v>
      </c>
      <c r="F33" s="391">
        <f t="shared" si="0"/>
        <v>4789702.1500000004</v>
      </c>
      <c r="G33" s="391">
        <f>IF(AND(G31=0,G32=0),0,+F33+G31)</f>
        <v>8274041.8300000001</v>
      </c>
      <c r="H33" s="391">
        <f t="shared" si="0"/>
        <v>8548696.8300000001</v>
      </c>
      <c r="I33" s="391">
        <f t="shared" si="0"/>
        <v>8858606.8300000001</v>
      </c>
      <c r="J33" s="391">
        <f>IF(AND(J31=0,J32=0),0,+I33+J31)</f>
        <v>9290105.8300000001</v>
      </c>
      <c r="K33" s="391">
        <f t="shared" si="0"/>
        <v>11182991.83</v>
      </c>
      <c r="L33" s="391">
        <f t="shared" si="0"/>
        <v>0</v>
      </c>
      <c r="M33" s="391">
        <f t="shared" si="0"/>
        <v>0</v>
      </c>
      <c r="N33" s="391">
        <f t="shared" si="0"/>
        <v>0</v>
      </c>
      <c r="O33" s="693"/>
      <c r="P33" s="373"/>
      <c r="Q33" s="212"/>
      <c r="R33" s="213">
        <f>+G33</f>
        <v>8274041.8300000001</v>
      </c>
      <c r="S33" s="211"/>
    </row>
    <row r="34" spans="1:35" ht="15" thickBot="1">
      <c r="A34" s="3"/>
      <c r="B34" s="95" t="s">
        <v>388</v>
      </c>
      <c r="C34" s="392">
        <f>+C32</f>
        <v>691821</v>
      </c>
      <c r="D34" s="392">
        <f>IF(AND(D31=0,D32=0),0,+C34+D32)</f>
        <v>1393192</v>
      </c>
      <c r="E34" s="392">
        <f t="shared" ref="E34:N34" si="1">IF(AND(E31=0,E32=0),0,+D34+E32)</f>
        <v>3784655</v>
      </c>
      <c r="F34" s="392">
        <f t="shared" si="1"/>
        <v>3784655</v>
      </c>
      <c r="G34" s="392">
        <f>IF(AND(G31=0,G32=0),0,+F34+G32)</f>
        <v>3828649.7</v>
      </c>
      <c r="H34" s="392">
        <f t="shared" si="1"/>
        <v>3828649.7</v>
      </c>
      <c r="I34" s="392">
        <f t="shared" si="1"/>
        <v>5197547.1400000006</v>
      </c>
      <c r="J34" s="392">
        <f t="shared" si="1"/>
        <v>7215160.040000001</v>
      </c>
      <c r="K34" s="392">
        <f t="shared" si="1"/>
        <v>7215160.040000001</v>
      </c>
      <c r="L34" s="392">
        <f t="shared" si="1"/>
        <v>0</v>
      </c>
      <c r="M34" s="392">
        <f t="shared" si="1"/>
        <v>0</v>
      </c>
      <c r="N34" s="392">
        <f t="shared" si="1"/>
        <v>0</v>
      </c>
      <c r="O34" s="694"/>
      <c r="P34" s="373"/>
      <c r="Q34" s="212"/>
      <c r="R34" s="213">
        <f>+H33</f>
        <v>8548696.8300000001</v>
      </c>
      <c r="S34" s="211"/>
    </row>
    <row r="35" spans="1:35">
      <c r="A35" s="3"/>
      <c r="B35" s="3"/>
      <c r="C35" s="350">
        <f>+IF(AND(C30=$C$16,C33&lt;&gt;0),C34/C33,0)</f>
        <v>0</v>
      </c>
      <c r="D35" s="350">
        <f t="shared" ref="D35:N35" si="2">+IF(AND(D30=$C$16,D33&lt;&gt;0),D34/D33,0)</f>
        <v>0</v>
      </c>
      <c r="E35" s="350">
        <f t="shared" si="2"/>
        <v>0</v>
      </c>
      <c r="F35" s="350">
        <f t="shared" si="2"/>
        <v>0</v>
      </c>
      <c r="G35" s="350">
        <f t="shared" si="2"/>
        <v>0</v>
      </c>
      <c r="H35" s="350">
        <f t="shared" si="2"/>
        <v>0</v>
      </c>
      <c r="I35" s="350">
        <f t="shared" si="2"/>
        <v>0</v>
      </c>
      <c r="J35" s="350">
        <f t="shared" si="2"/>
        <v>0</v>
      </c>
      <c r="K35" s="350">
        <f t="shared" si="2"/>
        <v>0.64519049550266916</v>
      </c>
      <c r="L35" s="350">
        <f t="shared" si="2"/>
        <v>0</v>
      </c>
      <c r="M35" s="350">
        <f t="shared" si="2"/>
        <v>0</v>
      </c>
      <c r="N35" s="350">
        <f t="shared" si="2"/>
        <v>0</v>
      </c>
      <c r="O35" s="297"/>
      <c r="P35" s="214"/>
      <c r="Q35" s="215"/>
      <c r="R35" s="213">
        <f>+I33</f>
        <v>8858606.8300000001</v>
      </c>
      <c r="S35" s="211"/>
    </row>
    <row r="36" spans="1:35" ht="18.5">
      <c r="A36" s="3"/>
      <c r="B36" s="90" t="s">
        <v>380</v>
      </c>
      <c r="C36" s="3"/>
      <c r="D36" s="3"/>
      <c r="E36" s="364"/>
      <c r="F36" s="3"/>
      <c r="G36" s="266"/>
      <c r="H36" s="3"/>
      <c r="I36" s="3"/>
      <c r="J36" s="3"/>
      <c r="K36" s="3"/>
      <c r="L36" s="3"/>
      <c r="M36" s="3"/>
      <c r="N36" s="41"/>
      <c r="O36" s="41"/>
      <c r="AI36" s="20"/>
    </row>
    <row r="37" spans="1:35" ht="15" thickBot="1">
      <c r="A37" s="3"/>
      <c r="B37" s="3"/>
      <c r="C37" s="3"/>
      <c r="D37" s="3"/>
      <c r="E37" s="3"/>
      <c r="F37" s="3"/>
      <c r="G37" s="3"/>
      <c r="H37" s="3"/>
      <c r="I37" s="3"/>
      <c r="J37" s="3"/>
      <c r="K37" s="3"/>
      <c r="L37" s="3"/>
      <c r="M37" s="3"/>
      <c r="N37" s="39"/>
      <c r="O37" s="39"/>
    </row>
    <row r="38" spans="1:35" ht="30" customHeight="1">
      <c r="A38" s="3"/>
      <c r="B38" s="401" t="s">
        <v>404</v>
      </c>
      <c r="C38" s="402" t="str">
        <f>CONCATENATE("Cumulative Budget (in ",'Data Entry'!$D$26,")")</f>
        <v>Cumulative Budget (in €)</v>
      </c>
      <c r="D38" s="403" t="str">
        <f>CONCATENATE("Cumulative Expenditures (in ",'Data Entry'!$D$26,")")</f>
        <v>Cumulative Expenditures (in €)</v>
      </c>
      <c r="E38" s="281"/>
      <c r="F38" s="487" t="s">
        <v>442</v>
      </c>
      <c r="G38" s="3"/>
      <c r="H38" s="3"/>
      <c r="I38" s="3"/>
      <c r="J38" s="101"/>
      <c r="K38" s="42"/>
      <c r="N38"/>
      <c r="O38"/>
      <c r="AE38" s="20"/>
      <c r="AF38" s="36"/>
    </row>
    <row r="39" spans="1:35" ht="27.75" customHeight="1">
      <c r="A39" s="3"/>
      <c r="B39" s="404" t="s">
        <v>433</v>
      </c>
      <c r="C39" s="400">
        <f>ROUNDUP(310314.009110482+51611.9347970178+62398.9539840491+51611.9347970178+66398.9539840491,2)</f>
        <v>542335.79</v>
      </c>
      <c r="D39" s="405">
        <f>135006+53205+49335+47529+49499+41093+44115</f>
        <v>419782</v>
      </c>
      <c r="E39" s="298"/>
      <c r="F39" s="375"/>
      <c r="G39" s="376"/>
      <c r="H39" s="3"/>
      <c r="I39" s="3"/>
      <c r="J39" s="102"/>
      <c r="K39" s="43"/>
      <c r="N39"/>
      <c r="O39"/>
      <c r="AE39" s="20"/>
      <c r="AF39" s="36"/>
    </row>
    <row r="40" spans="1:35" ht="14.25" customHeight="1">
      <c r="A40" s="3"/>
      <c r="B40" s="404" t="s">
        <v>434</v>
      </c>
      <c r="C40" s="400">
        <f>ROUNDUP(1220001.07148111+5288.99442454069+16988.9944245407+129062.305402663+275484.902683898,2)</f>
        <v>1646826.27</v>
      </c>
      <c r="D40" s="405">
        <f>780378.759788156+20533+73581</f>
        <v>874492.75978815602</v>
      </c>
      <c r="E40" s="15"/>
      <c r="F40" s="375"/>
      <c r="G40" s="376"/>
      <c r="H40" s="3"/>
      <c r="I40" s="3"/>
      <c r="J40" s="3"/>
      <c r="K40" s="43"/>
      <c r="N40"/>
      <c r="O40"/>
      <c r="AE40" s="20"/>
      <c r="AF40" s="36"/>
    </row>
    <row r="41" spans="1:35" ht="18" customHeight="1">
      <c r="A41" s="3"/>
      <c r="B41" s="406" t="s">
        <v>435</v>
      </c>
      <c r="C41" s="400">
        <f>ROUNDUP(5123348.78576098+0+39187.5716+1324872.60330413,2)</f>
        <v>6487408.9699999997</v>
      </c>
      <c r="D41" s="405">
        <f>2660920.92489551+199757+41000</f>
        <v>2901677.9248955101</v>
      </c>
      <c r="E41" s="15"/>
      <c r="F41" s="377"/>
      <c r="G41" s="3"/>
      <c r="H41" s="3"/>
      <c r="I41" s="3"/>
      <c r="J41" s="3"/>
      <c r="K41" s="43"/>
      <c r="N41"/>
      <c r="O41"/>
      <c r="AE41" s="20"/>
      <c r="AF41" s="36"/>
    </row>
    <row r="42" spans="1:35" ht="27" customHeight="1">
      <c r="A42" s="3"/>
      <c r="B42" s="404" t="s">
        <v>436</v>
      </c>
      <c r="C42" s="400">
        <f>ROUNDUP(1209054.32968344+183675.867686688+183675.867686688+182958.466436688+182958.466436688,2)</f>
        <v>1942323</v>
      </c>
      <c r="D42" s="405">
        <f>223219+127917+109088+74785+121825+13981+78424+86683</f>
        <v>835922</v>
      </c>
      <c r="E42" s="15"/>
      <c r="F42" s="374"/>
      <c r="G42" s="3"/>
      <c r="H42" s="3"/>
      <c r="I42" s="3"/>
      <c r="J42" s="3"/>
      <c r="K42" s="20"/>
      <c r="N42"/>
      <c r="O42"/>
      <c r="AE42" s="20"/>
      <c r="AF42" s="36"/>
    </row>
    <row r="43" spans="1:35">
      <c r="A43" s="3"/>
      <c r="B43" s="406" t="s">
        <v>437</v>
      </c>
      <c r="C43" s="400">
        <f>ROUNDUP(411323.617870244+34077.9743927428+46846.4807718134+28679.0543943024+43170.7778133976,2)</f>
        <v>564097.91</v>
      </c>
      <c r="D43" s="405">
        <f>297788.531290503+83800+117578</f>
        <v>499166.53129050299</v>
      </c>
      <c r="E43" s="15"/>
      <c r="F43" s="299"/>
      <c r="G43" s="3"/>
      <c r="H43" s="3"/>
      <c r="I43" s="3"/>
      <c r="J43" s="3"/>
      <c r="K43" s="20"/>
      <c r="N43"/>
      <c r="O43"/>
      <c r="AE43" s="20"/>
      <c r="AF43" s="36"/>
    </row>
    <row r="44" spans="1:35">
      <c r="A44" s="3"/>
      <c r="B44" s="406"/>
      <c r="C44" s="400"/>
      <c r="D44" s="405"/>
      <c r="E44" s="15"/>
      <c r="F44" s="427"/>
      <c r="G44" s="3"/>
      <c r="H44" s="3"/>
      <c r="I44" s="3"/>
      <c r="J44" s="3"/>
      <c r="K44" s="20"/>
      <c r="N44"/>
      <c r="O44"/>
      <c r="AE44" s="20"/>
      <c r="AF44" s="36"/>
    </row>
    <row r="45" spans="1:35">
      <c r="A45" s="3"/>
      <c r="B45" s="406"/>
      <c r="C45" s="400"/>
      <c r="D45" s="405"/>
      <c r="E45" s="15"/>
      <c r="F45" s="299"/>
      <c r="G45" s="15"/>
      <c r="H45" s="15"/>
      <c r="I45" s="15"/>
      <c r="J45" s="15"/>
      <c r="K45" s="20"/>
      <c r="N45"/>
      <c r="O45"/>
      <c r="AE45" s="36"/>
      <c r="AF45" s="36"/>
    </row>
    <row r="46" spans="1:35" ht="15" thickBot="1">
      <c r="A46" s="3"/>
      <c r="B46" s="407"/>
      <c r="C46" s="399"/>
      <c r="D46" s="405"/>
      <c r="E46" s="15"/>
      <c r="F46" s="15"/>
      <c r="G46" s="15"/>
      <c r="H46" s="15"/>
      <c r="I46" s="15"/>
      <c r="J46" s="15"/>
      <c r="K46" s="20"/>
      <c r="N46"/>
      <c r="O46"/>
      <c r="AE46" s="36"/>
      <c r="AF46" s="36"/>
    </row>
    <row r="47" spans="1:35" ht="15" thickBot="1">
      <c r="A47" s="3"/>
      <c r="B47" s="408" t="s">
        <v>59</v>
      </c>
      <c r="C47" s="409">
        <f>ROUNDUP(SUM(C39:C43),2)</f>
        <v>11182991.939999999</v>
      </c>
      <c r="D47" s="410">
        <f>SUM(D39:D43)</f>
        <v>5531041.2159741689</v>
      </c>
      <c r="E47" s="297"/>
      <c r="F47" s="696" t="str">
        <f ca="1">+IF((ROUND(C47,0)=ROUND(OFFSET(B33,0,RIGHT('Data Entry'!$C$16,LEN('Data Entry'!$C$16)-1),1,1),0)),"OK: Data match","Warning: Data does not match")</f>
        <v>OK: Data match</v>
      </c>
      <c r="G47" s="697"/>
      <c r="H47" s="697"/>
      <c r="I47" s="698"/>
      <c r="J47" s="205"/>
      <c r="K47" s="205"/>
      <c r="L47" s="205"/>
      <c r="M47" s="214"/>
      <c r="N47" s="215"/>
      <c r="O47" s="213"/>
      <c r="P47" s="211"/>
      <c r="AE47" s="36"/>
      <c r="AF47" s="36"/>
    </row>
    <row r="48" spans="1:35">
      <c r="A48" s="3"/>
      <c r="B48" s="3"/>
      <c r="C48" s="205"/>
      <c r="D48" s="205"/>
      <c r="E48" s="278"/>
      <c r="F48" s="205"/>
      <c r="G48" s="205"/>
      <c r="H48" s="205"/>
      <c r="I48" s="205"/>
      <c r="J48" s="205"/>
      <c r="K48" s="205"/>
      <c r="L48" s="205"/>
      <c r="M48" s="205"/>
      <c r="N48" s="205"/>
      <c r="O48" s="205"/>
      <c r="P48" s="214"/>
      <c r="Q48" s="215"/>
      <c r="R48" s="213"/>
      <c r="S48" s="211"/>
    </row>
    <row r="49" spans="1:35" ht="18.5">
      <c r="A49" s="3"/>
      <c r="B49" s="90" t="s">
        <v>379</v>
      </c>
      <c r="C49" s="3"/>
      <c r="D49" s="3"/>
      <c r="E49" s="3"/>
      <c r="F49" s="3"/>
      <c r="G49" s="3"/>
      <c r="H49" s="3"/>
      <c r="I49" s="3"/>
      <c r="J49" s="3"/>
      <c r="K49" s="3"/>
      <c r="L49" s="3"/>
      <c r="M49" s="3"/>
      <c r="P49" s="211"/>
      <c r="Q49" s="212"/>
      <c r="R49" s="213">
        <f>+J33</f>
        <v>9290105.8300000001</v>
      </c>
      <c r="S49" s="211"/>
    </row>
    <row r="50" spans="1:35" ht="15" thickBot="1">
      <c r="A50" s="3"/>
      <c r="B50" s="3"/>
      <c r="C50" s="3"/>
      <c r="D50" s="3"/>
      <c r="E50" s="3"/>
      <c r="F50" s="3"/>
      <c r="G50" s="3"/>
      <c r="H50" s="3"/>
      <c r="I50" s="3"/>
      <c r="J50" s="3"/>
      <c r="K50" s="3"/>
      <c r="L50" s="3"/>
      <c r="M50" s="3"/>
      <c r="P50" s="211"/>
      <c r="Q50" s="212"/>
      <c r="R50" s="213">
        <f>+K33</f>
        <v>11182991.83</v>
      </c>
      <c r="S50" s="211"/>
    </row>
    <row r="51" spans="1:35" ht="35.25" customHeight="1">
      <c r="A51" s="3"/>
      <c r="B51" s="303"/>
      <c r="C51" s="304" t="s">
        <v>377</v>
      </c>
      <c r="D51" s="304" t="s">
        <v>378</v>
      </c>
      <c r="E51" s="425" t="str">
        <f>CONCATENATE("Total Spent and Disbursement (in ",D26,")")</f>
        <v>Total Spent and Disbursement (in €)</v>
      </c>
      <c r="F51" s="3"/>
      <c r="G51" s="488"/>
      <c r="H51" s="300"/>
      <c r="I51" s="286"/>
      <c r="J51" s="286"/>
      <c r="K51" s="286"/>
      <c r="L51" s="286"/>
      <c r="M51" s="22"/>
      <c r="N51" s="22"/>
      <c r="O51" s="211"/>
      <c r="P51" s="212"/>
      <c r="Q51" s="213">
        <f>+M33</f>
        <v>0</v>
      </c>
      <c r="R51" s="211"/>
      <c r="AH51" s="20"/>
    </row>
    <row r="52" spans="1:35">
      <c r="A52" s="3"/>
      <c r="B52" s="301" t="s">
        <v>312</v>
      </c>
      <c r="C52" s="400">
        <f>3784655+43995+I32+J32</f>
        <v>7215160.3399999999</v>
      </c>
      <c r="D52" s="405">
        <f>K32</f>
        <v>0</v>
      </c>
      <c r="E52" s="393">
        <f>+D52+C52</f>
        <v>7215160.3399999999</v>
      </c>
      <c r="F52" s="3"/>
      <c r="G52" s="97"/>
      <c r="H52" s="489"/>
      <c r="I52" s="96"/>
      <c r="J52" s="208"/>
      <c r="K52" s="209"/>
      <c r="L52" s="98"/>
      <c r="M52" s="37"/>
      <c r="N52" s="37"/>
      <c r="O52" s="211"/>
      <c r="P52" s="211"/>
      <c r="Q52" s="211"/>
      <c r="R52" s="211"/>
      <c r="AH52" s="20"/>
    </row>
    <row r="53" spans="1:35">
      <c r="A53" s="3"/>
      <c r="B53" s="301" t="s">
        <v>291</v>
      </c>
      <c r="C53" s="400">
        <f>4744477.21597417+423607</f>
        <v>5168084.2159741698</v>
      </c>
      <c r="D53" s="405">
        <v>362957</v>
      </c>
      <c r="E53" s="393">
        <f>+D53+C53</f>
        <v>5531041.2159741698</v>
      </c>
      <c r="F53" s="3"/>
      <c r="G53" s="260"/>
      <c r="H53" s="305"/>
      <c r="I53" s="96"/>
      <c r="J53" s="208"/>
      <c r="K53" s="208"/>
      <c r="L53" s="98"/>
      <c r="M53" s="38"/>
      <c r="N53" s="38"/>
      <c r="O53" s="211"/>
      <c r="P53" s="211"/>
      <c r="Q53" s="211"/>
      <c r="R53" s="211"/>
      <c r="AH53" s="20"/>
    </row>
    <row r="54" spans="1:35">
      <c r="A54" s="3"/>
      <c r="B54" s="301" t="s">
        <v>270</v>
      </c>
      <c r="C54" s="400">
        <f>231697+105209.426111814+75523+79264+84981+79613</f>
        <v>656287.42611181398</v>
      </c>
      <c r="D54" s="405">
        <v>79619</v>
      </c>
      <c r="E54" s="393">
        <f>+D54+C54</f>
        <v>735906.42611181398</v>
      </c>
      <c r="F54" s="3"/>
      <c r="G54" s="97"/>
      <c r="H54" s="305"/>
      <c r="I54" s="96"/>
      <c r="J54" s="208"/>
      <c r="K54" s="209"/>
      <c r="L54" s="98"/>
      <c r="M54" s="37"/>
      <c r="N54" s="37"/>
      <c r="O54"/>
      <c r="AH54" s="20"/>
    </row>
    <row r="55" spans="1:35" ht="15" thickBot="1">
      <c r="A55" s="3"/>
      <c r="B55" s="302" t="s">
        <v>271</v>
      </c>
      <c r="C55" s="400">
        <f>259978+76134.7765355131+80123+77995.33+83830+79592</f>
        <v>657653.10653551319</v>
      </c>
      <c r="D55" s="405">
        <f>60029.76+93403.8/2.5976</f>
        <v>95987.49021250385</v>
      </c>
      <c r="E55" s="394">
        <f>+D55+C55</f>
        <v>753640.59674801701</v>
      </c>
      <c r="F55" s="3"/>
      <c r="G55" s="261"/>
      <c r="H55" s="306"/>
      <c r="I55" s="99"/>
      <c r="J55" s="99"/>
      <c r="K55" s="99"/>
      <c r="L55" s="98"/>
      <c r="M55" s="38"/>
      <c r="N55" s="38"/>
      <c r="O55"/>
      <c r="AH55" s="20"/>
    </row>
    <row r="56" spans="1:35" ht="15.75" customHeight="1">
      <c r="A56" s="3"/>
      <c r="B56" s="3"/>
      <c r="C56" s="3"/>
      <c r="D56" s="3"/>
      <c r="E56" s="3"/>
      <c r="F56" s="3"/>
      <c r="G56" s="3"/>
      <c r="H56" s="3"/>
      <c r="I56" s="3"/>
      <c r="J56" s="3"/>
      <c r="K56" s="3"/>
      <c r="L56" s="3"/>
      <c r="M56" s="3"/>
      <c r="AI56" s="20"/>
    </row>
    <row r="57" spans="1:35">
      <c r="A57" s="3"/>
      <c r="B57" s="3"/>
      <c r="C57" s="3"/>
      <c r="D57" s="284"/>
      <c r="E57" s="3"/>
      <c r="F57" s="3"/>
      <c r="G57" s="3"/>
      <c r="H57" s="3"/>
      <c r="I57" s="3"/>
      <c r="J57" s="3"/>
      <c r="K57" s="3"/>
      <c r="L57" s="3"/>
      <c r="M57" s="3"/>
    </row>
    <row r="58" spans="1:35" ht="18.5">
      <c r="A58" s="3"/>
      <c r="B58" s="90" t="s">
        <v>382</v>
      </c>
      <c r="C58" s="3"/>
      <c r="D58" s="3"/>
      <c r="E58" s="3"/>
      <c r="F58" s="3"/>
      <c r="G58" s="3"/>
      <c r="H58" s="3"/>
      <c r="I58" s="3"/>
      <c r="J58" s="3"/>
      <c r="K58" s="3"/>
      <c r="L58" s="3"/>
      <c r="M58" s="3"/>
    </row>
    <row r="59" spans="1:35" ht="15" thickBot="1">
      <c r="A59" s="3"/>
      <c r="B59" s="3"/>
      <c r="C59" s="3"/>
      <c r="D59" s="3"/>
      <c r="E59" s="3"/>
      <c r="F59" s="3"/>
      <c r="G59" s="3"/>
      <c r="H59" s="3"/>
      <c r="I59" s="3"/>
      <c r="J59" s="3"/>
      <c r="K59" s="3"/>
      <c r="L59" s="3"/>
      <c r="M59" s="3"/>
    </row>
    <row r="60" spans="1:35">
      <c r="A60" s="3"/>
      <c r="B60" s="614" t="s">
        <v>347</v>
      </c>
      <c r="C60" s="615"/>
      <c r="D60" s="616"/>
      <c r="E60" s="3"/>
      <c r="F60" s="3"/>
      <c r="G60" s="3"/>
      <c r="H60" s="3"/>
      <c r="I60" s="3"/>
      <c r="J60" s="3"/>
      <c r="K60" s="3"/>
      <c r="L60" s="3"/>
      <c r="M60" s="36"/>
      <c r="O60"/>
    </row>
    <row r="61" spans="1:35">
      <c r="A61" s="3"/>
      <c r="B61" s="103"/>
      <c r="C61" s="308" t="s">
        <v>61</v>
      </c>
      <c r="D61" s="309" t="s">
        <v>62</v>
      </c>
      <c r="E61" s="3"/>
      <c r="F61" s="3"/>
      <c r="G61" s="3"/>
      <c r="H61" s="3"/>
      <c r="I61" s="3"/>
      <c r="J61" s="3"/>
      <c r="K61" s="3"/>
      <c r="L61" s="3"/>
      <c r="M61" s="36"/>
      <c r="O61"/>
    </row>
    <row r="62" spans="1:35">
      <c r="A62" s="3"/>
      <c r="B62" s="104" t="s">
        <v>1</v>
      </c>
      <c r="C62" s="400">
        <v>60</v>
      </c>
      <c r="D62" s="405" t="s">
        <v>444</v>
      </c>
      <c r="E62" s="3"/>
      <c r="F62" s="3"/>
      <c r="G62" s="3"/>
      <c r="H62" s="3"/>
      <c r="I62" s="3"/>
      <c r="J62" s="3"/>
      <c r="K62" s="3"/>
      <c r="L62" s="3"/>
      <c r="M62" s="36"/>
      <c r="O62"/>
    </row>
    <row r="63" spans="1:35">
      <c r="A63" s="3"/>
      <c r="B63" s="307" t="s">
        <v>364</v>
      </c>
      <c r="C63" s="400">
        <v>45</v>
      </c>
      <c r="D63" s="405" t="s">
        <v>444</v>
      </c>
      <c r="E63" s="3"/>
      <c r="F63" s="3"/>
      <c r="G63" s="3"/>
      <c r="H63" s="305"/>
      <c r="I63" s="305"/>
      <c r="J63" s="3"/>
      <c r="K63" s="3"/>
      <c r="L63" s="3"/>
      <c r="M63" s="36"/>
      <c r="O63"/>
    </row>
    <row r="64" spans="1:35" ht="15" thickBot="1">
      <c r="A64" s="3"/>
      <c r="B64" s="105" t="s">
        <v>365</v>
      </c>
      <c r="C64" s="400">
        <v>5</v>
      </c>
      <c r="D64" s="405">
        <v>2</v>
      </c>
      <c r="E64" s="3"/>
      <c r="F64" s="3"/>
      <c r="G64" s="3"/>
      <c r="H64" s="305"/>
      <c r="I64" s="305"/>
      <c r="J64" s="3"/>
      <c r="K64" s="3"/>
      <c r="L64" s="3"/>
      <c r="M64" s="36"/>
      <c r="O64"/>
    </row>
    <row r="65" spans="1:30">
      <c r="A65" s="3"/>
      <c r="B65" s="3"/>
      <c r="C65" s="3"/>
      <c r="D65" s="3"/>
      <c r="E65" s="3"/>
      <c r="F65" s="3"/>
      <c r="G65" s="3"/>
      <c r="H65" s="3"/>
      <c r="I65" s="3"/>
      <c r="J65" s="3"/>
      <c r="K65" s="3"/>
      <c r="L65" s="3"/>
      <c r="M65" s="3"/>
    </row>
    <row r="66" spans="1:30" ht="15" thickBot="1">
      <c r="A66" s="3"/>
      <c r="B66" s="3"/>
      <c r="C66" s="3"/>
      <c r="D66" s="3"/>
      <c r="E66" s="3"/>
      <c r="F66" s="3"/>
      <c r="G66" s="3"/>
      <c r="H66" s="3"/>
      <c r="I66" s="3"/>
      <c r="J66" s="3"/>
      <c r="K66" s="3"/>
      <c r="L66" s="421"/>
      <c r="M66" s="3"/>
      <c r="AC66" s="19"/>
      <c r="AD66" s="19"/>
    </row>
    <row r="67" spans="1:30" ht="19" thickBot="1">
      <c r="A67" s="3"/>
      <c r="B67" s="106" t="s">
        <v>264</v>
      </c>
      <c r="C67" s="107"/>
      <c r="D67" s="107"/>
      <c r="E67" s="107"/>
      <c r="F67" s="107"/>
      <c r="G67" s="107"/>
      <c r="H67" s="333" t="s">
        <v>305</v>
      </c>
      <c r="I67" s="107"/>
      <c r="J67" s="108"/>
      <c r="K67" s="108"/>
      <c r="L67" s="422"/>
      <c r="M67" s="423"/>
      <c r="N67" s="84"/>
      <c r="O67" s="84"/>
      <c r="P67" s="84"/>
      <c r="S67" s="44"/>
      <c r="AC67" s="19"/>
      <c r="AD67" s="19"/>
    </row>
    <row r="68" spans="1:30" ht="18.5">
      <c r="A68" s="3"/>
      <c r="B68" s="110"/>
      <c r="C68" s="109"/>
      <c r="D68" s="109"/>
      <c r="E68" s="109"/>
      <c r="F68" s="109"/>
      <c r="G68" s="109"/>
      <c r="H68" s="109"/>
      <c r="I68" s="109"/>
      <c r="J68" s="109"/>
      <c r="K68" s="111"/>
      <c r="L68" s="111"/>
      <c r="M68" s="109"/>
      <c r="N68" s="84"/>
      <c r="O68" s="84"/>
      <c r="P68" s="84"/>
      <c r="S68" s="44"/>
      <c r="AC68" s="19"/>
      <c r="AD68" s="19"/>
    </row>
    <row r="69" spans="1:30" ht="18.5">
      <c r="A69" s="3"/>
      <c r="B69" s="110" t="s">
        <v>383</v>
      </c>
      <c r="C69" s="109"/>
      <c r="D69" s="109"/>
      <c r="E69" s="109"/>
      <c r="F69" s="109"/>
      <c r="G69" s="109"/>
      <c r="H69" s="109"/>
      <c r="I69" s="109"/>
      <c r="J69" s="109"/>
      <c r="K69" s="111"/>
      <c r="L69" s="111"/>
      <c r="M69" s="109"/>
      <c r="N69" s="84"/>
      <c r="O69" s="84"/>
      <c r="P69" s="84"/>
      <c r="S69" s="44"/>
      <c r="AC69" s="19"/>
      <c r="AD69" s="19"/>
    </row>
    <row r="70" spans="1:30" ht="15" thickBot="1">
      <c r="A70" s="3"/>
      <c r="B70" s="2"/>
      <c r="C70" s="112"/>
      <c r="D70" s="112"/>
      <c r="E70" s="112"/>
      <c r="F70" s="112"/>
      <c r="G70" s="112"/>
      <c r="H70" s="2"/>
      <c r="I70" s="112"/>
      <c r="J70" s="2"/>
      <c r="K70" s="2"/>
      <c r="L70" s="2"/>
      <c r="M70" s="2"/>
      <c r="N70" s="20"/>
      <c r="O70" s="19"/>
      <c r="P70" s="19"/>
      <c r="Q70" s="19"/>
      <c r="R70" s="19"/>
      <c r="S70" s="19"/>
      <c r="AD70" s="19"/>
    </row>
    <row r="71" spans="1:30" ht="29">
      <c r="A71" s="3"/>
      <c r="B71" s="655"/>
      <c r="C71" s="656"/>
      <c r="D71" s="114" t="s">
        <v>118</v>
      </c>
      <c r="E71" s="115" t="s">
        <v>297</v>
      </c>
      <c r="F71" s="115" t="s">
        <v>119</v>
      </c>
      <c r="G71" s="116" t="s">
        <v>59</v>
      </c>
      <c r="H71" s="317"/>
      <c r="I71" s="318"/>
      <c r="J71" s="15"/>
      <c r="K71" s="2"/>
      <c r="L71" s="2"/>
      <c r="M71" s="2"/>
      <c r="N71" s="20"/>
      <c r="O71" s="19"/>
      <c r="P71" s="19"/>
      <c r="Q71" s="19"/>
      <c r="R71" s="19"/>
      <c r="S71" s="19"/>
    </row>
    <row r="72" spans="1:30">
      <c r="A72" s="3"/>
      <c r="B72" s="666" t="s">
        <v>403</v>
      </c>
      <c r="C72" s="667"/>
      <c r="D72" s="263">
        <v>6</v>
      </c>
      <c r="E72" s="263">
        <v>0</v>
      </c>
      <c r="F72" s="263">
        <v>0</v>
      </c>
      <c r="G72" s="118">
        <v>6</v>
      </c>
      <c r="H72" s="299"/>
      <c r="I72" s="316"/>
      <c r="J72" s="316"/>
      <c r="K72" s="2"/>
      <c r="L72" s="2"/>
      <c r="M72" s="2"/>
      <c r="N72" s="20"/>
      <c r="O72" s="19"/>
      <c r="P72" s="19"/>
      <c r="Q72" s="19"/>
      <c r="R72" s="19"/>
      <c r="S72" s="19"/>
    </row>
    <row r="73" spans="1:30" ht="15" thickBot="1">
      <c r="A73" s="3"/>
      <c r="B73" s="624" t="s">
        <v>11</v>
      </c>
      <c r="C73" s="625"/>
      <c r="D73" s="264">
        <v>5</v>
      </c>
      <c r="E73" s="264">
        <v>1</v>
      </c>
      <c r="F73" s="264">
        <v>0</v>
      </c>
      <c r="G73" s="120">
        <f>SUM(D73:F73)</f>
        <v>6</v>
      </c>
      <c r="H73" s="299"/>
      <c r="I73" s="15"/>
      <c r="J73" s="15"/>
      <c r="K73" s="2"/>
      <c r="L73" s="2"/>
      <c r="M73" s="2"/>
      <c r="N73" s="19"/>
      <c r="O73" s="19"/>
      <c r="P73" s="19"/>
      <c r="Q73" s="19"/>
      <c r="R73" s="19"/>
      <c r="S73" s="19"/>
    </row>
    <row r="74" spans="1:30">
      <c r="A74" s="3"/>
      <c r="B74" s="2"/>
      <c r="C74" s="2"/>
      <c r="D74" s="2"/>
      <c r="E74" s="2"/>
      <c r="F74" s="2"/>
      <c r="G74" s="2"/>
      <c r="H74" s="2"/>
      <c r="I74" s="2"/>
      <c r="J74" s="2"/>
      <c r="K74" s="2"/>
      <c r="L74" s="2"/>
      <c r="M74" s="2"/>
      <c r="N74" s="19"/>
      <c r="O74" s="19"/>
      <c r="P74" s="19"/>
      <c r="Q74" s="19"/>
      <c r="R74" s="19"/>
      <c r="S74" s="19"/>
    </row>
    <row r="75" spans="1:30">
      <c r="A75" s="3"/>
      <c r="B75" s="2"/>
      <c r="C75" s="2"/>
      <c r="D75" s="2"/>
      <c r="E75" s="2"/>
      <c r="F75" s="2"/>
      <c r="G75" s="2"/>
      <c r="H75" s="2"/>
      <c r="I75" s="2"/>
      <c r="J75" s="2"/>
      <c r="K75" s="2"/>
      <c r="L75" s="2"/>
      <c r="M75" s="2"/>
      <c r="N75" s="19"/>
      <c r="O75" s="19"/>
      <c r="P75" s="19"/>
      <c r="S75" s="19"/>
    </row>
    <row r="76" spans="1:30" ht="18.5">
      <c r="A76" s="3"/>
      <c r="B76" s="110" t="s">
        <v>384</v>
      </c>
      <c r="C76" s="2"/>
      <c r="D76" s="2"/>
      <c r="E76" s="2"/>
      <c r="F76" s="2"/>
      <c r="G76" s="2"/>
      <c r="H76" s="2"/>
      <c r="I76" s="2"/>
      <c r="J76" s="2"/>
      <c r="K76" s="2"/>
      <c r="L76" s="2"/>
      <c r="M76" s="2"/>
      <c r="N76" s="19"/>
      <c r="O76" s="19"/>
      <c r="P76" s="19"/>
      <c r="S76" s="19"/>
    </row>
    <row r="77" spans="1:30" ht="15" thickBot="1">
      <c r="A77" s="3"/>
      <c r="B77" s="2"/>
      <c r="C77" s="2"/>
      <c r="D77" s="2"/>
      <c r="E77" s="2"/>
      <c r="F77" s="2"/>
      <c r="G77" s="2"/>
      <c r="H77" s="2"/>
      <c r="I77" s="2"/>
      <c r="J77" s="2"/>
      <c r="K77" s="2"/>
      <c r="L77" s="2"/>
      <c r="M77" s="2"/>
      <c r="N77" s="19"/>
      <c r="O77" s="19"/>
      <c r="P77" s="19"/>
      <c r="S77" s="19"/>
    </row>
    <row r="78" spans="1:30">
      <c r="A78" s="3"/>
      <c r="B78" s="121"/>
      <c r="C78" s="113" t="s">
        <v>64</v>
      </c>
      <c r="D78" s="113" t="s">
        <v>82</v>
      </c>
      <c r="E78" s="122" t="s">
        <v>65</v>
      </c>
      <c r="F78" s="15"/>
      <c r="G78" s="15"/>
      <c r="H78" s="15"/>
      <c r="I78" s="318"/>
      <c r="J78" s="2"/>
      <c r="K78" s="2"/>
      <c r="L78" s="2"/>
      <c r="M78" s="2"/>
      <c r="N78" s="19"/>
      <c r="O78" s="19"/>
      <c r="P78" s="19"/>
      <c r="S78" s="19"/>
    </row>
    <row r="79" spans="1:30" ht="15" thickBot="1">
      <c r="A79" s="3"/>
      <c r="B79" s="123" t="s">
        <v>313</v>
      </c>
      <c r="C79" s="365">
        <v>11</v>
      </c>
      <c r="D79" s="365">
        <v>11</v>
      </c>
      <c r="E79" s="366">
        <f>+C79-D79</f>
        <v>0</v>
      </c>
      <c r="F79" s="271"/>
      <c r="G79" s="279"/>
      <c r="H79" s="15"/>
      <c r="I79" s="316"/>
      <c r="J79" s="2"/>
      <c r="K79" s="2"/>
      <c r="L79" s="2"/>
      <c r="M79" s="2"/>
      <c r="N79" s="19"/>
      <c r="O79" s="19"/>
      <c r="P79" s="19"/>
      <c r="S79" s="19"/>
    </row>
    <row r="80" spans="1:30">
      <c r="A80" s="3"/>
      <c r="B80" s="2"/>
      <c r="C80" s="2"/>
      <c r="D80" s="2"/>
      <c r="E80" s="2"/>
      <c r="F80" s="2"/>
      <c r="G80" s="2"/>
      <c r="H80" s="2"/>
      <c r="I80" s="2"/>
      <c r="J80" s="2"/>
      <c r="K80" s="2"/>
      <c r="L80" s="2"/>
      <c r="M80" s="2"/>
      <c r="N80" s="19"/>
      <c r="O80" s="19"/>
      <c r="P80" s="19"/>
      <c r="S80" s="19"/>
    </row>
    <row r="81" spans="1:36" ht="18.5">
      <c r="A81" s="3"/>
      <c r="B81" s="110" t="s">
        <v>389</v>
      </c>
      <c r="C81" s="2"/>
      <c r="D81" s="2"/>
      <c r="E81" s="2"/>
      <c r="F81" s="2"/>
      <c r="G81" s="2"/>
      <c r="H81" s="2"/>
      <c r="I81" s="2"/>
      <c r="J81" s="2"/>
      <c r="K81" s="2"/>
      <c r="L81" s="2"/>
      <c r="M81" s="2"/>
      <c r="N81" s="19"/>
      <c r="O81" s="19"/>
      <c r="P81" s="19"/>
      <c r="S81" s="19"/>
    </row>
    <row r="82" spans="1:36" ht="15" thickBot="1">
      <c r="A82" s="3"/>
      <c r="B82" s="2"/>
      <c r="C82" s="2"/>
      <c r="D82" s="2"/>
      <c r="E82" s="2"/>
      <c r="F82" s="2"/>
      <c r="G82" s="2"/>
      <c r="H82" s="2"/>
      <c r="I82" s="2"/>
      <c r="J82" s="2"/>
      <c r="K82" s="2"/>
      <c r="L82" s="2"/>
      <c r="M82" s="2"/>
      <c r="N82" s="19"/>
      <c r="O82" s="19"/>
      <c r="P82" s="19"/>
      <c r="S82" s="19"/>
    </row>
    <row r="83" spans="1:36">
      <c r="A83" s="3"/>
      <c r="B83" s="121"/>
      <c r="C83" s="113" t="s">
        <v>292</v>
      </c>
      <c r="D83" s="113" t="s">
        <v>68</v>
      </c>
      <c r="E83" s="113" t="s">
        <v>83</v>
      </c>
      <c r="F83" s="113" t="s">
        <v>69</v>
      </c>
      <c r="G83" s="153" t="s">
        <v>120</v>
      </c>
      <c r="H83" s="280"/>
      <c r="I83" s="318"/>
      <c r="J83" s="2"/>
      <c r="K83" s="2"/>
      <c r="L83" s="2"/>
      <c r="M83" s="2"/>
      <c r="N83" s="19"/>
      <c r="O83" s="19"/>
      <c r="P83" s="19"/>
      <c r="S83" s="19"/>
    </row>
    <row r="84" spans="1:36" ht="15" thickBot="1">
      <c r="A84" s="3"/>
      <c r="B84" s="123" t="s">
        <v>128</v>
      </c>
      <c r="C84" s="365">
        <v>1</v>
      </c>
      <c r="D84" s="365">
        <v>1</v>
      </c>
      <c r="E84" s="365">
        <v>1</v>
      </c>
      <c r="F84" s="365">
        <v>1</v>
      </c>
      <c r="G84" s="367">
        <v>1</v>
      </c>
      <c r="H84" s="319"/>
      <c r="I84" s="299"/>
      <c r="J84" s="2"/>
      <c r="K84" s="2"/>
      <c r="L84" s="2"/>
      <c r="M84" s="2"/>
      <c r="N84" s="19"/>
      <c r="O84" s="19"/>
      <c r="P84" s="19"/>
      <c r="S84" s="19"/>
    </row>
    <row r="85" spans="1:36">
      <c r="A85" s="3"/>
      <c r="B85" s="2"/>
      <c r="C85" s="2"/>
      <c r="D85" s="2"/>
      <c r="E85" s="2"/>
      <c r="F85" s="2"/>
      <c r="G85" s="2"/>
      <c r="H85" s="2"/>
      <c r="J85" s="2"/>
      <c r="K85" s="2"/>
      <c r="L85" s="2"/>
      <c r="M85" s="2"/>
      <c r="N85" s="19"/>
      <c r="O85" s="19"/>
      <c r="P85" s="19"/>
      <c r="S85" s="19"/>
    </row>
    <row r="86" spans="1:36" ht="18.5">
      <c r="A86" s="3"/>
      <c r="B86" s="110" t="s">
        <v>385</v>
      </c>
      <c r="C86" s="2"/>
      <c r="D86" s="2"/>
      <c r="E86" s="2"/>
      <c r="F86" s="2"/>
      <c r="G86" s="2"/>
      <c r="H86" s="2"/>
      <c r="I86" s="2"/>
      <c r="J86" s="2"/>
      <c r="K86" s="2"/>
      <c r="L86" s="2"/>
      <c r="M86" s="2"/>
      <c r="N86" s="19"/>
      <c r="O86" s="19"/>
      <c r="P86" s="19"/>
      <c r="S86" s="19"/>
    </row>
    <row r="87" spans="1:36" ht="15" thickBot="1">
      <c r="A87" s="3"/>
      <c r="B87" s="2"/>
      <c r="C87" s="2"/>
      <c r="D87" s="2"/>
      <c r="E87" s="2"/>
      <c r="F87" s="2"/>
      <c r="G87" s="2"/>
      <c r="H87" s="2"/>
      <c r="I87" s="2"/>
      <c r="J87" s="2"/>
      <c r="K87" s="2"/>
      <c r="L87" s="2"/>
      <c r="M87" s="2"/>
      <c r="N87" s="19"/>
      <c r="O87" s="19"/>
      <c r="P87" s="19"/>
      <c r="S87" s="19"/>
    </row>
    <row r="88" spans="1:36">
      <c r="A88" s="3"/>
      <c r="B88" s="121"/>
      <c r="C88" s="124" t="s">
        <v>66</v>
      </c>
      <c r="D88" s="124" t="s">
        <v>67</v>
      </c>
      <c r="E88" s="125" t="s">
        <v>289</v>
      </c>
      <c r="F88" s="2"/>
      <c r="G88" s="2"/>
      <c r="H88" s="2"/>
      <c r="I88" s="2"/>
      <c r="J88" s="19"/>
      <c r="K88" s="19"/>
      <c r="L88" s="19"/>
      <c r="N88"/>
      <c r="O88" s="19"/>
      <c r="AG88" s="36"/>
      <c r="AJ88"/>
    </row>
    <row r="89" spans="1:36">
      <c r="A89" s="3"/>
      <c r="B89" s="117" t="s">
        <v>390</v>
      </c>
      <c r="C89" s="263"/>
      <c r="D89" s="265"/>
      <c r="E89" s="320">
        <f>C89-D89</f>
        <v>0</v>
      </c>
      <c r="F89" s="2"/>
      <c r="G89" s="2"/>
      <c r="H89" s="2"/>
      <c r="I89" s="2"/>
      <c r="J89" s="19"/>
      <c r="K89" s="19"/>
      <c r="L89" s="19"/>
      <c r="N89"/>
      <c r="O89" s="19"/>
      <c r="AG89" s="36"/>
      <c r="AJ89"/>
    </row>
    <row r="90" spans="1:36" ht="15" thickBot="1">
      <c r="A90" s="3"/>
      <c r="B90" s="119" t="s">
        <v>391</v>
      </c>
      <c r="C90" s="264">
        <v>3</v>
      </c>
      <c r="D90" s="321">
        <v>3</v>
      </c>
      <c r="E90" s="475">
        <f>C90-D90</f>
        <v>0</v>
      </c>
      <c r="F90" s="2"/>
      <c r="G90" s="2"/>
      <c r="H90" s="2"/>
      <c r="I90" s="2"/>
      <c r="J90" s="19"/>
      <c r="K90" s="19"/>
      <c r="L90" s="19"/>
      <c r="N90"/>
      <c r="O90" s="19"/>
      <c r="AG90" s="36"/>
      <c r="AJ90"/>
    </row>
    <row r="91" spans="1:36">
      <c r="A91" s="3"/>
      <c r="B91" s="2"/>
      <c r="C91" s="2"/>
      <c r="D91" s="2"/>
      <c r="E91" s="2"/>
      <c r="F91" s="2"/>
      <c r="G91" s="2"/>
      <c r="H91" s="2"/>
      <c r="I91" s="2"/>
      <c r="J91" s="2"/>
      <c r="K91" s="2"/>
      <c r="L91" s="2"/>
      <c r="M91" s="2"/>
      <c r="N91" s="19"/>
      <c r="O91" s="19"/>
      <c r="P91" s="19"/>
      <c r="S91" s="19"/>
    </row>
    <row r="92" spans="1:36" ht="18.5">
      <c r="A92" s="3"/>
      <c r="B92" s="110" t="s">
        <v>392</v>
      </c>
      <c r="C92" s="2"/>
      <c r="D92" s="2"/>
      <c r="E92" s="2"/>
      <c r="F92" s="2"/>
      <c r="G92" s="2"/>
      <c r="H92" s="2"/>
      <c r="I92" s="2"/>
      <c r="J92" s="2"/>
      <c r="K92" s="2"/>
      <c r="L92" s="2"/>
      <c r="M92" s="2"/>
      <c r="N92" s="19"/>
      <c r="O92" s="19"/>
      <c r="P92" s="19"/>
      <c r="S92" s="19"/>
    </row>
    <row r="93" spans="1:36" ht="15" thickBot="1">
      <c r="A93" s="3"/>
      <c r="B93" s="2"/>
      <c r="C93" s="2"/>
      <c r="D93" s="2"/>
      <c r="E93" s="2"/>
      <c r="F93" s="2"/>
      <c r="G93" s="2"/>
      <c r="H93" s="2"/>
      <c r="I93" s="15"/>
      <c r="J93" s="15"/>
      <c r="K93" s="15"/>
      <c r="L93" s="15"/>
      <c r="M93" s="15"/>
      <c r="N93" s="20"/>
      <c r="O93" s="20"/>
      <c r="P93" s="20"/>
      <c r="S93" s="19"/>
    </row>
    <row r="94" spans="1:36">
      <c r="A94" s="3"/>
      <c r="B94" s="223"/>
      <c r="C94" s="381" t="s">
        <v>106</v>
      </c>
      <c r="D94" s="381" t="s">
        <v>107</v>
      </c>
      <c r="E94" s="381" t="s">
        <v>108</v>
      </c>
      <c r="F94" s="381" t="s">
        <v>109</v>
      </c>
      <c r="G94" s="381" t="s">
        <v>121</v>
      </c>
      <c r="H94" s="381" t="s">
        <v>122</v>
      </c>
      <c r="I94" s="381" t="s">
        <v>123</v>
      </c>
      <c r="J94" s="381" t="s">
        <v>124</v>
      </c>
      <c r="K94" s="381" t="s">
        <v>125</v>
      </c>
      <c r="L94" s="381" t="s">
        <v>126</v>
      </c>
      <c r="M94" s="381" t="s">
        <v>127</v>
      </c>
      <c r="N94" s="382" t="s">
        <v>288</v>
      </c>
      <c r="O94" s="20"/>
      <c r="P94" s="20"/>
      <c r="S94" s="19"/>
    </row>
    <row r="95" spans="1:36" ht="15" customHeight="1">
      <c r="A95" s="3"/>
      <c r="B95" s="383" t="s">
        <v>369</v>
      </c>
      <c r="C95" s="368">
        <v>412658</v>
      </c>
      <c r="D95" s="368">
        <v>0</v>
      </c>
      <c r="E95" s="368">
        <v>2179104</v>
      </c>
      <c r="F95" s="368">
        <v>174273</v>
      </c>
      <c r="G95" s="368">
        <v>2960715</v>
      </c>
      <c r="H95" s="368">
        <v>0</v>
      </c>
      <c r="I95" s="368">
        <v>11700</v>
      </c>
      <c r="J95" s="368">
        <v>116799</v>
      </c>
      <c r="K95" s="368">
        <v>1481720</v>
      </c>
      <c r="L95" s="368"/>
      <c r="M95" s="368"/>
      <c r="N95" s="476"/>
      <c r="O95" s="20"/>
      <c r="P95" s="20"/>
      <c r="S95" s="19"/>
    </row>
    <row r="96" spans="1:36" ht="15" customHeight="1">
      <c r="A96" s="3"/>
      <c r="B96" s="383" t="s">
        <v>366</v>
      </c>
      <c r="C96" s="368">
        <v>0</v>
      </c>
      <c r="D96" s="368">
        <v>0</v>
      </c>
      <c r="E96" s="368">
        <v>0</v>
      </c>
      <c r="F96" s="368">
        <f>(9997+6190+3348+2173+1760)/2.4139</f>
        <v>9722.0265959650369</v>
      </c>
      <c r="G96" s="368">
        <v>279785</v>
      </c>
      <c r="H96" s="368">
        <f>229825/2.597</f>
        <v>88496.34193299961</v>
      </c>
      <c r="I96" s="368">
        <v>139811</v>
      </c>
      <c r="J96" s="368">
        <f>169243/2.6795</f>
        <v>63162.157118865463</v>
      </c>
      <c r="K96" s="368">
        <f>480191/2.5976</f>
        <v>184859.48567908839</v>
      </c>
      <c r="L96" s="368"/>
      <c r="M96" s="368"/>
      <c r="N96" s="476"/>
      <c r="O96" s="20"/>
      <c r="P96" s="20"/>
      <c r="S96" s="19"/>
    </row>
    <row r="97" spans="1:19" ht="15" customHeight="1">
      <c r="A97" s="3"/>
      <c r="B97" s="383" t="s">
        <v>314</v>
      </c>
      <c r="C97" s="368">
        <v>0</v>
      </c>
      <c r="D97" s="368">
        <v>0</v>
      </c>
      <c r="E97" s="368">
        <f>252919+2158932</f>
        <v>2411851</v>
      </c>
      <c r="F97" s="368">
        <v>11288</v>
      </c>
      <c r="G97" s="368">
        <v>40857</v>
      </c>
      <c r="H97" s="368">
        <v>386885</v>
      </c>
      <c r="I97" s="368">
        <f>169960+36910</f>
        <v>206870</v>
      </c>
      <c r="J97" s="368">
        <v>166497</v>
      </c>
      <c r="K97" s="368">
        <v>107507</v>
      </c>
      <c r="L97" s="368"/>
      <c r="M97" s="368"/>
      <c r="N97" s="476"/>
      <c r="O97" s="20"/>
      <c r="P97" s="20"/>
      <c r="S97" s="19"/>
    </row>
    <row r="98" spans="1:19" ht="15" customHeight="1">
      <c r="A98" s="3"/>
      <c r="B98" s="323" t="s">
        <v>412</v>
      </c>
      <c r="C98" s="369">
        <f>+C95</f>
        <v>412658</v>
      </c>
      <c r="D98" s="369">
        <f t="shared" ref="D98:N98" si="3">+C98+D95</f>
        <v>412658</v>
      </c>
      <c r="E98" s="369">
        <f>+D98+E95</f>
        <v>2591762</v>
      </c>
      <c r="F98" s="369">
        <f t="shared" si="3"/>
        <v>2766035</v>
      </c>
      <c r="G98" s="369">
        <f t="shared" si="3"/>
        <v>5726750</v>
      </c>
      <c r="H98" s="369">
        <f t="shared" si="3"/>
        <v>5726750</v>
      </c>
      <c r="I98" s="369">
        <f t="shared" si="3"/>
        <v>5738450</v>
      </c>
      <c r="J98" s="369">
        <f t="shared" si="3"/>
        <v>5855249</v>
      </c>
      <c r="K98" s="369">
        <f t="shared" si="3"/>
        <v>7336969</v>
      </c>
      <c r="L98" s="369">
        <f t="shared" si="3"/>
        <v>7336969</v>
      </c>
      <c r="M98" s="369">
        <f t="shared" si="3"/>
        <v>7336969</v>
      </c>
      <c r="N98" s="477">
        <f t="shared" si="3"/>
        <v>7336969</v>
      </c>
      <c r="O98" s="20"/>
      <c r="P98" s="20"/>
      <c r="S98" s="19"/>
    </row>
    <row r="99" spans="1:19" ht="15" customHeight="1">
      <c r="A99" s="3"/>
      <c r="B99" s="323" t="s">
        <v>5</v>
      </c>
      <c r="C99" s="369">
        <f>+C96</f>
        <v>0</v>
      </c>
      <c r="D99" s="369">
        <f t="shared" ref="D99:N99" si="4">+C99+D96</f>
        <v>0</v>
      </c>
      <c r="E99" s="369">
        <f>+D99+E96</f>
        <v>0</v>
      </c>
      <c r="F99" s="369">
        <f t="shared" si="4"/>
        <v>9722.0265959650369</v>
      </c>
      <c r="G99" s="369">
        <f t="shared" si="4"/>
        <v>289507.02659596503</v>
      </c>
      <c r="H99" s="369">
        <f t="shared" si="4"/>
        <v>378003.36852896464</v>
      </c>
      <c r="I99" s="369">
        <f t="shared" si="4"/>
        <v>517814.36852896464</v>
      </c>
      <c r="J99" s="369">
        <f t="shared" si="4"/>
        <v>580976.5256478301</v>
      </c>
      <c r="K99" s="369">
        <f t="shared" si="4"/>
        <v>765836.01132691849</v>
      </c>
      <c r="L99" s="369">
        <f t="shared" si="4"/>
        <v>765836.01132691849</v>
      </c>
      <c r="M99" s="369">
        <f t="shared" si="4"/>
        <v>765836.01132691849</v>
      </c>
      <c r="N99" s="477">
        <f t="shared" si="4"/>
        <v>765836.01132691849</v>
      </c>
      <c r="O99" s="20"/>
      <c r="P99" s="20"/>
      <c r="S99" s="19"/>
    </row>
    <row r="100" spans="1:19" ht="15" thickBot="1">
      <c r="A100" s="3"/>
      <c r="B100" s="472" t="s">
        <v>6</v>
      </c>
      <c r="C100" s="473">
        <f>+C97</f>
        <v>0</v>
      </c>
      <c r="D100" s="474">
        <f t="shared" ref="D100:N100" si="5">+C100+D97</f>
        <v>0</v>
      </c>
      <c r="E100" s="474">
        <f>+D100+E97</f>
        <v>2411851</v>
      </c>
      <c r="F100" s="474">
        <f t="shared" si="5"/>
        <v>2423139</v>
      </c>
      <c r="G100" s="474">
        <f t="shared" si="5"/>
        <v>2463996</v>
      </c>
      <c r="H100" s="474">
        <f t="shared" si="5"/>
        <v>2850881</v>
      </c>
      <c r="I100" s="474">
        <f t="shared" si="5"/>
        <v>3057751</v>
      </c>
      <c r="J100" s="474">
        <f t="shared" si="5"/>
        <v>3224248</v>
      </c>
      <c r="K100" s="474">
        <f t="shared" si="5"/>
        <v>3331755</v>
      </c>
      <c r="L100" s="474">
        <f t="shared" si="5"/>
        <v>3331755</v>
      </c>
      <c r="M100" s="474">
        <f t="shared" si="5"/>
        <v>3331755</v>
      </c>
      <c r="N100" s="478">
        <f t="shared" si="5"/>
        <v>3331755</v>
      </c>
      <c r="O100" s="20"/>
      <c r="P100" s="20"/>
      <c r="S100" s="19"/>
    </row>
    <row r="101" spans="1:19">
      <c r="A101" s="3"/>
      <c r="B101" s="3"/>
      <c r="C101" s="2"/>
      <c r="D101" s="2"/>
      <c r="E101" s="2"/>
      <c r="F101" s="2"/>
      <c r="G101" s="2"/>
      <c r="H101" s="2"/>
      <c r="I101" s="15"/>
      <c r="J101" s="126"/>
      <c r="K101" s="127"/>
      <c r="L101" s="15"/>
      <c r="M101" s="128"/>
      <c r="N101" s="20"/>
      <c r="O101" s="20"/>
      <c r="P101" s="20"/>
      <c r="S101" s="19"/>
    </row>
    <row r="102" spans="1:19">
      <c r="A102" s="3"/>
      <c r="B102" s="2" t="s">
        <v>406</v>
      </c>
      <c r="C102" s="2"/>
      <c r="D102" s="2"/>
      <c r="E102" s="2"/>
      <c r="F102" s="2"/>
      <c r="G102" s="2"/>
      <c r="H102" s="2"/>
      <c r="I102" s="15"/>
      <c r="J102" s="126"/>
      <c r="K102" s="127"/>
      <c r="L102" s="15"/>
      <c r="M102" s="128"/>
      <c r="N102" s="20"/>
      <c r="O102" s="20"/>
      <c r="P102" s="20"/>
      <c r="S102" s="19"/>
    </row>
    <row r="103" spans="1:19">
      <c r="A103" s="3"/>
      <c r="C103" s="2"/>
      <c r="D103" s="2"/>
      <c r="E103" s="2"/>
      <c r="F103" s="2"/>
      <c r="G103" s="2"/>
      <c r="H103" s="2"/>
      <c r="I103" s="15"/>
      <c r="J103" s="126"/>
      <c r="K103" s="128"/>
      <c r="L103" s="15"/>
      <c r="M103" s="128"/>
      <c r="N103" s="20"/>
      <c r="O103" s="20"/>
      <c r="P103" s="20"/>
      <c r="S103" s="19"/>
    </row>
    <row r="104" spans="1:19">
      <c r="A104" s="3"/>
      <c r="B104" s="3"/>
      <c r="C104" s="3"/>
      <c r="D104" s="3"/>
      <c r="E104" s="3"/>
      <c r="F104" s="3"/>
      <c r="G104" s="3"/>
      <c r="H104" s="3"/>
      <c r="I104" s="15"/>
      <c r="J104" s="15"/>
      <c r="K104" s="15"/>
      <c r="L104" s="15"/>
      <c r="M104" s="15"/>
      <c r="N104" s="20"/>
      <c r="O104" s="20"/>
      <c r="P104" s="20"/>
    </row>
    <row r="105" spans="1:19" ht="18.5">
      <c r="A105" s="3"/>
      <c r="B105" s="110" t="s">
        <v>386</v>
      </c>
      <c r="C105" s="3"/>
      <c r="D105" s="3"/>
      <c r="E105" s="3"/>
      <c r="F105" s="3"/>
      <c r="G105" s="3"/>
      <c r="H105" s="3"/>
      <c r="I105" s="15"/>
      <c r="J105" s="15"/>
      <c r="K105" s="15"/>
      <c r="L105" s="15"/>
      <c r="M105" s="15"/>
      <c r="N105" s="20"/>
      <c r="O105" s="20"/>
      <c r="P105" s="20"/>
    </row>
    <row r="106" spans="1:19" ht="15" thickBot="1">
      <c r="A106" s="3"/>
      <c r="B106" s="3"/>
      <c r="C106" s="15"/>
      <c r="D106" s="15"/>
      <c r="E106" s="15"/>
      <c r="F106" s="15"/>
      <c r="G106" s="2"/>
      <c r="H106" s="2"/>
      <c r="I106" s="2"/>
      <c r="J106" s="15"/>
      <c r="K106" s="2"/>
      <c r="L106" s="15"/>
      <c r="M106" s="15"/>
      <c r="N106" s="20"/>
      <c r="O106" s="20"/>
      <c r="P106" s="20"/>
      <c r="Q106" s="19"/>
      <c r="S106" s="20"/>
    </row>
    <row r="107" spans="1:19" ht="90.75" customHeight="1">
      <c r="A107" s="3"/>
      <c r="B107" s="324" t="s">
        <v>33</v>
      </c>
      <c r="C107" s="325" t="s">
        <v>80</v>
      </c>
      <c r="D107" s="327" t="s">
        <v>368</v>
      </c>
      <c r="E107" s="327" t="s">
        <v>337</v>
      </c>
      <c r="F107" s="326" t="s">
        <v>338</v>
      </c>
      <c r="G107" s="326" t="s">
        <v>339</v>
      </c>
      <c r="H107" s="327" t="s">
        <v>340</v>
      </c>
      <c r="I107" s="327" t="s">
        <v>341</v>
      </c>
      <c r="J107" s="327" t="s">
        <v>342</v>
      </c>
      <c r="K107" s="328" t="s">
        <v>343</v>
      </c>
      <c r="L107" s="2"/>
      <c r="M107" s="20"/>
      <c r="N107" s="20"/>
      <c r="O107" s="20"/>
      <c r="P107" s="19"/>
      <c r="R107" s="20"/>
    </row>
    <row r="108" spans="1:19">
      <c r="A108" s="3"/>
      <c r="B108" s="659" t="s">
        <v>35</v>
      </c>
      <c r="C108" s="412" t="s">
        <v>416</v>
      </c>
      <c r="D108" s="413">
        <v>3</v>
      </c>
      <c r="E108" s="414">
        <f>IF(ISBLANK(D108),"",D108*30)</f>
        <v>90</v>
      </c>
      <c r="F108" s="370">
        <v>350</v>
      </c>
      <c r="G108" s="371">
        <f>IF(AND(E108&gt;0,F108&gt;0),(F108*E108),"")</f>
        <v>31500</v>
      </c>
      <c r="H108" s="370">
        <v>634400</v>
      </c>
      <c r="I108" s="430">
        <f>IF(AND(G108&gt;0,H108&gt;0),H108/G108,"")</f>
        <v>20.139682539682539</v>
      </c>
      <c r="J108" s="415">
        <v>4</v>
      </c>
      <c r="K108" s="479">
        <f>IF(AND(I108&gt;0,J108&gt;0),I108-J108,"")</f>
        <v>16.139682539682539</v>
      </c>
      <c r="L108" s="2"/>
      <c r="M108" s="20"/>
      <c r="N108" s="20"/>
      <c r="O108" s="20"/>
      <c r="P108" s="19"/>
      <c r="R108" s="20"/>
    </row>
    <row r="109" spans="1:19">
      <c r="A109" s="3"/>
      <c r="B109" s="660"/>
      <c r="C109" s="412" t="s">
        <v>428</v>
      </c>
      <c r="D109" s="413">
        <v>2</v>
      </c>
      <c r="E109" s="414">
        <f>IF(ISBLANK(D109),"",D109*30)</f>
        <v>60</v>
      </c>
      <c r="F109" s="370">
        <v>200</v>
      </c>
      <c r="G109" s="371">
        <f>IF(AND(E109&gt;0,F109&gt;0),(F109*E109),"")</f>
        <v>12000</v>
      </c>
      <c r="H109" s="370">
        <v>194345</v>
      </c>
      <c r="I109" s="430">
        <f>IF(AND(G109&gt;0,H109&gt;0),H109/G109,"")</f>
        <v>16.195416666666667</v>
      </c>
      <c r="J109" s="415">
        <v>4</v>
      </c>
      <c r="K109" s="479">
        <f>IF(AND(I109&gt;0,J109&gt;0),I109-J109,"")</f>
        <v>12.195416666666667</v>
      </c>
      <c r="L109" s="2"/>
      <c r="M109" s="20"/>
      <c r="N109" s="20"/>
      <c r="O109" s="20"/>
      <c r="P109" s="19"/>
    </row>
    <row r="110" spans="1:19">
      <c r="A110" s="3"/>
      <c r="B110" s="660"/>
      <c r="C110" s="412" t="s">
        <v>429</v>
      </c>
      <c r="D110" s="413">
        <v>2</v>
      </c>
      <c r="E110" s="414">
        <f>IF(ISBLANK(D110),"",D110*30)</f>
        <v>60</v>
      </c>
      <c r="F110" s="370">
        <v>50</v>
      </c>
      <c r="G110" s="371">
        <f>IF(AND(E110&gt;0,F110&gt;0),(F110*E110),"")</f>
        <v>3000</v>
      </c>
      <c r="H110" s="370">
        <v>35840</v>
      </c>
      <c r="I110" s="430">
        <f>IF(AND(G110&gt;0,H110&gt;0),H110/G110,"")</f>
        <v>11.946666666666667</v>
      </c>
      <c r="J110" s="415">
        <v>4</v>
      </c>
      <c r="K110" s="479">
        <f>IF(AND(I110&gt;0,J110&gt;0),I110-J110,"")</f>
        <v>7.9466666666666672</v>
      </c>
      <c r="L110" s="2"/>
      <c r="M110" s="20"/>
      <c r="N110" s="20"/>
      <c r="O110" s="20"/>
      <c r="P110" s="19"/>
      <c r="R110" s="20"/>
    </row>
    <row r="111" spans="1:19" ht="15" thickBot="1">
      <c r="A111" s="3"/>
      <c r="B111" s="661"/>
      <c r="C111" s="416" t="s">
        <v>431</v>
      </c>
      <c r="D111" s="417">
        <v>3</v>
      </c>
      <c r="E111" s="469">
        <f>IF(ISBLANK(D111),"",D111*30)</f>
        <v>90</v>
      </c>
      <c r="F111" s="372">
        <v>40</v>
      </c>
      <c r="G111" s="470">
        <f>IF(AND(E111&gt;0,F111&gt;0),(F111*E111),"")</f>
        <v>3600</v>
      </c>
      <c r="H111" s="372">
        <v>24739</v>
      </c>
      <c r="I111" s="471">
        <f>IF(AND(G111&gt;0,H111&gt;0),H111/G111,"")</f>
        <v>6.8719444444444449</v>
      </c>
      <c r="J111" s="418">
        <v>4</v>
      </c>
      <c r="K111" s="480">
        <f>IF(AND(I111&gt;0,J111&gt;0),I111-J111,"")</f>
        <v>2.8719444444444449</v>
      </c>
      <c r="L111" s="2"/>
      <c r="M111" s="20"/>
      <c r="N111" s="20"/>
      <c r="O111" s="20"/>
      <c r="P111" s="19"/>
      <c r="R111" s="20"/>
    </row>
    <row r="112" spans="1:19">
      <c r="A112" s="3"/>
      <c r="B112" s="3"/>
      <c r="C112" s="3"/>
      <c r="D112" s="3"/>
      <c r="E112" s="3"/>
      <c r="F112" s="3"/>
      <c r="G112" s="2"/>
      <c r="H112" s="2"/>
      <c r="I112" s="2"/>
      <c r="J112" s="3"/>
      <c r="K112" s="3"/>
      <c r="L112" s="2"/>
      <c r="M112" s="2"/>
      <c r="N112" s="20"/>
      <c r="O112" s="20"/>
      <c r="P112" s="20"/>
      <c r="Q112" s="19"/>
      <c r="S112" s="20"/>
    </row>
    <row r="113" spans="1:20" ht="44" thickBot="1">
      <c r="A113" s="3"/>
      <c r="B113" s="3"/>
      <c r="C113" s="3"/>
      <c r="D113" s="3"/>
      <c r="E113" s="3"/>
      <c r="F113" s="485" t="s">
        <v>417</v>
      </c>
      <c r="G113" s="485" t="s">
        <v>430</v>
      </c>
      <c r="H113" s="485" t="s">
        <v>430</v>
      </c>
      <c r="I113" s="2"/>
      <c r="J113" s="109"/>
      <c r="K113" s="109"/>
      <c r="L113" s="3"/>
      <c r="M113" s="3"/>
    </row>
    <row r="114" spans="1:20" ht="19" thickBot="1">
      <c r="A114" s="3"/>
      <c r="B114" s="243" t="s">
        <v>393</v>
      </c>
      <c r="C114" s="129"/>
      <c r="D114" s="129"/>
      <c r="E114" s="130"/>
      <c r="F114" s="130"/>
      <c r="G114" s="130"/>
      <c r="H114" s="258"/>
      <c r="I114" s="244"/>
      <c r="J114" s="346"/>
      <c r="K114" s="347" t="s">
        <v>372</v>
      </c>
      <c r="L114" s="130"/>
      <c r="M114" s="348"/>
      <c r="N114" s="349"/>
      <c r="O114" s="349"/>
      <c r="P114" s="420"/>
      <c r="Q114" s="36"/>
    </row>
    <row r="115" spans="1:20" ht="15" thickBot="1">
      <c r="A115" s="3"/>
      <c r="B115" s="3"/>
      <c r="C115" s="3"/>
      <c r="D115" s="3"/>
      <c r="E115" s="3"/>
      <c r="F115" s="3"/>
      <c r="G115" s="3"/>
      <c r="H115" s="3"/>
      <c r="I115" s="3"/>
      <c r="J115" s="3"/>
      <c r="K115" s="3"/>
      <c r="L115" s="3"/>
      <c r="M115" s="3"/>
      <c r="N115"/>
      <c r="O115"/>
      <c r="P115" s="36"/>
      <c r="Q115" s="36"/>
    </row>
    <row r="116" spans="1:20">
      <c r="A116" s="3"/>
      <c r="B116" s="627" t="s">
        <v>399</v>
      </c>
      <c r="C116" s="628"/>
      <c r="D116" s="629"/>
      <c r="E116" s="332" t="s">
        <v>328</v>
      </c>
      <c r="F116" s="287" t="s">
        <v>345</v>
      </c>
      <c r="G116" s="248"/>
      <c r="H116" s="395" t="s">
        <v>106</v>
      </c>
      <c r="I116" s="395" t="s">
        <v>107</v>
      </c>
      <c r="J116" s="395" t="s">
        <v>108</v>
      </c>
      <c r="K116" s="395" t="s">
        <v>109</v>
      </c>
      <c r="L116" s="395" t="s">
        <v>121</v>
      </c>
      <c r="M116" s="395" t="s">
        <v>122</v>
      </c>
      <c r="N116" s="395" t="s">
        <v>123</v>
      </c>
      <c r="O116" s="395" t="s">
        <v>124</v>
      </c>
      <c r="P116" s="395" t="s">
        <v>125</v>
      </c>
      <c r="Q116" s="395" t="s">
        <v>126</v>
      </c>
      <c r="R116" s="395" t="s">
        <v>127</v>
      </c>
      <c r="S116" s="396" t="s">
        <v>288</v>
      </c>
      <c r="T116" s="64"/>
    </row>
    <row r="117" spans="1:20" ht="1.5" customHeight="1">
      <c r="A117" s="3"/>
      <c r="B117" s="446"/>
      <c r="C117" s="447"/>
      <c r="D117" s="447"/>
      <c r="E117" s="448"/>
      <c r="F117" s="449"/>
      <c r="G117" s="450"/>
      <c r="H117" s="451"/>
      <c r="I117" s="451"/>
      <c r="J117" s="451"/>
      <c r="K117" s="451"/>
      <c r="L117" s="451"/>
      <c r="M117" s="451"/>
      <c r="N117" s="451"/>
      <c r="O117" s="451"/>
      <c r="P117" s="451"/>
      <c r="Q117" s="451"/>
      <c r="R117" s="451"/>
      <c r="S117" s="452"/>
      <c r="T117" s="64"/>
    </row>
    <row r="118" spans="1:20" ht="15" customHeight="1">
      <c r="A118" s="604" t="s">
        <v>376</v>
      </c>
      <c r="B118" s="608" t="s">
        <v>418</v>
      </c>
      <c r="C118" s="609"/>
      <c r="D118" s="610"/>
      <c r="E118" s="626">
        <v>2.1</v>
      </c>
      <c r="F118" s="664" t="s">
        <v>115</v>
      </c>
      <c r="G118" s="249" t="s">
        <v>86</v>
      </c>
      <c r="H118" s="486">
        <v>63</v>
      </c>
      <c r="I118" s="133">
        <v>65</v>
      </c>
      <c r="J118" s="133">
        <v>65</v>
      </c>
      <c r="K118" s="282">
        <v>75</v>
      </c>
      <c r="L118" s="133">
        <v>75</v>
      </c>
      <c r="M118" s="133">
        <v>75</v>
      </c>
      <c r="N118" s="133">
        <v>75</v>
      </c>
      <c r="O118" s="133">
        <v>75</v>
      </c>
      <c r="P118" s="133">
        <v>75</v>
      </c>
      <c r="Q118" s="133"/>
      <c r="R118" s="133"/>
      <c r="S118" s="134"/>
      <c r="T118" s="64"/>
    </row>
    <row r="119" spans="1:20">
      <c r="A119" s="604"/>
      <c r="B119" s="611"/>
      <c r="C119" s="612"/>
      <c r="D119" s="613"/>
      <c r="E119" s="626"/>
      <c r="F119" s="664"/>
      <c r="G119" s="249" t="s">
        <v>87</v>
      </c>
      <c r="H119" s="133">
        <v>113</v>
      </c>
      <c r="I119" s="133">
        <v>108</v>
      </c>
      <c r="J119" s="133">
        <v>63</v>
      </c>
      <c r="K119" s="282">
        <v>66</v>
      </c>
      <c r="L119" s="133">
        <v>82</v>
      </c>
      <c r="M119" s="133">
        <v>82</v>
      </c>
      <c r="N119" s="133">
        <v>88</v>
      </c>
      <c r="O119" s="133">
        <v>91</v>
      </c>
      <c r="P119" s="133">
        <v>89</v>
      </c>
      <c r="Q119" s="133"/>
      <c r="R119" s="133"/>
      <c r="S119" s="134"/>
      <c r="T119" s="64"/>
    </row>
    <row r="120" spans="1:20" ht="15" customHeight="1">
      <c r="A120" s="604"/>
      <c r="B120" s="619" t="s">
        <v>425</v>
      </c>
      <c r="C120" s="620"/>
      <c r="D120" s="621"/>
      <c r="E120" s="665">
        <v>4.2</v>
      </c>
      <c r="F120" s="695" t="s">
        <v>115</v>
      </c>
      <c r="G120" s="457" t="s">
        <v>86</v>
      </c>
      <c r="H120" s="245">
        <v>70</v>
      </c>
      <c r="I120" s="245">
        <v>75</v>
      </c>
      <c r="J120" s="245">
        <v>75</v>
      </c>
      <c r="K120" s="283">
        <v>75</v>
      </c>
      <c r="L120" s="245">
        <v>75</v>
      </c>
      <c r="M120" s="245">
        <v>75</v>
      </c>
      <c r="N120" s="283">
        <v>75</v>
      </c>
      <c r="O120" s="245">
        <v>75</v>
      </c>
      <c r="P120" s="245">
        <v>75</v>
      </c>
      <c r="Q120" s="245"/>
      <c r="R120" s="245"/>
      <c r="S120" s="329"/>
      <c r="T120" s="64"/>
    </row>
    <row r="121" spans="1:20" ht="21" customHeight="1">
      <c r="A121" s="604"/>
      <c r="B121" s="622"/>
      <c r="C121" s="620"/>
      <c r="D121" s="621"/>
      <c r="E121" s="665"/>
      <c r="F121" s="663"/>
      <c r="G121" s="457" t="s">
        <v>87</v>
      </c>
      <c r="H121" s="245">
        <v>69</v>
      </c>
      <c r="I121" s="245">
        <v>70</v>
      </c>
      <c r="J121" s="330">
        <v>72</v>
      </c>
      <c r="K121" s="331">
        <v>73</v>
      </c>
      <c r="L121" s="330">
        <v>80</v>
      </c>
      <c r="M121" s="330">
        <v>70</v>
      </c>
      <c r="N121" s="330">
        <v>83</v>
      </c>
      <c r="O121" s="330">
        <v>81</v>
      </c>
      <c r="P121" s="245">
        <v>84</v>
      </c>
      <c r="Q121" s="245"/>
      <c r="R121" s="245"/>
      <c r="S121" s="329"/>
      <c r="T121" s="64"/>
    </row>
    <row r="122" spans="1:20" ht="15" customHeight="1">
      <c r="A122" s="604"/>
      <c r="B122" s="623" t="s">
        <v>426</v>
      </c>
      <c r="C122" s="612"/>
      <c r="D122" s="613"/>
      <c r="E122" s="626">
        <v>3.1</v>
      </c>
      <c r="F122" s="617" t="s">
        <v>115</v>
      </c>
      <c r="G122" s="249" t="s">
        <v>86</v>
      </c>
      <c r="H122" s="133">
        <v>1018</v>
      </c>
      <c r="I122" s="133">
        <v>1018</v>
      </c>
      <c r="J122" s="133">
        <v>1017</v>
      </c>
      <c r="K122" s="133">
        <v>1016</v>
      </c>
      <c r="L122" s="133">
        <v>2032</v>
      </c>
      <c r="M122" s="133">
        <v>1016</v>
      </c>
      <c r="N122" s="133">
        <v>4063</v>
      </c>
      <c r="O122" s="133">
        <v>1014</v>
      </c>
      <c r="P122" s="133">
        <v>1014</v>
      </c>
      <c r="Q122" s="133"/>
      <c r="R122" s="133"/>
      <c r="S122" s="134"/>
      <c r="T122" s="64"/>
    </row>
    <row r="123" spans="1:20" ht="26.25" customHeight="1">
      <c r="A123" s="604"/>
      <c r="B123" s="611"/>
      <c r="C123" s="612"/>
      <c r="D123" s="613"/>
      <c r="E123" s="626"/>
      <c r="F123" s="618"/>
      <c r="G123" s="249" t="s">
        <v>87</v>
      </c>
      <c r="H123" s="133">
        <v>702</v>
      </c>
      <c r="I123" s="133">
        <v>646</v>
      </c>
      <c r="J123" s="133">
        <v>784</v>
      </c>
      <c r="K123" s="133">
        <v>757</v>
      </c>
      <c r="L123" s="133">
        <v>1676</v>
      </c>
      <c r="M123" s="133">
        <v>701</v>
      </c>
      <c r="N123" s="133">
        <v>3136</v>
      </c>
      <c r="O123" s="133">
        <v>761</v>
      </c>
      <c r="P123" s="133">
        <v>796</v>
      </c>
      <c r="Q123" s="133"/>
      <c r="R123" s="133"/>
      <c r="S123" s="134"/>
      <c r="T123" s="64"/>
    </row>
    <row r="124" spans="1:20" ht="15" customHeight="1">
      <c r="A124" s="3"/>
      <c r="B124" s="619" t="s">
        <v>427</v>
      </c>
      <c r="C124" s="620"/>
      <c r="D124" s="621"/>
      <c r="E124" s="665">
        <v>2.2999999999999998</v>
      </c>
      <c r="F124" s="662" t="s">
        <v>115</v>
      </c>
      <c r="G124" s="457" t="s">
        <v>86</v>
      </c>
      <c r="H124" s="330">
        <v>91</v>
      </c>
      <c r="I124" s="245">
        <v>91</v>
      </c>
      <c r="J124" s="245">
        <v>91</v>
      </c>
      <c r="K124" s="283">
        <v>91</v>
      </c>
      <c r="L124" s="245">
        <v>100</v>
      </c>
      <c r="M124" s="245">
        <v>100</v>
      </c>
      <c r="N124" s="245">
        <v>100</v>
      </c>
      <c r="O124" s="245">
        <v>100</v>
      </c>
      <c r="P124" s="245">
        <v>100</v>
      </c>
      <c r="Q124" s="245"/>
      <c r="R124" s="245"/>
      <c r="S124" s="329"/>
      <c r="T124" s="64"/>
    </row>
    <row r="125" spans="1:20" ht="25.5" customHeight="1">
      <c r="A125" s="3"/>
      <c r="B125" s="622"/>
      <c r="C125" s="620"/>
      <c r="D125" s="621"/>
      <c r="E125" s="665"/>
      <c r="F125" s="663"/>
      <c r="G125" s="457" t="s">
        <v>87</v>
      </c>
      <c r="H125" s="330">
        <v>91</v>
      </c>
      <c r="I125" s="245">
        <v>80</v>
      </c>
      <c r="J125" s="245">
        <v>82</v>
      </c>
      <c r="K125" s="283">
        <v>91</v>
      </c>
      <c r="L125" s="245">
        <v>91</v>
      </c>
      <c r="M125" s="245">
        <v>91</v>
      </c>
      <c r="N125" s="245">
        <v>82</v>
      </c>
      <c r="O125" s="245">
        <v>82</v>
      </c>
      <c r="P125" s="245">
        <v>100</v>
      </c>
      <c r="Q125" s="245"/>
      <c r="R125" s="245"/>
      <c r="S125" s="329"/>
      <c r="T125" s="64"/>
    </row>
    <row r="126" spans="1:20" ht="15" customHeight="1">
      <c r="A126" s="3"/>
      <c r="B126" s="648" t="s">
        <v>419</v>
      </c>
      <c r="C126" s="649"/>
      <c r="D126" s="650"/>
      <c r="E126" s="626">
        <v>3.2</v>
      </c>
      <c r="F126" s="617" t="s">
        <v>115</v>
      </c>
      <c r="G126" s="458" t="s">
        <v>86</v>
      </c>
      <c r="H126" s="459">
        <v>529</v>
      </c>
      <c r="I126" s="459">
        <v>529</v>
      </c>
      <c r="J126" s="459">
        <v>529</v>
      </c>
      <c r="K126" s="460">
        <v>604</v>
      </c>
      <c r="L126" s="459">
        <v>1122</v>
      </c>
      <c r="M126" s="459">
        <v>604</v>
      </c>
      <c r="N126" s="459">
        <v>2417</v>
      </c>
      <c r="O126" s="459">
        <v>603</v>
      </c>
      <c r="P126" s="459">
        <v>603</v>
      </c>
      <c r="Q126" s="459"/>
      <c r="R126" s="459"/>
      <c r="S126" s="461"/>
      <c r="T126" s="64"/>
    </row>
    <row r="127" spans="1:20">
      <c r="A127" s="3"/>
      <c r="B127" s="651"/>
      <c r="C127" s="649"/>
      <c r="D127" s="650"/>
      <c r="E127" s="626"/>
      <c r="F127" s="618"/>
      <c r="G127" s="458" t="s">
        <v>87</v>
      </c>
      <c r="H127" s="459">
        <v>402</v>
      </c>
      <c r="I127" s="459">
        <v>403</v>
      </c>
      <c r="J127" s="459">
        <v>369</v>
      </c>
      <c r="K127" s="460">
        <v>386</v>
      </c>
      <c r="L127" s="459">
        <v>937</v>
      </c>
      <c r="M127" s="459">
        <v>409</v>
      </c>
      <c r="N127" s="459">
        <v>1754</v>
      </c>
      <c r="O127" s="459">
        <v>421</v>
      </c>
      <c r="P127" s="459">
        <v>455</v>
      </c>
      <c r="Q127" s="459"/>
      <c r="R127" s="459"/>
      <c r="S127" s="461"/>
      <c r="T127" s="64"/>
    </row>
    <row r="128" spans="1:20" ht="15" customHeight="1">
      <c r="A128" s="3"/>
      <c r="B128" s="619" t="s">
        <v>420</v>
      </c>
      <c r="C128" s="620"/>
      <c r="D128" s="621"/>
      <c r="E128" s="665">
        <v>3.3</v>
      </c>
      <c r="F128" s="662" t="s">
        <v>115</v>
      </c>
      <c r="G128" s="457" t="s">
        <v>86</v>
      </c>
      <c r="H128" s="330">
        <v>1109</v>
      </c>
      <c r="I128" s="330">
        <v>1109</v>
      </c>
      <c r="J128" s="330">
        <v>1109</v>
      </c>
      <c r="K128" s="331">
        <v>1106</v>
      </c>
      <c r="L128" s="330">
        <v>2212</v>
      </c>
      <c r="M128" s="330">
        <v>1106</v>
      </c>
      <c r="N128" s="330">
        <v>4423</v>
      </c>
      <c r="O128" s="330">
        <v>1103</v>
      </c>
      <c r="P128" s="330">
        <v>1102</v>
      </c>
      <c r="Q128" s="330"/>
      <c r="R128" s="330"/>
      <c r="S128" s="462"/>
      <c r="T128" s="64"/>
    </row>
    <row r="129" spans="1:21">
      <c r="A129" s="3"/>
      <c r="B129" s="622"/>
      <c r="C129" s="620"/>
      <c r="D129" s="621"/>
      <c r="E129" s="665"/>
      <c r="F129" s="663"/>
      <c r="G129" s="457" t="s">
        <v>87</v>
      </c>
      <c r="H129" s="330">
        <v>901</v>
      </c>
      <c r="I129" s="245">
        <v>804</v>
      </c>
      <c r="J129" s="245">
        <v>944</v>
      </c>
      <c r="K129" s="283">
        <v>857</v>
      </c>
      <c r="L129" s="245">
        <v>1816</v>
      </c>
      <c r="M129" s="245">
        <v>740</v>
      </c>
      <c r="N129" s="245">
        <v>3352</v>
      </c>
      <c r="O129" s="245">
        <v>798</v>
      </c>
      <c r="P129" s="330">
        <v>823</v>
      </c>
      <c r="Q129" s="330"/>
      <c r="R129" s="330"/>
      <c r="S129" s="462"/>
      <c r="T129" s="64"/>
    </row>
    <row r="130" spans="1:21">
      <c r="A130" s="3"/>
      <c r="B130" s="648" t="s">
        <v>421</v>
      </c>
      <c r="C130" s="649"/>
      <c r="D130" s="650"/>
      <c r="E130" s="626">
        <v>3.4</v>
      </c>
      <c r="F130" s="664" t="s">
        <v>115</v>
      </c>
      <c r="G130" s="458" t="s">
        <v>86</v>
      </c>
      <c r="H130" s="459">
        <v>130</v>
      </c>
      <c r="I130" s="459">
        <v>130</v>
      </c>
      <c r="J130" s="459">
        <v>130</v>
      </c>
      <c r="K130" s="460">
        <v>130</v>
      </c>
      <c r="L130" s="459">
        <v>260</v>
      </c>
      <c r="M130" s="459">
        <v>130</v>
      </c>
      <c r="N130" s="459">
        <v>519</v>
      </c>
      <c r="O130" s="459">
        <v>129</v>
      </c>
      <c r="P130" s="459">
        <v>129</v>
      </c>
      <c r="Q130" s="459"/>
      <c r="R130" s="459"/>
      <c r="S130" s="461"/>
      <c r="T130" s="64"/>
    </row>
    <row r="131" spans="1:21">
      <c r="A131" s="3"/>
      <c r="B131" s="651"/>
      <c r="C131" s="649"/>
      <c r="D131" s="650"/>
      <c r="E131" s="626"/>
      <c r="F131" s="664"/>
      <c r="G131" s="458" t="s">
        <v>87</v>
      </c>
      <c r="H131" s="459">
        <v>133</v>
      </c>
      <c r="I131" s="459">
        <v>132</v>
      </c>
      <c r="J131" s="459">
        <v>134</v>
      </c>
      <c r="K131" s="460">
        <v>105</v>
      </c>
      <c r="L131" s="459">
        <v>224</v>
      </c>
      <c r="M131" s="459">
        <v>106</v>
      </c>
      <c r="N131" s="459">
        <v>457</v>
      </c>
      <c r="O131" s="459">
        <v>107</v>
      </c>
      <c r="P131" s="459">
        <v>107</v>
      </c>
      <c r="Q131" s="459"/>
      <c r="R131" s="459"/>
      <c r="S131" s="461"/>
      <c r="T131" s="64"/>
    </row>
    <row r="132" spans="1:21" ht="14.25" customHeight="1">
      <c r="A132" s="3"/>
      <c r="B132" s="619" t="s">
        <v>422</v>
      </c>
      <c r="C132" s="620"/>
      <c r="D132" s="621"/>
      <c r="E132" s="665">
        <v>3.5</v>
      </c>
      <c r="F132" s="654" t="s">
        <v>115</v>
      </c>
      <c r="G132" s="457" t="s">
        <v>86</v>
      </c>
      <c r="H132" s="330">
        <v>95</v>
      </c>
      <c r="I132" s="330">
        <v>95</v>
      </c>
      <c r="J132" s="330">
        <v>95</v>
      </c>
      <c r="K132" s="330">
        <v>95</v>
      </c>
      <c r="L132" s="330">
        <v>95</v>
      </c>
      <c r="M132" s="330">
        <v>95</v>
      </c>
      <c r="N132" s="330">
        <v>95</v>
      </c>
      <c r="O132" s="330">
        <v>100</v>
      </c>
      <c r="P132" s="330">
        <v>100</v>
      </c>
      <c r="Q132" s="330"/>
      <c r="R132" s="330"/>
      <c r="S132" s="462"/>
      <c r="T132" s="64"/>
    </row>
    <row r="133" spans="1:21">
      <c r="A133" s="3"/>
      <c r="B133" s="622"/>
      <c r="C133" s="620"/>
      <c r="D133" s="621"/>
      <c r="E133" s="665"/>
      <c r="F133" s="654"/>
      <c r="G133" s="457" t="s">
        <v>87</v>
      </c>
      <c r="H133" s="330">
        <v>98</v>
      </c>
      <c r="I133" s="330">
        <v>92</v>
      </c>
      <c r="J133" s="330">
        <v>88</v>
      </c>
      <c r="K133" s="330">
        <v>94</v>
      </c>
      <c r="L133" s="330">
        <v>90</v>
      </c>
      <c r="M133" s="330">
        <v>90</v>
      </c>
      <c r="N133" s="330">
        <v>89</v>
      </c>
      <c r="O133" s="330">
        <v>92</v>
      </c>
      <c r="P133" s="330">
        <v>87</v>
      </c>
      <c r="Q133" s="330"/>
      <c r="R133" s="330"/>
      <c r="S133" s="462"/>
      <c r="T133" s="64"/>
    </row>
    <row r="134" spans="1:21" ht="14.25" customHeight="1">
      <c r="A134" s="3"/>
      <c r="B134" s="648" t="s">
        <v>423</v>
      </c>
      <c r="C134" s="649"/>
      <c r="D134" s="650"/>
      <c r="E134" s="626">
        <v>3.6</v>
      </c>
      <c r="F134" s="683" t="s">
        <v>115</v>
      </c>
      <c r="G134" s="458" t="s">
        <v>86</v>
      </c>
      <c r="H134" s="459">
        <v>12</v>
      </c>
      <c r="I134" s="459">
        <v>6</v>
      </c>
      <c r="J134" s="459">
        <v>9</v>
      </c>
      <c r="K134" s="459">
        <v>9</v>
      </c>
      <c r="L134" s="459">
        <v>8</v>
      </c>
      <c r="M134" s="459">
        <v>10</v>
      </c>
      <c r="N134" s="459">
        <v>12</v>
      </c>
      <c r="O134" s="459">
        <v>11</v>
      </c>
      <c r="P134" s="459">
        <v>10</v>
      </c>
      <c r="Q134" s="459"/>
      <c r="R134" s="459"/>
      <c r="S134" s="461"/>
      <c r="T134" s="64"/>
    </row>
    <row r="135" spans="1:21">
      <c r="A135" s="3"/>
      <c r="B135" s="651"/>
      <c r="C135" s="649"/>
      <c r="D135" s="650"/>
      <c r="E135" s="626"/>
      <c r="F135" s="683"/>
      <c r="G135" s="458" t="s">
        <v>87</v>
      </c>
      <c r="H135" s="459">
        <v>11</v>
      </c>
      <c r="I135" s="459">
        <v>11</v>
      </c>
      <c r="J135" s="459">
        <v>11</v>
      </c>
      <c r="K135" s="459">
        <v>11</v>
      </c>
      <c r="L135" s="459">
        <v>11</v>
      </c>
      <c r="M135" s="459">
        <v>10</v>
      </c>
      <c r="N135" s="459">
        <v>10</v>
      </c>
      <c r="O135" s="459">
        <v>10</v>
      </c>
      <c r="P135" s="459">
        <v>10</v>
      </c>
      <c r="Q135" s="459"/>
      <c r="R135" s="459"/>
      <c r="S135" s="461"/>
      <c r="T135" s="64"/>
    </row>
    <row r="136" spans="1:21" ht="14.25" customHeight="1">
      <c r="A136" s="3"/>
      <c r="B136" s="619" t="s">
        <v>424</v>
      </c>
      <c r="C136" s="620"/>
      <c r="D136" s="621"/>
      <c r="E136" s="665">
        <v>4.0999999999999996</v>
      </c>
      <c r="F136" s="654" t="s">
        <v>115</v>
      </c>
      <c r="G136" s="457" t="s">
        <v>86</v>
      </c>
      <c r="H136" s="330">
        <v>70</v>
      </c>
      <c r="I136" s="330">
        <v>70</v>
      </c>
      <c r="J136" s="330">
        <v>70</v>
      </c>
      <c r="K136" s="330">
        <v>70</v>
      </c>
      <c r="L136" s="330">
        <v>70</v>
      </c>
      <c r="M136" s="330">
        <v>70</v>
      </c>
      <c r="N136" s="330">
        <v>70</v>
      </c>
      <c r="O136" s="330">
        <v>70</v>
      </c>
      <c r="P136" s="330">
        <v>70</v>
      </c>
      <c r="Q136" s="330"/>
      <c r="R136" s="330"/>
      <c r="S136" s="462"/>
      <c r="T136" s="64"/>
    </row>
    <row r="137" spans="1:21" ht="15" thickBot="1">
      <c r="A137" s="3"/>
      <c r="B137" s="674"/>
      <c r="C137" s="675"/>
      <c r="D137" s="676"/>
      <c r="E137" s="684"/>
      <c r="F137" s="685"/>
      <c r="G137" s="463" t="s">
        <v>87</v>
      </c>
      <c r="H137" s="464">
        <v>0</v>
      </c>
      <c r="I137" s="464">
        <v>65</v>
      </c>
      <c r="J137" s="464">
        <v>69</v>
      </c>
      <c r="K137" s="464">
        <v>80</v>
      </c>
      <c r="L137" s="464">
        <v>83</v>
      </c>
      <c r="M137" s="464">
        <v>82</v>
      </c>
      <c r="N137" s="464">
        <v>79</v>
      </c>
      <c r="O137" s="464">
        <v>73</v>
      </c>
      <c r="P137" s="464">
        <v>82</v>
      </c>
      <c r="Q137" s="464"/>
      <c r="R137" s="464"/>
      <c r="S137" s="465"/>
      <c r="T137" s="64"/>
    </row>
    <row r="138" spans="1:21">
      <c r="A138" s="3"/>
      <c r="B138" s="3"/>
      <c r="C138" s="3"/>
      <c r="D138" s="3"/>
      <c r="E138" s="3"/>
      <c r="F138" s="3"/>
      <c r="G138" s="2"/>
      <c r="H138" s="3"/>
      <c r="I138" s="3"/>
      <c r="J138" s="3"/>
      <c r="K138" s="3"/>
      <c r="L138" s="3"/>
      <c r="M138" s="3"/>
      <c r="N138" s="3"/>
      <c r="O138" s="3"/>
      <c r="R138" s="36"/>
      <c r="S138" s="36"/>
    </row>
    <row r="139" spans="1:21">
      <c r="A139" s="3"/>
      <c r="B139" s="3"/>
      <c r="C139" s="3"/>
      <c r="D139" s="3"/>
      <c r="E139" s="3"/>
      <c r="F139" s="3"/>
      <c r="G139" s="2"/>
      <c r="H139" s="3"/>
      <c r="I139" s="3"/>
      <c r="J139" s="3"/>
      <c r="K139" s="3"/>
      <c r="L139" s="3"/>
      <c r="M139" s="3"/>
      <c r="N139" s="3"/>
      <c r="O139" s="3"/>
      <c r="R139" s="36"/>
      <c r="S139" s="36"/>
    </row>
    <row r="140" spans="1:21">
      <c r="A140" s="3"/>
      <c r="B140" s="3"/>
      <c r="C140" s="3"/>
      <c r="D140" s="3"/>
      <c r="E140" s="3"/>
      <c r="F140" s="3"/>
      <c r="G140" s="2"/>
      <c r="H140" s="3"/>
      <c r="I140" s="3"/>
      <c r="J140" s="3"/>
      <c r="K140" s="3"/>
      <c r="L140" s="3"/>
      <c r="M140" s="3"/>
      <c r="N140" s="3"/>
      <c r="O140" s="3"/>
      <c r="R140" s="36"/>
      <c r="S140" s="36"/>
    </row>
    <row r="141" spans="1:21" ht="16" thickBot="1">
      <c r="A141" s="3"/>
      <c r="B141" s="334"/>
      <c r="C141" s="3"/>
      <c r="D141" s="3"/>
      <c r="E141" s="3"/>
      <c r="F141" s="3"/>
      <c r="G141" s="2"/>
      <c r="H141" s="3"/>
      <c r="I141" s="3"/>
      <c r="J141" s="3"/>
      <c r="K141" s="3"/>
      <c r="L141" s="3"/>
      <c r="M141" s="3"/>
      <c r="N141" s="3"/>
      <c r="O141" s="3"/>
      <c r="R141" s="36"/>
      <c r="S141" s="36"/>
    </row>
    <row r="142" spans="1:21" ht="15" thickBot="1">
      <c r="A142" s="3"/>
      <c r="B142" s="3" t="s">
        <v>407</v>
      </c>
      <c r="C142" s="3"/>
      <c r="D142" s="3"/>
      <c r="E142" s="332" t="s">
        <v>328</v>
      </c>
      <c r="F142" s="287" t="s">
        <v>345</v>
      </c>
      <c r="G142" s="248"/>
      <c r="H142" s="395" t="str">
        <f t="shared" ref="H142:S142" si="6">C30</f>
        <v>P1</v>
      </c>
      <c r="I142" s="395" t="str">
        <f t="shared" si="6"/>
        <v>P2</v>
      </c>
      <c r="J142" s="395" t="str">
        <f t="shared" si="6"/>
        <v>P3</v>
      </c>
      <c r="K142" s="395" t="str">
        <f t="shared" si="6"/>
        <v>P4</v>
      </c>
      <c r="L142" s="395" t="str">
        <f t="shared" si="6"/>
        <v>P5</v>
      </c>
      <c r="M142" s="395" t="str">
        <f t="shared" si="6"/>
        <v>P6</v>
      </c>
      <c r="N142" s="395" t="str">
        <f t="shared" si="6"/>
        <v>P7</v>
      </c>
      <c r="O142" s="395" t="str">
        <f t="shared" si="6"/>
        <v>P8</v>
      </c>
      <c r="P142" s="395" t="str">
        <f t="shared" si="6"/>
        <v>P9</v>
      </c>
      <c r="Q142" s="395" t="str">
        <f t="shared" si="6"/>
        <v>P10</v>
      </c>
      <c r="R142" s="395" t="str">
        <f t="shared" si="6"/>
        <v>P11</v>
      </c>
      <c r="S142" s="396" t="str">
        <f t="shared" si="6"/>
        <v>P12</v>
      </c>
      <c r="T142" s="36"/>
      <c r="U142" s="36"/>
    </row>
    <row r="143" spans="1:21">
      <c r="A143" s="3"/>
      <c r="B143" s="686" t="str">
        <f>IF(ISBLANK(B118),"",(B118))</f>
        <v xml:space="preserve">Percentage of TB patients who had an HIV test result recorded in the TB register </v>
      </c>
      <c r="C143" s="687"/>
      <c r="D143" s="688"/>
      <c r="E143" s="679">
        <f>IF(ISBLANK(E118),"",(E118))</f>
        <v>2.1</v>
      </c>
      <c r="F143" s="681" t="str">
        <f>IF(ISBLANK(F118),"",(F118))</f>
        <v>Yes</v>
      </c>
      <c r="G143" s="360" t="s">
        <v>86</v>
      </c>
      <c r="H143" s="428">
        <f t="shared" ref="H143:S143" si="7">H118</f>
        <v>63</v>
      </c>
      <c r="I143" s="428">
        <f t="shared" si="7"/>
        <v>65</v>
      </c>
      <c r="J143" s="428">
        <f t="shared" si="7"/>
        <v>65</v>
      </c>
      <c r="K143" s="428">
        <f t="shared" si="7"/>
        <v>75</v>
      </c>
      <c r="L143" s="428">
        <f t="shared" si="7"/>
        <v>75</v>
      </c>
      <c r="M143" s="428">
        <f t="shared" si="7"/>
        <v>75</v>
      </c>
      <c r="N143" s="428">
        <f t="shared" si="7"/>
        <v>75</v>
      </c>
      <c r="O143" s="428">
        <f t="shared" si="7"/>
        <v>75</v>
      </c>
      <c r="P143" s="428">
        <f t="shared" si="7"/>
        <v>75</v>
      </c>
      <c r="Q143" s="428">
        <f t="shared" si="7"/>
        <v>0</v>
      </c>
      <c r="R143" s="428">
        <f t="shared" si="7"/>
        <v>0</v>
      </c>
      <c r="S143" s="481">
        <f t="shared" si="7"/>
        <v>0</v>
      </c>
      <c r="T143" s="36"/>
      <c r="U143" s="36"/>
    </row>
    <row r="144" spans="1:21">
      <c r="A144" s="3"/>
      <c r="B144" s="689"/>
      <c r="C144" s="690"/>
      <c r="D144" s="691"/>
      <c r="E144" s="679"/>
      <c r="F144" s="681"/>
      <c r="G144" s="131" t="s">
        <v>87</v>
      </c>
      <c r="H144" s="428">
        <f t="shared" ref="H144:K148" si="8">H119</f>
        <v>113</v>
      </c>
      <c r="I144" s="428">
        <f t="shared" si="8"/>
        <v>108</v>
      </c>
      <c r="J144" s="428">
        <f t="shared" si="8"/>
        <v>63</v>
      </c>
      <c r="K144" s="428">
        <f t="shared" si="8"/>
        <v>66</v>
      </c>
      <c r="L144" s="428">
        <f t="shared" ref="L144:S144" si="9">L119</f>
        <v>82</v>
      </c>
      <c r="M144" s="428">
        <f t="shared" si="9"/>
        <v>82</v>
      </c>
      <c r="N144" s="428">
        <f t="shared" si="9"/>
        <v>88</v>
      </c>
      <c r="O144" s="428">
        <f t="shared" si="9"/>
        <v>91</v>
      </c>
      <c r="P144" s="428">
        <f t="shared" si="9"/>
        <v>89</v>
      </c>
      <c r="Q144" s="428">
        <f t="shared" si="9"/>
        <v>0</v>
      </c>
      <c r="R144" s="428">
        <f t="shared" si="9"/>
        <v>0</v>
      </c>
      <c r="S144" s="481">
        <f t="shared" si="9"/>
        <v>0</v>
      </c>
      <c r="T144" s="36"/>
      <c r="U144" s="36"/>
    </row>
    <row r="145" spans="1:21">
      <c r="A145" s="3"/>
      <c r="B145" s="645" t="str">
        <f>IF(ISBLANK(B120),"",(B120))</f>
        <v>Number and percentage of M/XDR-TB patients on treatment receiving cash incentives for better adherence to treatment during out-patient phase</v>
      </c>
      <c r="C145" s="646"/>
      <c r="D145" s="647"/>
      <c r="E145" s="677">
        <f>IF(ISBLANK(E120),"",(E120))</f>
        <v>4.2</v>
      </c>
      <c r="F145" s="678" t="str">
        <f>IF(ISBLANK(F120),"",(F120))</f>
        <v>Yes</v>
      </c>
      <c r="G145" s="466" t="s">
        <v>86</v>
      </c>
      <c r="H145" s="467">
        <f t="shared" si="8"/>
        <v>70</v>
      </c>
      <c r="I145" s="467">
        <f>I120</f>
        <v>75</v>
      </c>
      <c r="J145" s="467">
        <f t="shared" si="8"/>
        <v>75</v>
      </c>
      <c r="K145" s="467">
        <f>K120</f>
        <v>75</v>
      </c>
      <c r="L145" s="467">
        <f t="shared" ref="L145:S145" si="10">L120</f>
        <v>75</v>
      </c>
      <c r="M145" s="467">
        <f t="shared" si="10"/>
        <v>75</v>
      </c>
      <c r="N145" s="467">
        <f t="shared" si="10"/>
        <v>75</v>
      </c>
      <c r="O145" s="467">
        <f t="shared" si="10"/>
        <v>75</v>
      </c>
      <c r="P145" s="467">
        <f t="shared" si="10"/>
        <v>75</v>
      </c>
      <c r="Q145" s="467">
        <f t="shared" si="10"/>
        <v>0</v>
      </c>
      <c r="R145" s="467">
        <f t="shared" si="10"/>
        <v>0</v>
      </c>
      <c r="S145" s="482">
        <f t="shared" si="10"/>
        <v>0</v>
      </c>
      <c r="T145" s="36"/>
      <c r="U145" s="36"/>
    </row>
    <row r="146" spans="1:21">
      <c r="A146" s="3"/>
      <c r="B146" s="645"/>
      <c r="C146" s="646"/>
      <c r="D146" s="647"/>
      <c r="E146" s="677"/>
      <c r="F146" s="678"/>
      <c r="G146" s="466" t="s">
        <v>87</v>
      </c>
      <c r="H146" s="467">
        <f t="shared" si="8"/>
        <v>69</v>
      </c>
      <c r="I146" s="467">
        <f t="shared" si="8"/>
        <v>70</v>
      </c>
      <c r="J146" s="467">
        <f t="shared" si="8"/>
        <v>72</v>
      </c>
      <c r="K146" s="467">
        <f t="shared" si="8"/>
        <v>73</v>
      </c>
      <c r="L146" s="467">
        <f t="shared" ref="L146:S146" si="11">L121</f>
        <v>80</v>
      </c>
      <c r="M146" s="467">
        <f t="shared" si="11"/>
        <v>70</v>
      </c>
      <c r="N146" s="467">
        <f t="shared" si="11"/>
        <v>83</v>
      </c>
      <c r="O146" s="467">
        <f t="shared" si="11"/>
        <v>81</v>
      </c>
      <c r="P146" s="467">
        <f t="shared" si="11"/>
        <v>84</v>
      </c>
      <c r="Q146" s="467">
        <f t="shared" si="11"/>
        <v>0</v>
      </c>
      <c r="R146" s="467">
        <f t="shared" si="11"/>
        <v>0</v>
      </c>
      <c r="S146" s="482">
        <f t="shared" si="11"/>
        <v>0</v>
      </c>
      <c r="T146" s="36"/>
      <c r="U146" s="36"/>
    </row>
    <row r="147" spans="1:21">
      <c r="A147" s="3"/>
      <c r="B147" s="668" t="str">
        <f>IF(ISBLANK(B122),"",(B122))</f>
        <v xml:space="preserve">
Number of notified cases of all forms of TB - (i.e. bacteriologically confirmed +clinically diagnosed) (new and relapse)
</v>
      </c>
      <c r="C147" s="669"/>
      <c r="D147" s="670"/>
      <c r="E147" s="679">
        <f>IF(ISBLANK(E122),"",(E122))</f>
        <v>3.1</v>
      </c>
      <c r="F147" s="681" t="str">
        <f>IF(ISBLANK(F122),"",(F122))</f>
        <v>Yes</v>
      </c>
      <c r="G147" s="131" t="s">
        <v>86</v>
      </c>
      <c r="H147" s="428">
        <f t="shared" si="8"/>
        <v>1018</v>
      </c>
      <c r="I147" s="428">
        <f t="shared" si="8"/>
        <v>1018</v>
      </c>
      <c r="J147" s="428">
        <f t="shared" si="8"/>
        <v>1017</v>
      </c>
      <c r="K147" s="428">
        <f t="shared" si="8"/>
        <v>1016</v>
      </c>
      <c r="L147" s="428">
        <f t="shared" ref="L147:S147" si="12">L122</f>
        <v>2032</v>
      </c>
      <c r="M147" s="428">
        <f t="shared" si="12"/>
        <v>1016</v>
      </c>
      <c r="N147" s="428">
        <f t="shared" si="12"/>
        <v>4063</v>
      </c>
      <c r="O147" s="428">
        <f t="shared" si="12"/>
        <v>1014</v>
      </c>
      <c r="P147" s="428">
        <f t="shared" si="12"/>
        <v>1014</v>
      </c>
      <c r="Q147" s="428">
        <f t="shared" si="12"/>
        <v>0</v>
      </c>
      <c r="R147" s="428">
        <f t="shared" si="12"/>
        <v>0</v>
      </c>
      <c r="S147" s="481">
        <f t="shared" si="12"/>
        <v>0</v>
      </c>
      <c r="T147" s="36"/>
      <c r="U147" s="36"/>
    </row>
    <row r="148" spans="1:21" ht="15" thickBot="1">
      <c r="A148" s="3"/>
      <c r="B148" s="671"/>
      <c r="C148" s="672"/>
      <c r="D148" s="673"/>
      <c r="E148" s="680"/>
      <c r="F148" s="682"/>
      <c r="G148" s="132" t="s">
        <v>87</v>
      </c>
      <c r="H148" s="429">
        <f t="shared" si="8"/>
        <v>702</v>
      </c>
      <c r="I148" s="429">
        <f t="shared" si="8"/>
        <v>646</v>
      </c>
      <c r="J148" s="429">
        <f t="shared" si="8"/>
        <v>784</v>
      </c>
      <c r="K148" s="429">
        <f t="shared" si="8"/>
        <v>757</v>
      </c>
      <c r="L148" s="429">
        <f t="shared" ref="L148:S148" si="13">L123</f>
        <v>1676</v>
      </c>
      <c r="M148" s="429">
        <f t="shared" si="13"/>
        <v>701</v>
      </c>
      <c r="N148" s="429">
        <f t="shared" si="13"/>
        <v>3136</v>
      </c>
      <c r="O148" s="429">
        <f t="shared" si="13"/>
        <v>761</v>
      </c>
      <c r="P148" s="429">
        <f t="shared" si="13"/>
        <v>796</v>
      </c>
      <c r="Q148" s="429">
        <f t="shared" si="13"/>
        <v>0</v>
      </c>
      <c r="R148" s="429">
        <f t="shared" si="13"/>
        <v>0</v>
      </c>
      <c r="S148" s="483">
        <f t="shared" si="13"/>
        <v>0</v>
      </c>
      <c r="T148" s="36"/>
      <c r="U148" s="36"/>
    </row>
    <row r="149" spans="1:21">
      <c r="A149" s="3"/>
      <c r="B149" s="3"/>
      <c r="C149" s="3"/>
      <c r="D149" s="3"/>
      <c r="E149" s="3"/>
      <c r="F149" s="3"/>
      <c r="G149" s="3"/>
      <c r="H149" s="3"/>
      <c r="I149" s="3"/>
      <c r="J149" s="3"/>
      <c r="K149" s="3"/>
      <c r="L149" s="3"/>
      <c r="M149" s="3"/>
      <c r="N149"/>
      <c r="O149"/>
      <c r="P149" s="36"/>
      <c r="Q149" s="36"/>
      <c r="S149" s="468"/>
    </row>
    <row r="150" spans="1:21">
      <c r="N150"/>
      <c r="O150"/>
      <c r="P150" s="36"/>
      <c r="Q150" s="36"/>
    </row>
    <row r="151" spans="1:21">
      <c r="N151"/>
      <c r="O151"/>
      <c r="P151" s="36"/>
      <c r="Q151" s="36"/>
    </row>
    <row r="152" spans="1:21">
      <c r="N152"/>
      <c r="O152"/>
      <c r="P152" s="36"/>
      <c r="Q152" s="36"/>
    </row>
  </sheetData>
  <mergeCells count="73">
    <mergeCell ref="O31:O34"/>
    <mergeCell ref="E118:E119"/>
    <mergeCell ref="F118:F119"/>
    <mergeCell ref="F120:F121"/>
    <mergeCell ref="E120:E121"/>
    <mergeCell ref="F47:I47"/>
    <mergeCell ref="B147:D148"/>
    <mergeCell ref="B136:D137"/>
    <mergeCell ref="E145:E146"/>
    <mergeCell ref="E126:E127"/>
    <mergeCell ref="F145:F146"/>
    <mergeCell ref="E147:E148"/>
    <mergeCell ref="F147:F148"/>
    <mergeCell ref="E134:E135"/>
    <mergeCell ref="F134:F135"/>
    <mergeCell ref="E136:E137"/>
    <mergeCell ref="F136:F137"/>
    <mergeCell ref="E143:E144"/>
    <mergeCell ref="F143:F144"/>
    <mergeCell ref="B126:D127"/>
    <mergeCell ref="E132:E133"/>
    <mergeCell ref="B143:D144"/>
    <mergeCell ref="B124:D125"/>
    <mergeCell ref="C12:D12"/>
    <mergeCell ref="D18:F18"/>
    <mergeCell ref="F132:F133"/>
    <mergeCell ref="F126:F127"/>
    <mergeCell ref="B71:C71"/>
    <mergeCell ref="B26:C26"/>
    <mergeCell ref="B108:B111"/>
    <mergeCell ref="F128:F129"/>
    <mergeCell ref="E130:E131"/>
    <mergeCell ref="F130:F131"/>
    <mergeCell ref="E124:E125"/>
    <mergeCell ref="E128:E129"/>
    <mergeCell ref="F124:F125"/>
    <mergeCell ref="B21:J21"/>
    <mergeCell ref="B72:C72"/>
    <mergeCell ref="B145:D146"/>
    <mergeCell ref="B128:D129"/>
    <mergeCell ref="B130:D131"/>
    <mergeCell ref="B132:D133"/>
    <mergeCell ref="B134:D135"/>
    <mergeCell ref="B18:C18"/>
    <mergeCell ref="E10:F10"/>
    <mergeCell ref="I8:J8"/>
    <mergeCell ref="C10:D10"/>
    <mergeCell ref="E12:F12"/>
    <mergeCell ref="C8:D8"/>
    <mergeCell ref="B14:J14"/>
    <mergeCell ref="B2:J2"/>
    <mergeCell ref="C4:D4"/>
    <mergeCell ref="E4:F4"/>
    <mergeCell ref="G4:J4"/>
    <mergeCell ref="H16:I16"/>
    <mergeCell ref="C6:D6"/>
    <mergeCell ref="E6:F6"/>
    <mergeCell ref="I6:J6"/>
    <mergeCell ref="G12:J12"/>
    <mergeCell ref="G10:J10"/>
    <mergeCell ref="D24:E24"/>
    <mergeCell ref="G24:H24"/>
    <mergeCell ref="I24:J24"/>
    <mergeCell ref="A118:A123"/>
    <mergeCell ref="B29:N29"/>
    <mergeCell ref="B118:D119"/>
    <mergeCell ref="B60:D60"/>
    <mergeCell ref="F122:F123"/>
    <mergeCell ref="B120:D121"/>
    <mergeCell ref="B122:D123"/>
    <mergeCell ref="B73:C73"/>
    <mergeCell ref="E122:E123"/>
    <mergeCell ref="B116:D116"/>
  </mergeCells>
  <phoneticPr fontId="30" type="noConversion"/>
  <conditionalFormatting sqref="B34 B32 C33:N33 C31:C32 F32:H32">
    <cfRule type="expression" dxfId="42" priority="3" stopIfTrue="1">
      <formula>+AND(#REF!&gt;=#REF!,#REF!&lt;=#REF!)</formula>
    </cfRule>
  </conditionalFormatting>
  <conditionalFormatting sqref="C34:N34">
    <cfRule type="expression" dxfId="41" priority="4" stopIfTrue="1">
      <formula>+AND(#REF!&gt;=#REF!,#REF!&lt;=#REF!)</formula>
    </cfRule>
  </conditionalFormatting>
  <conditionalFormatting sqref="C30:N30 C94:N94">
    <cfRule type="cellIs" dxfId="40" priority="7" stopIfTrue="1" operator="equal">
      <formula>$C$16</formula>
    </cfRule>
  </conditionalFormatting>
  <conditionalFormatting sqref="C12:D12">
    <cfRule type="cellIs" dxfId="39" priority="9" stopIfTrue="1" operator="equal">
      <formula>"C"</formula>
    </cfRule>
    <cfRule type="cellIs" dxfId="38" priority="10" stopIfTrue="1" operator="equal">
      <formula>"B2"</formula>
    </cfRule>
    <cfRule type="cellIs" dxfId="37" priority="11" stopIfTrue="1" operator="equal">
      <formula>"B1"</formula>
    </cfRule>
  </conditionalFormatting>
  <conditionalFormatting sqref="H116:S117 H142:S142">
    <cfRule type="cellIs" dxfId="36" priority="18" stopIfTrue="1" operator="equal">
      <formula>$C$16</formula>
    </cfRule>
  </conditionalFormatting>
  <conditionalFormatting sqref="F47:I47">
    <cfRule type="expression" dxfId="35" priority="19" stopIfTrue="1">
      <formula>LEFT($F$47,2)="OK"</formula>
    </cfRule>
  </conditionalFormatting>
  <conditionalFormatting sqref="D32:E32">
    <cfRule type="expression" dxfId="34" priority="2" stopIfTrue="1">
      <formula>+AND(#REF!&gt;=#REF!,#REF!&lt;=#REF!)</formula>
    </cfRule>
  </conditionalFormatting>
  <conditionalFormatting sqref="I32">
    <cfRule type="expression" dxfId="33" priority="1" stopIfTrue="1">
      <formula>+AND(#REF!&gt;=#REF!,#REF!&lt;=#REF!)</formula>
    </cfRule>
  </conditionalFormatting>
  <dataValidations count="9">
    <dataValidation type="list" allowBlank="1" showInputMessage="1" showErrorMessage="1" sqref="B108 G6">
      <formula1>Component</formula1>
    </dataValidation>
    <dataValidation type="list" allowBlank="1" showInputMessage="1" showErrorMessage="1" sqref="C16">
      <formula1>PERIOD</formula1>
    </dataValidation>
    <dataValidation type="list" allowBlank="1" showInputMessage="1" showErrorMessage="1" sqref="G10:J10">
      <formula1>LFA</formula1>
    </dataValidation>
    <dataValidation type="list" allowBlank="1" showInputMessage="1" showErrorMessage="1" sqref="C4:D4">
      <formula1>Countries</formula1>
    </dataValidation>
    <dataValidation type="list" allowBlank="1" showInputMessage="1" showErrorMessage="1" sqref="C12:D12">
      <formula1>Rating</formula1>
    </dataValidation>
    <dataValidation type="list" allowBlank="1" showInputMessage="1" showErrorMessage="1" sqref="I8:J8">
      <formula1>Phase</formula1>
    </dataValidation>
    <dataValidation type="list" allowBlank="1" showInputMessage="1" showErrorMessage="1" sqref="G8">
      <formula1>Round</formula1>
    </dataValidation>
    <dataValidation type="list" allowBlank="1" showInputMessage="1" showErrorMessage="1" sqref="D26">
      <formula1>Currency</formula1>
    </dataValidation>
    <dataValidation type="list" allowBlank="1" showInputMessage="1" showErrorMessage="1" sqref="C108:C111">
      <formula1>Medicaments</formula1>
    </dataValidation>
  </dataValidations>
  <pageMargins left="0.70866141732283472" right="0.70866141732283472" top="0.74803149606299213" bottom="0.74803149606299213" header="0.31496062992125984" footer="0.31496062992125984"/>
  <pageSetup paperSize="9" scale="77" orientation="landscape"/>
  <headerFooter>
    <oddFooter>&amp;L&amp;F&amp;C&amp;A&amp;RV1.0          &amp;D</oddFooter>
  </headerFooter>
  <rowBreaks count="3" manualBreakCount="3">
    <brk id="27" max="16383" man="1"/>
    <brk id="65" max="16383" man="1"/>
    <brk id="67" max="16383" man="1"/>
  </rowBreaks>
  <ignoredErrors>
    <ignoredError sqref="H142:S142 E143 D32:E32 E97 E90 F96 C31:G31 H96 I32:J32 C53:C55 I97 J96:K96 C39:C43 D39:D43 D44 D55 C52:D52" unlockedFormula="1"/>
  </ignoredErrors>
  <drawing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1"/>
  </sheetPr>
  <dimension ref="A1:X18"/>
  <sheetViews>
    <sheetView showGridLines="0" zoomScale="110" zoomScaleNormal="110" zoomScaleSheetLayoutView="100" zoomScalePageLayoutView="110" workbookViewId="0">
      <selection activeCell="C31" sqref="C31"/>
    </sheetView>
  </sheetViews>
  <sheetFormatPr defaultColWidth="11.453125" defaultRowHeight="14.5"/>
  <cols>
    <col min="1" max="1" width="21.08984375" style="3" customWidth="1"/>
    <col min="2" max="2" width="12.453125" style="3" customWidth="1"/>
    <col min="3" max="3" width="20.453125" style="3" customWidth="1"/>
    <col min="4" max="4" width="15.36328125" style="3" customWidth="1"/>
    <col min="5" max="5" width="11.6328125" style="3" customWidth="1"/>
    <col min="6" max="6" width="10.6328125" style="3" customWidth="1"/>
    <col min="7" max="7" width="11.6328125" style="3" customWidth="1"/>
    <col min="8" max="8" width="15" style="3" customWidth="1"/>
    <col min="9" max="9" width="9.453125" style="3" customWidth="1"/>
    <col min="10" max="10" width="13" style="3" customWidth="1"/>
    <col min="11" max="11" width="11.453125" style="3" customWidth="1"/>
    <col min="12" max="12" width="8.08984375" style="3" customWidth="1"/>
    <col min="13" max="13" width="9.6328125" style="3" customWidth="1"/>
    <col min="14" max="14" width="8.453125" style="3" customWidth="1"/>
    <col min="15" max="15" width="7.08984375" style="3" customWidth="1"/>
    <col min="16" max="16384" width="11.453125" style="3"/>
  </cols>
  <sheetData>
    <row r="1" spans="1:24" ht="21" customHeight="1">
      <c r="A1" s="2"/>
      <c r="B1" s="2"/>
      <c r="C1" s="2"/>
      <c r="D1" s="2"/>
      <c r="E1" s="2"/>
      <c r="F1" s="2"/>
      <c r="G1" s="277"/>
      <c r="H1" s="2"/>
      <c r="I1" s="2"/>
      <c r="J1" s="2"/>
    </row>
    <row r="2" spans="1:24" ht="25.5" customHeight="1"/>
    <row r="3" spans="1:24" ht="36">
      <c r="B3" s="699" t="str">
        <f>+"Dashboard: "&amp;" "&amp;+IF('Data Entry'!C4="Please Select","",'Data Entry'!C4&amp;" - ")&amp;+IF('Data Entry'!G6="Please Select","",'Data Entry'!G6)</f>
        <v>Dashboard:  Georgia - TB</v>
      </c>
      <c r="C3" s="699"/>
      <c r="D3" s="699"/>
      <c r="E3" s="699"/>
      <c r="F3" s="699"/>
      <c r="G3" s="699"/>
      <c r="H3" s="699"/>
      <c r="I3" s="699"/>
      <c r="J3" s="699"/>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270" t="s">
        <v>26</v>
      </c>
      <c r="B6" s="701" t="str">
        <f>+IF('Data Entry'!C4="Please Select","",'Data Entry'!C4)</f>
        <v>Georgia</v>
      </c>
      <c r="C6" s="701"/>
      <c r="D6" s="705" t="s">
        <v>12</v>
      </c>
      <c r="E6" s="705"/>
      <c r="F6" s="706">
        <f>+'Data Entry'!G4</f>
        <v>0</v>
      </c>
      <c r="G6" s="706"/>
      <c r="H6" s="706"/>
      <c r="I6" s="706"/>
      <c r="J6" s="706"/>
      <c r="K6" s="50"/>
      <c r="L6" s="82"/>
      <c r="M6" s="50"/>
      <c r="N6" s="50"/>
      <c r="O6" s="50"/>
      <c r="P6" s="51"/>
      <c r="Q6" s="17"/>
      <c r="R6" s="17"/>
      <c r="S6" s="17"/>
      <c r="T6" s="17"/>
      <c r="U6" s="17"/>
    </row>
    <row r="7" spans="1:24" ht="8.25" customHeight="1">
      <c r="B7" s="6"/>
      <c r="C7" s="7"/>
      <c r="D7" s="7"/>
      <c r="E7" s="8"/>
      <c r="F7" s="8"/>
      <c r="G7" s="9"/>
      <c r="H7" s="9"/>
      <c r="K7" s="50"/>
      <c r="L7" s="50"/>
      <c r="M7" s="50"/>
      <c r="N7" s="50"/>
      <c r="O7" s="50"/>
      <c r="P7" s="51"/>
      <c r="Q7" s="17"/>
      <c r="R7" s="17"/>
      <c r="S7" s="17"/>
      <c r="T7" s="17"/>
      <c r="U7" s="17"/>
    </row>
    <row r="8" spans="1:24" ht="3.75" customHeight="1">
      <c r="C8" s="10"/>
      <c r="D8" s="10"/>
      <c r="E8" s="10"/>
      <c r="F8" s="10"/>
      <c r="G8" s="10"/>
      <c r="H8" s="10"/>
      <c r="I8" s="10"/>
      <c r="J8" s="10"/>
      <c r="K8" s="50"/>
      <c r="L8" s="50"/>
      <c r="M8" s="50"/>
      <c r="N8" s="50"/>
      <c r="O8" s="52"/>
      <c r="P8" s="51"/>
      <c r="Q8" s="52"/>
      <c r="R8" s="53"/>
      <c r="S8" s="17"/>
      <c r="T8" s="17"/>
      <c r="U8" s="17"/>
    </row>
    <row r="9" spans="1:24" ht="25.5" customHeight="1">
      <c r="A9" s="387" t="s">
        <v>27</v>
      </c>
      <c r="B9" s="351" t="str">
        <f>+IF('Data Entry'!G6="Please Select","",'Data Entry'!G6)</f>
        <v>TB</v>
      </c>
      <c r="C9" s="228" t="s">
        <v>329</v>
      </c>
      <c r="D9" s="352" t="str">
        <f>+'Data Entry'!C6</f>
        <v>GEO-T-NCDC</v>
      </c>
      <c r="E9" s="703" t="s">
        <v>13</v>
      </c>
      <c r="F9" s="703"/>
      <c r="G9" s="353">
        <f>+IF(ISBLANK('Data Entry'!C10),"",'Data Entry'!C10)</f>
        <v>41730</v>
      </c>
      <c r="H9" s="387" t="s">
        <v>330</v>
      </c>
      <c r="I9" s="702">
        <f>+IF(ISBLANK('Data Entry'!I6),"",'Data Entry'!I6)</f>
        <v>11182992</v>
      </c>
      <c r="J9" s="702"/>
      <c r="K9" s="50"/>
      <c r="L9" s="50"/>
      <c r="M9" s="50"/>
      <c r="N9" s="50"/>
      <c r="O9" s="52"/>
      <c r="P9" s="51"/>
      <c r="Q9" s="52"/>
      <c r="R9" s="53"/>
      <c r="S9" s="17"/>
      <c r="T9" s="11"/>
      <c r="U9" s="11"/>
      <c r="V9" s="10"/>
      <c r="W9" s="10"/>
      <c r="X9" s="10"/>
    </row>
    <row r="10" spans="1:24" ht="25.5" customHeight="1">
      <c r="A10" s="387" t="s">
        <v>324</v>
      </c>
      <c r="B10" s="354" t="str">
        <f>+IF('Data Entry'!G8="Please Select","",'Data Entry'!G8)</f>
        <v>Round 10</v>
      </c>
      <c r="C10" s="228" t="s">
        <v>323</v>
      </c>
      <c r="D10" s="355" t="str">
        <f>+IF('Data Entry'!I8="Please Select","",'Data Entry'!I8)</f>
        <v>Phase 2</v>
      </c>
      <c r="E10" s="704" t="s">
        <v>269</v>
      </c>
      <c r="F10" s="704"/>
      <c r="G10" s="700" t="str">
        <f>+'Data Entry'!C8</f>
        <v>NCDC</v>
      </c>
      <c r="H10" s="700"/>
      <c r="I10" s="700"/>
      <c r="J10" s="700"/>
      <c r="K10" s="54"/>
      <c r="L10" s="54"/>
      <c r="M10" s="50"/>
      <c r="N10" s="54"/>
      <c r="O10" s="52"/>
      <c r="P10" s="51"/>
      <c r="Q10" s="11"/>
      <c r="R10" s="53"/>
      <c r="S10" s="17"/>
      <c r="T10" s="11"/>
      <c r="U10" s="11"/>
    </row>
    <row r="11" spans="1:24" ht="25.5" customHeight="1">
      <c r="A11" s="387" t="s">
        <v>21</v>
      </c>
      <c r="B11" s="356" t="str">
        <f>+'Data Entry'!C16</f>
        <v>P9</v>
      </c>
      <c r="C11" s="337" t="s">
        <v>267</v>
      </c>
      <c r="D11" s="357">
        <f>+IF(ISBLANK('Data Entry'!E16),"",'Data Entry'!E16)</f>
        <v>42461</v>
      </c>
      <c r="E11" s="703" t="s">
        <v>22</v>
      </c>
      <c r="F11" s="703"/>
      <c r="G11" s="357">
        <f>+IF(ISBLANK('Data Entry'!G16),"",'Data Entry'!G16)</f>
        <v>42551</v>
      </c>
      <c r="H11" s="387" t="s">
        <v>29</v>
      </c>
      <c r="I11" s="707" t="str">
        <f>+IF('Data Entry'!C12="Please Select","",'Data Entry'!C12)</f>
        <v>A2</v>
      </c>
      <c r="J11" s="707"/>
      <c r="K11" s="276"/>
      <c r="L11" s="54"/>
      <c r="M11" s="50"/>
      <c r="N11" s="54"/>
      <c r="O11" s="54"/>
      <c r="P11" s="51"/>
      <c r="Q11" s="11"/>
      <c r="R11" s="53"/>
      <c r="S11" s="17"/>
      <c r="T11" s="12"/>
      <c r="U11" s="11"/>
    </row>
    <row r="12" spans="1:24" ht="25.5" customHeight="1">
      <c r="A12" s="387" t="s">
        <v>31</v>
      </c>
      <c r="B12" s="700" t="str">
        <f>+IF('Data Entry'!G10="Please Select","",'Data Entry'!G10)</f>
        <v>UNOPS</v>
      </c>
      <c r="C12" s="700"/>
      <c r="D12" s="700"/>
      <c r="E12" s="704" t="s">
        <v>290</v>
      </c>
      <c r="F12" s="704"/>
      <c r="G12" s="700" t="str">
        <f>+'Data Entry'!G12</f>
        <v>Tsovinar Sakanian</v>
      </c>
      <c r="H12" s="700"/>
      <c r="I12" s="700"/>
      <c r="J12" s="700"/>
      <c r="K12" s="54"/>
      <c r="L12" s="54"/>
      <c r="M12" s="50"/>
      <c r="N12" s="54"/>
      <c r="O12" s="17"/>
      <c r="P12" s="51"/>
      <c r="Q12" s="11"/>
      <c r="R12" s="53"/>
      <c r="S12" s="17"/>
      <c r="T12" s="11"/>
      <c r="U12" s="55"/>
      <c r="V12" s="11"/>
      <c r="W12" s="12"/>
      <c r="X12" s="11"/>
    </row>
    <row r="13" spans="1:24" ht="25.5" customHeight="1">
      <c r="A13" s="387" t="s">
        <v>32</v>
      </c>
      <c r="B13" s="700" t="str">
        <f>+'Data Entry'!D18</f>
        <v>Giorgi Kuchukhidze</v>
      </c>
      <c r="C13" s="700"/>
      <c r="D13" s="700"/>
      <c r="E13" s="704" t="s">
        <v>30</v>
      </c>
      <c r="F13" s="704"/>
      <c r="G13" s="708">
        <f>+IF(ISBLANK('Data Entry'!J16),"",'Data Entry'!J16)</f>
        <v>42602</v>
      </c>
      <c r="H13" s="709"/>
      <c r="I13" s="709"/>
      <c r="J13" s="709"/>
      <c r="K13" s="17"/>
      <c r="L13" s="18"/>
      <c r="M13" s="18"/>
      <c r="N13" s="18"/>
      <c r="O13" s="17"/>
      <c r="P13" s="18"/>
      <c r="Q13" s="18"/>
      <c r="R13" s="53"/>
      <c r="S13" s="17"/>
      <c r="T13" s="18"/>
      <c r="U13" s="56"/>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37"/>
      <c r="D16" s="16"/>
      <c r="E16" s="388"/>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sheetProtection password="CFC9" sheet="1"/>
  <dataConsolidate/>
  <mergeCells count="16">
    <mergeCell ref="B13:D13"/>
    <mergeCell ref="E10:F10"/>
    <mergeCell ref="I11:J11"/>
    <mergeCell ref="G12:J12"/>
    <mergeCell ref="E13:F13"/>
    <mergeCell ref="G13:J13"/>
    <mergeCell ref="B3:J3"/>
    <mergeCell ref="B12:D12"/>
    <mergeCell ref="B6:C6"/>
    <mergeCell ref="I9:J9"/>
    <mergeCell ref="E11:F11"/>
    <mergeCell ref="E12:F12"/>
    <mergeCell ref="D6:E6"/>
    <mergeCell ref="F6:J6"/>
    <mergeCell ref="E9:F9"/>
    <mergeCell ref="G10:J10"/>
  </mergeCells>
  <phoneticPr fontId="30" type="noConversion"/>
  <conditionalFormatting sqref="I11:J11">
    <cfRule type="cellIs" dxfId="32" priority="1" stopIfTrue="1" operator="equal">
      <formula>"C"</formula>
    </cfRule>
    <cfRule type="cellIs" dxfId="31" priority="2" stopIfTrue="1" operator="equal">
      <formula>"B2"</formula>
    </cfRule>
    <cfRule type="cellIs" dxfId="30" priority="3" stopIfTrue="1" operator="equal">
      <formula>"B1"</formula>
    </cfRule>
  </conditionalFormatting>
  <dataValidations count="1">
    <dataValidation type="list" allowBlank="1" showInputMessage="1" showErrorMessage="1" sqref="G7">
      <formula1>$K$8:$K$9</formula1>
    </dataValidation>
  </dataValidations>
  <pageMargins left="0.70866141732283472" right="0.70866141732283472" top="0.74803149606299213" bottom="0.74803149606299213" header="0.31496062992125984" footer="0.31496062992125984"/>
  <pageSetup paperSize="9" scale="92" orientation="landscape"/>
  <headerFooter>
    <oddFooter>&amp;L&amp;F&amp;C&amp;A&amp;RV1.0          &amp;D</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sheetPr>
  <dimension ref="A1:O34"/>
  <sheetViews>
    <sheetView showGridLines="0" zoomScale="150" zoomScaleNormal="150" zoomScalePageLayoutView="150" workbookViewId="0">
      <selection activeCell="I32" sqref="I32"/>
    </sheetView>
  </sheetViews>
  <sheetFormatPr defaultColWidth="11" defaultRowHeight="14.5"/>
  <cols>
    <col min="1" max="1" width="3.453125" customWidth="1"/>
    <col min="2" max="2" width="11.36328125" customWidth="1"/>
    <col min="3" max="3" width="5.08984375" customWidth="1"/>
    <col min="4" max="4" width="12.453125" customWidth="1"/>
    <col min="5" max="5" width="11.453125" customWidth="1"/>
    <col min="6" max="6" width="14.36328125" customWidth="1"/>
    <col min="7" max="7" width="3.90625" customWidth="1"/>
    <col min="8" max="8" width="10.453125" customWidth="1"/>
    <col min="9" max="9" width="14.6328125" customWidth="1"/>
    <col min="10" max="10" width="12" customWidth="1"/>
    <col min="11" max="11" width="11.6328125" customWidth="1"/>
  </cols>
  <sheetData>
    <row r="1" spans="2:15" ht="30.75" customHeight="1">
      <c r="B1" s="3"/>
      <c r="C1" s="3"/>
      <c r="D1" s="3"/>
      <c r="E1" s="3"/>
      <c r="F1" s="3"/>
      <c r="G1" s="3"/>
      <c r="H1" s="3"/>
      <c r="I1" s="3"/>
      <c r="J1" s="3"/>
      <c r="K1" s="3"/>
    </row>
    <row r="2" spans="2:15" ht="27.75" customHeight="1">
      <c r="B2" s="630" t="str">
        <f>+"Dashboard:  "&amp;"  "&amp;IF(+'Data Entry'!C4="Please Select","",'Data Entry'!C4&amp;" - ")&amp;IF('Data Entry'!G6="Please Select","",'Data Entry'!G6)</f>
        <v>Dashboard:    Georgia - TB</v>
      </c>
      <c r="C2" s="630"/>
      <c r="D2" s="630"/>
      <c r="E2" s="630"/>
      <c r="F2" s="630"/>
      <c r="G2" s="630"/>
      <c r="H2" s="630"/>
      <c r="I2" s="630"/>
      <c r="J2" s="630"/>
      <c r="K2" s="630"/>
      <c r="L2" s="1"/>
      <c r="M2" s="1"/>
      <c r="N2" s="1"/>
      <c r="O2" s="1"/>
    </row>
    <row r="3" spans="2:15">
      <c r="B3" s="135" t="str">
        <f>+IF('Data Entry'!G8="Please Select","",'Data Entry'!G8)</f>
        <v>Round 10</v>
      </c>
      <c r="C3" s="725" t="str">
        <f>+IF('Data Entry'!I8="Please Select","",'Data Entry'!I8)</f>
        <v>Phase 2</v>
      </c>
      <c r="D3" s="725"/>
      <c r="E3" s="724"/>
      <c r="F3" s="724"/>
      <c r="G3" s="724"/>
      <c r="H3" s="724"/>
      <c r="I3" s="722" t="str">
        <f>+'Data Entry'!B16</f>
        <v>Report Period:</v>
      </c>
      <c r="J3" s="722"/>
      <c r="K3" s="201" t="str">
        <f>+'Data Entry'!C16</f>
        <v>P9</v>
      </c>
      <c r="L3" s="83"/>
    </row>
    <row r="4" spans="2:15">
      <c r="B4" s="135" t="str">
        <f>+'Data Entry'!B12</f>
        <v>Latest Rating:</v>
      </c>
      <c r="C4" s="726" t="str">
        <f>+IF('Data Entry'!C12="Please Select","",'Data Entry'!C12)</f>
        <v>A2</v>
      </c>
      <c r="D4" s="726"/>
      <c r="E4" s="724" t="str">
        <f>+'Data Entry'!C8</f>
        <v>NCDC</v>
      </c>
      <c r="F4" s="724"/>
      <c r="G4" s="724"/>
      <c r="H4" s="724"/>
      <c r="I4" s="722" t="str">
        <f>+'Data Entry'!D16</f>
        <v>From:</v>
      </c>
      <c r="J4" s="723"/>
      <c r="K4" s="203">
        <f>+IF(ISBLANK('Data Entry'!E16),"",'Data Entry'!E16)</f>
        <v>42461</v>
      </c>
    </row>
    <row r="5" spans="2:15" ht="18.75" customHeight="1">
      <c r="B5" s="135"/>
      <c r="C5" s="135"/>
      <c r="D5" s="721">
        <f>+'Data Entry'!G4</f>
        <v>0</v>
      </c>
      <c r="E5" s="721"/>
      <c r="F5" s="721"/>
      <c r="G5" s="721"/>
      <c r="H5" s="721"/>
      <c r="I5" s="721"/>
      <c r="J5" s="135" t="str">
        <f>+'Data Entry'!F16</f>
        <v>To:</v>
      </c>
      <c r="K5" s="203">
        <f>+IF(ISBLANK('Data Entry'!G16),"",'Data Entry'!G16)</f>
        <v>42551</v>
      </c>
    </row>
    <row r="6" spans="2:15" ht="18.5">
      <c r="B6" s="139"/>
      <c r="C6" s="135"/>
      <c r="D6" s="136"/>
      <c r="E6" s="710" t="s">
        <v>63</v>
      </c>
      <c r="F6" s="710"/>
      <c r="G6" s="710"/>
      <c r="H6" s="710"/>
      <c r="I6" s="3"/>
      <c r="J6" s="3"/>
      <c r="K6" s="3"/>
    </row>
    <row r="7" spans="2:15" ht="10.5" customHeight="1">
      <c r="B7" s="140"/>
      <c r="C7" s="141"/>
      <c r="D7" s="142"/>
      <c r="E7" s="143"/>
      <c r="F7" s="143"/>
      <c r="G7" s="144"/>
      <c r="H7" s="144"/>
      <c r="I7" s="138"/>
      <c r="J7" s="138"/>
      <c r="K7" s="137"/>
    </row>
    <row r="8" spans="2:15">
      <c r="B8" s="206" t="str">
        <f>+'Data Entry'!B27&amp; " - in ("&amp;'Data Entry'!D26&amp;")         "&amp;+I3&amp;" "&amp;+K3</f>
        <v>F1: Budget and disbursements by Global Fund - in (€)         Report Period: P9</v>
      </c>
      <c r="C8" s="145"/>
      <c r="D8" s="2"/>
      <c r="E8" s="2"/>
      <c r="F8" s="2"/>
      <c r="H8" s="206" t="str">
        <f>+'Data Entry'!B49&amp; " - in ("&amp;'Data Entry'!D26&amp;")         "&amp;+I3&amp;" "&amp;+K3</f>
        <v>F3: Disbursements and expenditures - in (€)         Report Period: P9</v>
      </c>
      <c r="I8" s="3"/>
      <c r="J8" s="3"/>
      <c r="K8" s="3"/>
    </row>
    <row r="9" spans="2:15">
      <c r="B9" s="361" t="s">
        <v>9</v>
      </c>
      <c r="C9" s="718"/>
      <c r="D9" s="719"/>
      <c r="E9" s="719"/>
      <c r="F9" s="720"/>
      <c r="H9" s="362" t="s">
        <v>9</v>
      </c>
      <c r="I9" s="727"/>
      <c r="J9" s="719"/>
      <c r="K9" s="720"/>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c r="A21" s="19"/>
      <c r="B21" s="19"/>
      <c r="C21" s="19"/>
      <c r="D21" s="19"/>
      <c r="E21" s="19"/>
      <c r="F21" s="19"/>
      <c r="G21" s="19"/>
      <c r="H21" s="19"/>
      <c r="I21" s="19"/>
      <c r="J21" s="19"/>
      <c r="K21" s="19"/>
    </row>
    <row r="22" spans="1:11" ht="17.25" customHeight="1">
      <c r="B22" s="207" t="str">
        <f>+'Data Entry'!B36&amp; " - in ("&amp;'Data Entry'!D26&amp;")  "&amp;+I3&amp;" "&amp;+K3</f>
        <v>F2: Budget and actual expenditures by Grant Objective - in (€)  Report Period: P9</v>
      </c>
      <c r="C22" s="2"/>
      <c r="D22" s="2"/>
      <c r="E22" s="2"/>
      <c r="F22" s="2"/>
      <c r="H22" s="207" t="str">
        <f>+'Data Entry'!B58&amp;"      "&amp;+I3&amp;" "&amp;+K3</f>
        <v>F4: Latest PR reporting and disbursement cycle      Report Period: P9</v>
      </c>
      <c r="J22" s="3"/>
      <c r="K22" s="3"/>
    </row>
    <row r="23" spans="1:11">
      <c r="B23" s="362" t="s">
        <v>10</v>
      </c>
      <c r="C23" s="727"/>
      <c r="D23" s="719"/>
      <c r="E23" s="719"/>
      <c r="F23" s="720"/>
      <c r="G23" s="384"/>
      <c r="H23" s="362" t="s">
        <v>9</v>
      </c>
      <c r="I23" s="727"/>
      <c r="J23" s="728"/>
      <c r="K23" s="729"/>
    </row>
    <row r="24" spans="1:11" ht="15" thickBot="1">
      <c r="B24" s="216"/>
      <c r="C24" s="216"/>
      <c r="D24" s="216"/>
      <c r="E24" s="216"/>
      <c r="F24" s="216"/>
      <c r="G24" s="216"/>
      <c r="H24" s="217"/>
      <c r="I24" s="217"/>
      <c r="J24" s="216"/>
      <c r="K24" s="216"/>
    </row>
    <row r="25" spans="1:11" ht="29.25" customHeight="1" thickBot="1">
      <c r="B25" s="3"/>
      <c r="C25" s="3"/>
      <c r="D25" s="3"/>
      <c r="E25" s="3"/>
      <c r="F25" s="3"/>
      <c r="G25" s="335"/>
      <c r="H25" s="711" t="s">
        <v>309</v>
      </c>
      <c r="I25" s="712"/>
      <c r="J25" s="712"/>
      <c r="K25" s="713"/>
    </row>
    <row r="26" spans="1:11">
      <c r="B26" s="3"/>
      <c r="C26" s="3"/>
      <c r="D26" s="3"/>
      <c r="E26" s="3"/>
      <c r="F26" s="3"/>
      <c r="G26" s="295"/>
      <c r="H26" s="714"/>
      <c r="I26" s="715"/>
      <c r="J26" s="311" t="s">
        <v>61</v>
      </c>
      <c r="K26" s="312" t="s">
        <v>62</v>
      </c>
    </row>
    <row r="27" spans="1:11" ht="23.25" customHeight="1">
      <c r="B27" s="3"/>
      <c r="C27" s="3"/>
      <c r="D27" s="3"/>
      <c r="E27" s="3"/>
      <c r="F27" s="3"/>
      <c r="G27" s="336"/>
      <c r="H27" s="716" t="str">
        <f>'Data Entry'!B62</f>
        <v>Days taken to submit final PU/DR to LFA</v>
      </c>
      <c r="I27" s="717"/>
      <c r="J27" s="313">
        <f>+'Data Entry'!C62</f>
        <v>60</v>
      </c>
      <c r="K27" s="310" t="str">
        <f>+'Data Entry'!D62</f>
        <v>N/A</v>
      </c>
    </row>
    <row r="28" spans="1:11" ht="21" customHeight="1">
      <c r="B28" s="3"/>
      <c r="C28" s="3"/>
      <c r="D28" s="3"/>
      <c r="E28" s="3"/>
      <c r="F28" s="3"/>
      <c r="G28" s="336"/>
      <c r="H28" s="716" t="str">
        <f>'Data Entry'!B63</f>
        <v>Days taken for disbursement to reach PR</v>
      </c>
      <c r="I28" s="717"/>
      <c r="J28" s="313">
        <f>+'Data Entry'!C63</f>
        <v>45</v>
      </c>
      <c r="K28" s="310" t="str">
        <f>+'Data Entry'!D63</f>
        <v>N/A</v>
      </c>
    </row>
    <row r="29" spans="1:11" ht="21" customHeight="1" thickBot="1">
      <c r="B29" s="3"/>
      <c r="C29" s="3"/>
      <c r="D29" s="3"/>
      <c r="E29" s="3"/>
      <c r="F29" s="3"/>
      <c r="G29" s="336"/>
      <c r="H29" s="730" t="str">
        <f>'Data Entry'!B64</f>
        <v xml:space="preserve">Days taken for disbursement to reach SRs </v>
      </c>
      <c r="I29" s="731"/>
      <c r="J29" s="314">
        <f>+'Data Entry'!C64</f>
        <v>5</v>
      </c>
      <c r="K29" s="315">
        <f>+'Data Entry'!D64</f>
        <v>2</v>
      </c>
    </row>
    <row r="30" spans="1:11">
      <c r="B30" s="3"/>
      <c r="C30" s="3"/>
      <c r="D30" s="3"/>
      <c r="E30" s="3"/>
      <c r="F30" s="3"/>
      <c r="G30" s="3"/>
      <c r="H30" s="3"/>
      <c r="I30" s="3"/>
      <c r="J30" s="3"/>
      <c r="K30" s="3"/>
    </row>
    <row r="31" spans="1:11">
      <c r="B31" s="3"/>
      <c r="C31" s="15"/>
      <c r="D31" s="238"/>
      <c r="E31" s="3"/>
      <c r="F31" s="3"/>
      <c r="G31" s="3"/>
      <c r="H31" s="3"/>
      <c r="I31" s="3"/>
      <c r="J31" s="3"/>
      <c r="K31" s="3"/>
    </row>
    <row r="32" spans="1:11">
      <c r="B32" s="3"/>
      <c r="C32" s="15"/>
      <c r="D32" s="238"/>
      <c r="E32" s="3"/>
      <c r="F32" s="3"/>
      <c r="G32" s="3"/>
      <c r="H32" s="3"/>
      <c r="I32" s="3"/>
      <c r="J32" s="3"/>
      <c r="K32" s="3"/>
    </row>
    <row r="34" spans="5:5">
      <c r="E34" s="19"/>
    </row>
  </sheetData>
  <sheetProtection password="CFC9" sheet="1"/>
  <mergeCells count="18">
    <mergeCell ref="H28:I28"/>
    <mergeCell ref="H29:I29"/>
    <mergeCell ref="B2:K2"/>
    <mergeCell ref="D5:I5"/>
    <mergeCell ref="I4:J4"/>
    <mergeCell ref="I3:J3"/>
    <mergeCell ref="E3:H3"/>
    <mergeCell ref="C3:D3"/>
    <mergeCell ref="C4:D4"/>
    <mergeCell ref="E4:H4"/>
    <mergeCell ref="E6:H6"/>
    <mergeCell ref="H25:K25"/>
    <mergeCell ref="H26:I26"/>
    <mergeCell ref="H27:I27"/>
    <mergeCell ref="C9:F9"/>
    <mergeCell ref="I23:K23"/>
    <mergeCell ref="C23:F23"/>
    <mergeCell ref="I9:K9"/>
  </mergeCells>
  <phoneticPr fontId="30" type="noConversion"/>
  <conditionalFormatting sqref="K27:K29">
    <cfRule type="cellIs" dxfId="29" priority="4" stopIfTrue="1" operator="greaterThan">
      <formula>#REF!</formula>
    </cfRule>
    <cfRule type="cellIs" dxfId="28" priority="5" stopIfTrue="1" operator="between">
      <formula>#REF!</formula>
      <formula>1</formula>
    </cfRule>
    <cfRule type="cellIs" dxfId="27" priority="6" stopIfTrue="1" operator="equal">
      <formula>0</formula>
    </cfRule>
  </conditionalFormatting>
  <conditionalFormatting sqref="C4:D4">
    <cfRule type="cellIs" dxfId="26" priority="1" stopIfTrue="1" operator="equal">
      <formula>"C"</formula>
    </cfRule>
    <cfRule type="cellIs" dxfId="25" priority="2" stopIfTrue="1" operator="equal">
      <formula>"B2"</formula>
    </cfRule>
    <cfRule type="cellIs" dxfId="24" priority="3" stopIfTrue="1" operator="equal">
      <formula>"B1"</formula>
    </cfRule>
  </conditionalFormatting>
  <pageMargins left="0.70866141732283472" right="0.70866141732283472" top="0.74803149606299213" bottom="0.74803149606299213" header="0.31496062992125984" footer="0.31496062992125984"/>
  <pageSetup paperSize="9" scale="97" orientation="landscape"/>
  <headerFooter>
    <oddFooter>&amp;L&amp;F&amp;C&amp;A&amp;RV1.0          &amp;D</oddFoot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1"/>
  </sheetPr>
  <dimension ref="A1:P35"/>
  <sheetViews>
    <sheetView showGridLines="0" zoomScale="130" zoomScaleNormal="130" zoomScalePageLayoutView="130" workbookViewId="0">
      <selection activeCell="O25" sqref="O25"/>
    </sheetView>
  </sheetViews>
  <sheetFormatPr defaultColWidth="11" defaultRowHeight="14.5"/>
  <cols>
    <col min="1" max="1" width="3.36328125" customWidth="1"/>
    <col min="2" max="2" width="10.453125" customWidth="1"/>
    <col min="3" max="3" width="12.453125" customWidth="1"/>
    <col min="4" max="4" width="13.08984375" customWidth="1"/>
    <col min="5" max="5" width="11.453125" customWidth="1"/>
    <col min="6" max="6" width="17" customWidth="1"/>
    <col min="7" max="7" width="3.90625" customWidth="1"/>
    <col min="8" max="8" width="9.90625" customWidth="1"/>
    <col min="9" max="9" width="13" customWidth="1"/>
    <col min="10" max="10" width="13.6328125" customWidth="1"/>
    <col min="11" max="11" width="13.453125" customWidth="1"/>
    <col min="12" max="12" width="14.08984375" customWidth="1"/>
  </cols>
  <sheetData>
    <row r="1" spans="1:16" ht="28.5" customHeight="1">
      <c r="C1" s="234"/>
      <c r="E1" s="235"/>
    </row>
    <row r="2" spans="1:16" ht="27.75" customHeight="1">
      <c r="B2" s="737" t="str">
        <f>+"Dashboard:  "&amp;"  "&amp;IF(+'Data Entry'!C4="Please Select","",'Data Entry'!C4&amp;" - ")&amp;IF('Data Entry'!G6="Please Select","",'Data Entry'!G6)</f>
        <v>Dashboard:    Georgia - TB</v>
      </c>
      <c r="C2" s="737"/>
      <c r="D2" s="737"/>
      <c r="E2" s="737"/>
      <c r="F2" s="737"/>
      <c r="G2" s="737"/>
      <c r="H2" s="737"/>
      <c r="I2" s="737"/>
      <c r="J2" s="737"/>
      <c r="K2" s="737"/>
      <c r="L2" s="737"/>
      <c r="M2" s="26"/>
      <c r="N2" s="26"/>
      <c r="O2" s="26"/>
      <c r="P2" s="26"/>
    </row>
    <row r="3" spans="1:16">
      <c r="B3" s="24" t="str">
        <f>+IF('Data Entry'!G8="Please Select","",'Data Entry'!G8)</f>
        <v>Round 10</v>
      </c>
      <c r="C3" s="735" t="str">
        <f>+IF('Data Entry'!I8="Please Select","",'Data Entry'!I8)</f>
        <v>Phase 2</v>
      </c>
      <c r="D3" s="735"/>
      <c r="E3" s="736"/>
      <c r="F3" s="736"/>
      <c r="G3" s="736"/>
      <c r="H3" s="736"/>
      <c r="I3" s="736"/>
      <c r="J3" s="739" t="str">
        <f>+'Data Entry'!B16</f>
        <v>Report Period:</v>
      </c>
      <c r="K3" s="739"/>
      <c r="L3" s="201" t="str">
        <f>+'Data Entry'!C16</f>
        <v>P9</v>
      </c>
    </row>
    <row r="4" spans="1:16">
      <c r="B4" s="24" t="str">
        <f>+'Data Entry'!B12</f>
        <v>Latest Rating:</v>
      </c>
      <c r="C4" s="726" t="str">
        <f>+IF('Data Entry'!C12="Please Select","",'Data Entry'!C12)</f>
        <v>A2</v>
      </c>
      <c r="D4" s="726"/>
      <c r="E4" s="736" t="str">
        <f>+'Data Entry'!C8</f>
        <v>NCDC</v>
      </c>
      <c r="F4" s="736"/>
      <c r="G4" s="736"/>
      <c r="H4" s="736"/>
      <c r="I4" s="736"/>
      <c r="J4" s="739" t="str">
        <f>+'Data Entry'!D16</f>
        <v>From:</v>
      </c>
      <c r="K4" s="743"/>
      <c r="L4" s="203">
        <f>+IF(ISBLANK('Data Entry'!E16),"",'Data Entry'!E16)</f>
        <v>42461</v>
      </c>
    </row>
    <row r="5" spans="1:16" ht="18.75" customHeight="1">
      <c r="B5" s="24"/>
      <c r="C5" s="24"/>
      <c r="D5" s="736">
        <f>+'Data Entry'!G4</f>
        <v>0</v>
      </c>
      <c r="E5" s="736"/>
      <c r="F5" s="736"/>
      <c r="G5" s="736"/>
      <c r="H5" s="736"/>
      <c r="I5" s="736"/>
      <c r="J5" s="736"/>
      <c r="K5" s="24" t="str">
        <f>+'Data Entry'!F16</f>
        <v>To:</v>
      </c>
      <c r="L5" s="203">
        <f>+IF(ISBLANK('Data Entry'!G16),"",'Data Entry'!G16)</f>
        <v>42551</v>
      </c>
    </row>
    <row r="6" spans="1:16" ht="18.5">
      <c r="B6" s="23"/>
      <c r="C6" s="24"/>
      <c r="D6" s="25"/>
      <c r="E6" s="738" t="s">
        <v>70</v>
      </c>
      <c r="F6" s="738"/>
      <c r="G6" s="738"/>
      <c r="H6" s="738"/>
      <c r="I6" s="738"/>
    </row>
    <row r="7" spans="1:16">
      <c r="B7" s="385" t="str">
        <f>+'Data Entry'!B69&amp;"                "&amp;+J3&amp;" "&amp;+L3</f>
        <v>M1: Status of Conditions Precedent (CPs) and Time Bound Actions (TBAs)                Report Period: P9</v>
      </c>
      <c r="C7" s="21"/>
      <c r="H7" s="385" t="str">
        <f>+'Data Entry'!B76&amp;"                                                                             "&amp;+J3&amp;"  "&amp;+L3</f>
        <v>M2: Status of key PR management positions                                                                             Report Period:  P9</v>
      </c>
    </row>
    <row r="8" spans="1:16">
      <c r="B8" s="363" t="s">
        <v>9</v>
      </c>
      <c r="C8" s="727"/>
      <c r="D8" s="728"/>
      <c r="E8" s="728"/>
      <c r="F8" s="729"/>
      <c r="G8" s="386"/>
      <c r="H8" s="362" t="s">
        <v>9</v>
      </c>
      <c r="I8" s="727"/>
      <c r="J8" s="733"/>
      <c r="K8" s="733"/>
      <c r="L8" s="734"/>
    </row>
    <row r="9" spans="1:16">
      <c r="B9" s="19"/>
      <c r="C9" s="19"/>
      <c r="D9" s="19"/>
      <c r="E9" s="19"/>
      <c r="F9" s="19"/>
      <c r="G9" s="19"/>
      <c r="H9" s="19"/>
    </row>
    <row r="10" spans="1:16">
      <c r="A10" s="47"/>
      <c r="B10" s="19"/>
      <c r="C10" s="19"/>
      <c r="D10" s="744"/>
      <c r="E10" s="584"/>
      <c r="F10" s="584"/>
      <c r="G10" s="210"/>
      <c r="H10" s="19"/>
      <c r="N10" s="49"/>
      <c r="O10" s="49"/>
      <c r="P10" s="48"/>
    </row>
    <row r="11" spans="1:16">
      <c r="B11" s="19"/>
      <c r="C11" s="28"/>
      <c r="D11" s="744"/>
      <c r="E11" s="28"/>
      <c r="F11" s="28"/>
      <c r="G11" s="28"/>
      <c r="H11" s="28"/>
      <c r="N11" s="19"/>
      <c r="O11" s="19"/>
    </row>
    <row r="12" spans="1:16">
      <c r="B12" s="28"/>
      <c r="C12" s="79"/>
      <c r="D12" s="80"/>
      <c r="E12" s="80"/>
      <c r="F12" s="80"/>
      <c r="G12" s="80"/>
      <c r="H12" s="81"/>
    </row>
    <row r="13" spans="1:16">
      <c r="B13" s="28"/>
      <c r="C13" s="79"/>
      <c r="D13" s="80"/>
      <c r="E13" s="80"/>
      <c r="F13" s="80"/>
      <c r="G13" s="80"/>
      <c r="H13" s="81"/>
    </row>
    <row r="15" spans="1:16" ht="27.75" customHeight="1">
      <c r="B15" s="385" t="str">
        <f>+'Data Entry'!B81&amp;"                                                                                                  "&amp;+J3&amp;" "&amp;+L3</f>
        <v>M3: Contractual arrangements (SRs)                                                                                                   Report Period: P9</v>
      </c>
      <c r="H15" s="385" t="str">
        <f>+'Data Entry'!B86&amp;"                                                             "&amp;+J3&amp;" "&amp;+L3</f>
        <v>M4: Number of complete reports received on time                                                             Report Period: P9</v>
      </c>
    </row>
    <row r="16" spans="1:16">
      <c r="B16" s="363" t="s">
        <v>9</v>
      </c>
      <c r="C16" s="727"/>
      <c r="D16" s="733"/>
      <c r="E16" s="733"/>
      <c r="F16" s="734"/>
      <c r="G16" s="386"/>
      <c r="H16" s="362" t="s">
        <v>9</v>
      </c>
      <c r="I16" s="727"/>
      <c r="J16" s="728"/>
      <c r="K16" s="728"/>
      <c r="L16" s="729"/>
    </row>
    <row r="17" spans="2:13">
      <c r="B17" s="29"/>
      <c r="H17" s="30"/>
    </row>
    <row r="18" spans="2:13">
      <c r="M18" s="83"/>
    </row>
    <row r="26" spans="2:13">
      <c r="B26" s="385" t="str">
        <f>+'Data Entry'!B92</f>
        <v>M5: Budget and Procurement of health products, health equipment, medicines and pharmaceuticals</v>
      </c>
      <c r="H26" s="385" t="str">
        <f>+'Data Entry'!B105&amp;"                                                                "&amp;+J3&amp;"  "&amp;+L3</f>
        <v>M6: Difference between current and safety stock                                                                Report Period:  P9</v>
      </c>
    </row>
    <row r="27" spans="2:13">
      <c r="B27" s="361" t="s">
        <v>9</v>
      </c>
      <c r="C27" s="718"/>
      <c r="D27" s="733"/>
      <c r="E27" s="733"/>
      <c r="F27" s="734"/>
      <c r="G27" s="386"/>
      <c r="H27" s="362" t="s">
        <v>9</v>
      </c>
      <c r="I27" s="727" t="s">
        <v>432</v>
      </c>
      <c r="J27" s="728"/>
      <c r="K27" s="728"/>
      <c r="L27" s="729"/>
    </row>
    <row r="28" spans="2:13" ht="15" thickBot="1"/>
    <row r="29" spans="2:13" ht="44.25" customHeight="1">
      <c r="F29" s="342"/>
      <c r="G29" s="342"/>
      <c r="H29" s="222" t="s">
        <v>33</v>
      </c>
      <c r="I29" s="338" t="s">
        <v>80</v>
      </c>
      <c r="J29" s="359" t="s">
        <v>344</v>
      </c>
      <c r="K29" s="221" t="s">
        <v>332</v>
      </c>
      <c r="L29" s="339" t="s">
        <v>331</v>
      </c>
    </row>
    <row r="30" spans="2:13" ht="15" customHeight="1">
      <c r="F30" s="342"/>
      <c r="G30" s="342"/>
      <c r="H30" s="740" t="str">
        <f>+'Data Entry'!B108</f>
        <v>TB</v>
      </c>
      <c r="I30" s="340" t="str">
        <f>+'Data Entry'!C108</f>
        <v>Cycloserine</v>
      </c>
      <c r="J30" s="453">
        <f>+'Data Entry'!I108</f>
        <v>20.139682539682539</v>
      </c>
      <c r="K30" s="454">
        <f>+'Data Entry'!J108</f>
        <v>4</v>
      </c>
      <c r="L30" s="431">
        <f>+'Data Entry'!K108</f>
        <v>16.139682539682539</v>
      </c>
    </row>
    <row r="31" spans="2:13">
      <c r="F31" s="342"/>
      <c r="G31" s="342"/>
      <c r="H31" s="741"/>
      <c r="I31" s="340" t="str">
        <f>+'Data Entry'!C109</f>
        <v>PAS</v>
      </c>
      <c r="J31" s="453">
        <f>+'Data Entry'!I109</f>
        <v>16.195416666666667</v>
      </c>
      <c r="K31" s="454">
        <f>+'Data Entry'!J109</f>
        <v>4</v>
      </c>
      <c r="L31" s="432">
        <f>+'Data Entry'!K109</f>
        <v>12.195416666666667</v>
      </c>
    </row>
    <row r="32" spans="2:13">
      <c r="F32" s="342"/>
      <c r="G32" s="342"/>
      <c r="H32" s="741"/>
      <c r="I32" s="340" t="str">
        <f>+'Data Entry'!C110</f>
        <v>Clarithromycin</v>
      </c>
      <c r="J32" s="453">
        <f>+'Data Entry'!I110</f>
        <v>11.946666666666667</v>
      </c>
      <c r="K32" s="454">
        <f>+'Data Entry'!J110</f>
        <v>4</v>
      </c>
      <c r="L32" s="431">
        <f>+'Data Entry'!K110</f>
        <v>7.9466666666666672</v>
      </c>
    </row>
    <row r="33" spans="2:12" ht="15" thickBot="1">
      <c r="F33" s="342"/>
      <c r="G33" s="342"/>
      <c r="H33" s="742"/>
      <c r="I33" s="341" t="str">
        <f>+'Data Entry'!C111</f>
        <v>Clofazimine</v>
      </c>
      <c r="J33" s="455">
        <f>+'Data Entry'!I111</f>
        <v>6.8719444444444449</v>
      </c>
      <c r="K33" s="456">
        <f>+'Data Entry'!J111</f>
        <v>4</v>
      </c>
      <c r="L33" s="432">
        <f>+'Data Entry'!K111</f>
        <v>2.8719444444444449</v>
      </c>
    </row>
    <row r="34" spans="2:12" ht="24.75" customHeight="1">
      <c r="B34" s="732" t="str">
        <f>+'Data Entry'!B102</f>
        <v>* Includes only EFR category 4 and 5  (Health products and health equipment &amp; Medicines and Pharmaceuticals)</v>
      </c>
      <c r="C34" s="732"/>
      <c r="D34" s="732"/>
      <c r="E34" s="732"/>
      <c r="F34" s="19"/>
      <c r="G34" s="19"/>
      <c r="H34" s="218"/>
      <c r="I34" s="219"/>
      <c r="J34" s="220"/>
      <c r="K34" s="210"/>
      <c r="L34" s="20"/>
    </row>
    <row r="35" spans="2:12">
      <c r="F35" s="19"/>
      <c r="G35" s="19"/>
      <c r="H35" s="19"/>
      <c r="I35" s="19"/>
      <c r="J35" s="19"/>
      <c r="K35" s="19"/>
      <c r="L35" s="19"/>
    </row>
  </sheetData>
  <mergeCells count="19">
    <mergeCell ref="C16:F16"/>
    <mergeCell ref="E10:F10"/>
    <mergeCell ref="C8:F8"/>
    <mergeCell ref="B34:E34"/>
    <mergeCell ref="C27:F27"/>
    <mergeCell ref="C3:D3"/>
    <mergeCell ref="E4:I4"/>
    <mergeCell ref="B2:L2"/>
    <mergeCell ref="C4:D4"/>
    <mergeCell ref="E6:I6"/>
    <mergeCell ref="E3:I3"/>
    <mergeCell ref="J3:K3"/>
    <mergeCell ref="H30:H33"/>
    <mergeCell ref="J4:K4"/>
    <mergeCell ref="I8:L8"/>
    <mergeCell ref="D5:J5"/>
    <mergeCell ref="I16:L16"/>
    <mergeCell ref="I27:L27"/>
    <mergeCell ref="D10:D11"/>
  </mergeCells>
  <phoneticPr fontId="30" type="noConversion"/>
  <conditionalFormatting sqref="D12:D13">
    <cfRule type="cellIs" dxfId="23" priority="1" stopIfTrue="1" operator="greaterThan">
      <formula>0</formula>
    </cfRule>
  </conditionalFormatting>
  <conditionalFormatting sqref="E12:E13">
    <cfRule type="cellIs" dxfId="22" priority="2" stopIfTrue="1" operator="greaterThan">
      <formula>0</formula>
    </cfRule>
  </conditionalFormatting>
  <conditionalFormatting sqref="F12:G13">
    <cfRule type="cellIs" dxfId="21" priority="3" stopIfTrue="1" operator="greaterThan">
      <formula>0</formula>
    </cfRule>
  </conditionalFormatting>
  <conditionalFormatting sqref="C4:D4">
    <cfRule type="cellIs" dxfId="20" priority="4" stopIfTrue="1" operator="equal">
      <formula>"C"</formula>
    </cfRule>
    <cfRule type="cellIs" dxfId="19" priority="5" stopIfTrue="1" operator="equal">
      <formula>"B2"</formula>
    </cfRule>
    <cfRule type="cellIs" dxfId="18" priority="6" stopIfTrue="1" operator="equal">
      <formula>"B1"</formula>
    </cfRule>
  </conditionalFormatting>
  <conditionalFormatting sqref="L30 L32:L33">
    <cfRule type="cellIs" dxfId="17" priority="13" stopIfTrue="1" operator="lessThan">
      <formula>1</formula>
    </cfRule>
    <cfRule type="cellIs" dxfId="16" priority="14" stopIfTrue="1" operator="between">
      <formula>3</formula>
      <formula>17</formula>
    </cfRule>
    <cfRule type="cellIs" dxfId="15" priority="15" stopIfTrue="1" operator="between">
      <formula>1</formula>
      <formula>3</formula>
    </cfRule>
  </conditionalFormatting>
  <conditionalFormatting sqref="L31">
    <cfRule type="cellIs" dxfId="14" priority="16" stopIfTrue="1" operator="lessThan">
      <formula>1</formula>
    </cfRule>
    <cfRule type="cellIs" dxfId="13" priority="17" stopIfTrue="1" operator="between">
      <formula>3</formula>
      <formula>100</formula>
    </cfRule>
    <cfRule type="cellIs" dxfId="12" priority="18" stopIfTrue="1" operator="between">
      <formula>1</formula>
      <formula>3</formula>
    </cfRule>
  </conditionalFormatting>
  <pageMargins left="0.70866141732283472" right="0.70866141732283472" top="0.74803149606299213" bottom="0.74803149606299213" header="0.31496062992125984" footer="0.31496062992125984"/>
  <pageSetup paperSize="9" scale="83" orientation="landscape" r:id="rId1"/>
  <headerFooter alignWithMargins="0">
    <oddFooter>&amp;L&amp;F&amp;C&amp;A&amp;RV1.0          &amp;D</oddFooter>
  </headerFooter>
  <colBreaks count="1" manualBreakCount="1">
    <brk id="12" max="33" man="1"/>
  </colBreaks>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1"/>
  </sheetPr>
  <dimension ref="A1:AI46"/>
  <sheetViews>
    <sheetView showGridLines="0" topLeftCell="E24" zoomScale="150" zoomScaleNormal="150" zoomScalePageLayoutView="150" workbookViewId="0">
      <selection activeCell="L30" sqref="L30:P30"/>
    </sheetView>
  </sheetViews>
  <sheetFormatPr defaultColWidth="11" defaultRowHeight="14.5"/>
  <cols>
    <col min="1" max="1" width="0.453125" customWidth="1"/>
    <col min="2" max="2" width="11.36328125" customWidth="1"/>
    <col min="3" max="3" width="16.08984375" customWidth="1"/>
    <col min="4" max="4" width="17.36328125" customWidth="1"/>
    <col min="5" max="5" width="8" customWidth="1"/>
    <col min="6" max="6" width="7.6328125" customWidth="1"/>
    <col min="7" max="7" width="5.6328125" customWidth="1"/>
    <col min="8" max="8" width="6.36328125" customWidth="1"/>
    <col min="9" max="9" width="6" customWidth="1"/>
    <col min="10" max="10" width="4.08984375" customWidth="1"/>
    <col min="11" max="11" width="12.453125" customWidth="1"/>
    <col min="12" max="12" width="8.453125" customWidth="1"/>
    <col min="13" max="13" width="5" customWidth="1"/>
    <col min="14" max="14" width="6.453125" customWidth="1"/>
    <col min="15" max="15" width="4.08984375" customWidth="1"/>
    <col min="16" max="16" width="10.6328125" customWidth="1"/>
    <col min="17" max="17" width="11.6328125" customWidth="1"/>
    <col min="18" max="18" width="6.453125" customWidth="1"/>
  </cols>
  <sheetData>
    <row r="1" spans="1:35" ht="26.25" customHeight="1">
      <c r="A1" s="3"/>
      <c r="B1" s="3"/>
      <c r="C1" s="3"/>
      <c r="D1" s="3"/>
      <c r="E1" s="3"/>
      <c r="F1" s="3"/>
      <c r="G1" s="3"/>
      <c r="H1" s="3"/>
      <c r="I1" s="3"/>
      <c r="J1" s="3"/>
      <c r="K1" s="3"/>
      <c r="L1" s="3"/>
      <c r="M1" s="3"/>
      <c r="N1" s="3"/>
      <c r="O1" s="3"/>
      <c r="P1" s="3"/>
    </row>
    <row r="2" spans="1:35" ht="21.75" customHeight="1">
      <c r="A2" s="3"/>
      <c r="B2" s="777" t="str">
        <f>+"Dashboard:  "&amp;"  "&amp;IF(+'Data Entry'!C4="Please Select","",'Data Entry'!C4&amp;" - ")&amp;IF('Data Entry'!G6="Please Select","",'Data Entry'!G6)</f>
        <v>Dashboard:    Georgia - TB</v>
      </c>
      <c r="C2" s="777"/>
      <c r="D2" s="777"/>
      <c r="E2" s="777"/>
      <c r="F2" s="777"/>
      <c r="G2" s="777"/>
      <c r="H2" s="777"/>
      <c r="I2" s="777"/>
      <c r="J2" s="777"/>
      <c r="K2" s="777"/>
      <c r="L2" s="777"/>
      <c r="M2" s="777"/>
      <c r="N2" s="777"/>
      <c r="O2" s="777"/>
      <c r="P2" s="777"/>
      <c r="Q2" s="777"/>
    </row>
    <row r="3" spans="1:35" ht="18.5">
      <c r="A3" s="3"/>
      <c r="B3" s="135" t="str">
        <f>+IF('Data Entry'!G8="Please Select","",'Data Entry'!G8)</f>
        <v>Round 10</v>
      </c>
      <c r="C3" s="725" t="str">
        <f>+IF('Data Entry'!I8="Please Select","",'Data Entry'!I8)</f>
        <v>Phase 2</v>
      </c>
      <c r="D3" s="725"/>
      <c r="E3" s="724"/>
      <c r="F3" s="724"/>
      <c r="G3" s="724"/>
      <c r="H3" s="724"/>
      <c r="I3" s="779"/>
      <c r="J3" s="779"/>
      <c r="K3" s="779"/>
      <c r="L3" s="3"/>
      <c r="M3" s="3"/>
      <c r="O3" s="722" t="str">
        <f>+'Data Entry'!B16</f>
        <v>Report Period:</v>
      </c>
      <c r="P3" s="722"/>
      <c r="Q3" s="202" t="str">
        <f>+'Data Entry'!C16</f>
        <v>P9</v>
      </c>
    </row>
    <row r="4" spans="1:35" ht="12" customHeight="1">
      <c r="A4" s="3"/>
      <c r="B4" s="135" t="str">
        <f>+'Data Entry'!B12</f>
        <v>Latest Rating:</v>
      </c>
      <c r="C4" s="780" t="str">
        <f>+IF('Data Entry'!C12="Please Select","",'Data Entry'!C12)</f>
        <v>A2</v>
      </c>
      <c r="D4" s="780"/>
      <c r="E4" s="724" t="str">
        <f>+'Data Entry'!C8</f>
        <v>NCDC</v>
      </c>
      <c r="F4" s="724"/>
      <c r="G4" s="724"/>
      <c r="H4" s="724"/>
      <c r="I4" s="724"/>
      <c r="J4" s="724"/>
      <c r="K4" s="724"/>
      <c r="L4" s="724"/>
      <c r="M4" s="3"/>
      <c r="O4" s="344"/>
      <c r="P4" s="135" t="str">
        <f>+'Data Entry'!D16</f>
        <v>From:</v>
      </c>
      <c r="Q4" s="345">
        <f>+IF(ISBLANK('Data Entry'!E16),"",'Data Entry'!E16)</f>
        <v>42461</v>
      </c>
      <c r="Y4" s="71"/>
      <c r="Z4" s="71"/>
      <c r="AA4" s="71"/>
      <c r="AB4" s="71"/>
      <c r="AC4" s="71"/>
    </row>
    <row r="5" spans="1:35" ht="15.75" customHeight="1">
      <c r="A5" s="3"/>
      <c r="B5" s="135"/>
      <c r="C5" s="135"/>
      <c r="D5" s="724">
        <f>+'Data Entry'!G4</f>
        <v>0</v>
      </c>
      <c r="E5" s="724"/>
      <c r="F5" s="724"/>
      <c r="G5" s="724"/>
      <c r="H5" s="724"/>
      <c r="I5" s="724"/>
      <c r="J5" s="724"/>
      <c r="K5" s="724"/>
      <c r="L5" s="724"/>
      <c r="M5" s="724"/>
      <c r="N5" s="724"/>
      <c r="P5" s="135" t="str">
        <f>+'Data Entry'!F16</f>
        <v>To:</v>
      </c>
      <c r="Q5" s="345">
        <f>+IF(ISBLANK('Data Entry'!G16),"",'Data Entry'!G16)</f>
        <v>42551</v>
      </c>
      <c r="S5" s="229"/>
      <c r="T5" s="229"/>
      <c r="U5" s="229"/>
      <c r="V5" s="229"/>
      <c r="W5" s="229"/>
      <c r="X5" s="229"/>
      <c r="Y5" s="71"/>
      <c r="Z5" s="71"/>
      <c r="AA5" s="71" t="s">
        <v>43</v>
      </c>
      <c r="AB5" s="71"/>
      <c r="AC5" s="71" t="s">
        <v>265</v>
      </c>
      <c r="AD5" s="229"/>
      <c r="AE5" s="229"/>
      <c r="AF5" s="229"/>
      <c r="AG5" s="229"/>
      <c r="AH5" s="229"/>
      <c r="AI5" s="229"/>
    </row>
    <row r="6" spans="1:35" ht="15.75" customHeight="1">
      <c r="A6" s="3"/>
      <c r="B6" s="135"/>
      <c r="C6" s="135"/>
      <c r="D6" s="227"/>
      <c r="E6" s="227"/>
      <c r="F6" s="778" t="s">
        <v>394</v>
      </c>
      <c r="G6" s="778"/>
      <c r="H6" s="778"/>
      <c r="I6" s="778"/>
      <c r="J6" s="778"/>
      <c r="K6" s="778"/>
      <c r="L6" s="227"/>
      <c r="M6" s="3"/>
      <c r="N6" s="3"/>
      <c r="O6" s="204"/>
      <c r="P6" s="262"/>
      <c r="S6" s="229"/>
      <c r="T6" s="229"/>
      <c r="U6" s="229"/>
      <c r="V6" s="229"/>
      <c r="W6" s="229"/>
      <c r="X6" s="229"/>
      <c r="Y6" s="71"/>
      <c r="Z6" s="71"/>
      <c r="AA6" s="71"/>
      <c r="AB6" s="71"/>
      <c r="AC6" s="71"/>
      <c r="AD6" s="229"/>
      <c r="AE6" s="229"/>
      <c r="AF6" s="229"/>
      <c r="AG6" s="229"/>
      <c r="AH6" s="229"/>
      <c r="AI6" s="229"/>
    </row>
    <row r="7" spans="1:35" ht="3" customHeight="1">
      <c r="A7" s="3"/>
      <c r="B7" s="135"/>
      <c r="C7" s="135"/>
      <c r="D7" s="227"/>
      <c r="E7" s="227"/>
      <c r="F7" s="227"/>
      <c r="G7" s="227"/>
      <c r="H7" s="227"/>
      <c r="I7" s="227"/>
      <c r="J7" s="227"/>
      <c r="K7" s="227"/>
      <c r="L7" s="227"/>
      <c r="M7" s="3"/>
      <c r="N7" s="3"/>
      <c r="O7" s="204"/>
      <c r="P7" s="203"/>
      <c r="Q7" s="203"/>
      <c r="S7" s="229"/>
      <c r="T7" s="229"/>
      <c r="U7" s="229"/>
      <c r="V7" s="229"/>
      <c r="W7" s="229"/>
      <c r="X7" s="229"/>
      <c r="Y7" s="71"/>
      <c r="Z7" s="71"/>
      <c r="AA7" s="71"/>
      <c r="AB7" s="71"/>
      <c r="AC7" s="71"/>
      <c r="AD7" s="229"/>
      <c r="AE7" s="229"/>
      <c r="AF7" s="229"/>
      <c r="AG7" s="229"/>
      <c r="AH7" s="229"/>
      <c r="AI7" s="229"/>
    </row>
    <row r="8" spans="1:35" ht="18.75" customHeight="1">
      <c r="A8" s="3"/>
      <c r="B8" s="750" t="str">
        <f>+'Data Entry'!B118</f>
        <v xml:space="preserve">Percentage of TB patients who had an HIV test result recorded in the TB register </v>
      </c>
      <c r="C8" s="750"/>
      <c r="D8" s="750"/>
      <c r="E8" s="750"/>
      <c r="F8" s="750" t="str">
        <f>+'Data Entry'!B120</f>
        <v>Number and percentage of M/XDR-TB patients on treatment receiving cash incentives for better adherence to treatment during out-patient phase</v>
      </c>
      <c r="G8" s="750"/>
      <c r="H8" s="750"/>
      <c r="I8" s="750"/>
      <c r="J8" s="750"/>
      <c r="K8" s="750"/>
      <c r="L8" s="750" t="str">
        <f>+'Data Entry'!B122</f>
        <v xml:space="preserve">
Number of notified cases of all forms of TB - (i.e. bacteriologically confirmed +clinically diagnosed) (new and relapse)
</v>
      </c>
      <c r="M8" s="750"/>
      <c r="N8" s="750"/>
      <c r="O8" s="750"/>
      <c r="P8" s="750"/>
      <c r="Q8" s="750"/>
      <c r="S8" s="229"/>
      <c r="T8" s="229"/>
      <c r="U8" s="229"/>
      <c r="V8" s="229"/>
      <c r="W8" s="229"/>
      <c r="X8" s="229"/>
      <c r="Y8" s="71"/>
      <c r="Z8" s="71"/>
      <c r="AA8" s="71"/>
      <c r="AB8" s="71"/>
      <c r="AC8" s="71"/>
      <c r="AD8" s="229"/>
      <c r="AE8" s="229"/>
      <c r="AF8" s="229"/>
      <c r="AG8" s="229"/>
      <c r="AH8" s="229"/>
      <c r="AI8" s="229"/>
    </row>
    <row r="9" spans="1:35" ht="24" customHeight="1">
      <c r="A9" s="3"/>
      <c r="B9" s="484" t="s">
        <v>413</v>
      </c>
      <c r="C9" s="745"/>
      <c r="D9" s="746"/>
      <c r="E9" s="747"/>
      <c r="F9" s="484" t="s">
        <v>414</v>
      </c>
      <c r="G9" s="745"/>
      <c r="H9" s="746"/>
      <c r="I9" s="746"/>
      <c r="J9" s="746"/>
      <c r="K9" s="747"/>
      <c r="L9" s="484" t="s">
        <v>415</v>
      </c>
      <c r="M9" s="745"/>
      <c r="N9" s="748"/>
      <c r="O9" s="748"/>
      <c r="P9" s="748"/>
      <c r="Q9" s="749"/>
      <c r="S9" s="229"/>
      <c r="T9" s="229"/>
      <c r="U9" s="229"/>
      <c r="V9" s="229"/>
      <c r="W9" s="229"/>
      <c r="X9" s="229"/>
      <c r="Y9" s="229"/>
      <c r="Z9" s="229"/>
      <c r="AA9" s="229"/>
      <c r="AB9" s="229"/>
      <c r="AC9" s="229"/>
      <c r="AD9" s="229"/>
      <c r="AE9" s="229"/>
      <c r="AF9" s="229"/>
      <c r="AG9" s="229"/>
      <c r="AH9" s="229"/>
      <c r="AI9" s="229"/>
    </row>
    <row r="10" spans="1:35" ht="18.75" customHeight="1">
      <c r="A10" s="3"/>
      <c r="B10" s="135"/>
      <c r="C10" s="135"/>
      <c r="D10" s="227"/>
      <c r="E10" s="227"/>
      <c r="F10" s="227"/>
      <c r="G10" s="227"/>
      <c r="H10" s="227"/>
      <c r="I10" s="227"/>
      <c r="J10" s="227"/>
      <c r="K10" s="227"/>
      <c r="L10" s="227"/>
      <c r="M10" s="3"/>
      <c r="N10" s="3"/>
      <c r="O10" s="204"/>
      <c r="P10" s="203"/>
      <c r="S10" s="229"/>
      <c r="T10" s="229"/>
      <c r="U10" s="229"/>
      <c r="V10" s="229"/>
      <c r="W10" s="229"/>
      <c r="X10" s="229"/>
      <c r="Y10" s="229"/>
      <c r="Z10" s="229"/>
      <c r="AA10" s="229"/>
      <c r="AB10" s="229"/>
      <c r="AC10" s="229"/>
      <c r="AD10" s="229"/>
      <c r="AE10" s="229"/>
      <c r="AF10" s="229"/>
      <c r="AG10" s="229"/>
      <c r="AH10" s="229"/>
      <c r="AI10" s="229"/>
    </row>
    <row r="11" spans="1:35" ht="18.75" customHeight="1">
      <c r="A11" s="3"/>
      <c r="B11" s="135"/>
      <c r="C11" s="135"/>
      <c r="D11" s="227"/>
      <c r="E11" s="227"/>
      <c r="F11" s="227"/>
      <c r="G11" s="227"/>
      <c r="H11" s="227"/>
      <c r="I11" s="227"/>
      <c r="J11" s="227"/>
      <c r="K11" s="227"/>
      <c r="L11" s="227"/>
      <c r="M11" s="3"/>
      <c r="N11" s="3"/>
      <c r="O11" s="204"/>
      <c r="P11" s="203"/>
      <c r="S11" s="229"/>
      <c r="T11" s="229"/>
      <c r="U11" s="229"/>
      <c r="V11" s="229"/>
      <c r="W11" s="229"/>
      <c r="X11" s="229"/>
      <c r="Y11" s="229"/>
      <c r="Z11" s="229"/>
      <c r="AA11" s="229"/>
      <c r="AB11" s="229"/>
      <c r="AC11" s="229"/>
      <c r="AD11" s="229"/>
      <c r="AE11" s="229"/>
      <c r="AF11" s="229"/>
      <c r="AG11" s="229"/>
      <c r="AH11" s="229"/>
      <c r="AI11" s="229"/>
    </row>
    <row r="12" spans="1:35" ht="18.75" customHeight="1">
      <c r="A12" s="3"/>
      <c r="B12" s="135"/>
      <c r="C12" s="135"/>
      <c r="D12" s="227"/>
      <c r="E12" s="227"/>
      <c r="F12" s="227"/>
      <c r="G12" s="227"/>
      <c r="H12" s="227"/>
      <c r="I12" s="227"/>
      <c r="J12" s="227"/>
      <c r="K12" s="227"/>
      <c r="L12" s="227"/>
      <c r="M12" s="3"/>
      <c r="N12" s="3"/>
      <c r="O12" s="204"/>
      <c r="P12" s="203"/>
      <c r="S12" s="229"/>
      <c r="T12" s="229"/>
      <c r="U12" s="229"/>
      <c r="V12" s="229"/>
      <c r="W12" s="229"/>
      <c r="X12" s="229"/>
      <c r="Y12" s="229"/>
      <c r="Z12" s="229"/>
      <c r="AA12" s="229"/>
      <c r="AB12" s="229"/>
      <c r="AC12" s="229"/>
      <c r="AD12" s="229"/>
      <c r="AE12" s="229"/>
      <c r="AF12" s="229"/>
      <c r="AG12" s="229"/>
      <c r="AH12" s="229"/>
      <c r="AI12" s="229"/>
    </row>
    <row r="13" spans="1:35" ht="18.75" customHeight="1">
      <c r="A13" s="3"/>
      <c r="B13" s="135"/>
      <c r="C13" s="135"/>
      <c r="D13" s="227"/>
      <c r="E13" s="227"/>
      <c r="F13" s="227"/>
      <c r="G13" s="227"/>
      <c r="H13" s="227"/>
      <c r="I13" s="227"/>
      <c r="J13" s="227"/>
      <c r="K13" s="227"/>
      <c r="L13" s="227"/>
      <c r="M13" s="3"/>
      <c r="N13" s="3"/>
      <c r="O13" s="204"/>
      <c r="P13" s="203"/>
      <c r="S13" s="229"/>
      <c r="T13" s="229"/>
      <c r="U13" s="229"/>
      <c r="V13" s="229"/>
      <c r="W13" s="229"/>
      <c r="X13" s="229"/>
      <c r="Y13" s="229"/>
      <c r="Z13" s="229"/>
      <c r="AA13" s="229"/>
      <c r="AB13" s="229"/>
      <c r="AC13" s="229"/>
      <c r="AD13" s="229"/>
      <c r="AE13" s="229"/>
      <c r="AF13" s="229"/>
      <c r="AG13" s="229"/>
      <c r="AH13" s="229"/>
      <c r="AI13" s="229"/>
    </row>
    <row r="14" spans="1:35" ht="18.75" customHeight="1">
      <c r="A14" s="3"/>
      <c r="B14" s="135"/>
      <c r="C14" s="135"/>
      <c r="D14" s="227"/>
      <c r="E14" s="227"/>
      <c r="F14" s="227"/>
      <c r="G14" s="227"/>
      <c r="H14" s="227"/>
      <c r="I14" s="227"/>
      <c r="J14" s="227"/>
      <c r="K14" s="227"/>
      <c r="L14" s="227"/>
      <c r="M14" s="3"/>
      <c r="N14" s="3"/>
      <c r="O14" s="204"/>
      <c r="P14" s="203"/>
      <c r="S14" s="229"/>
      <c r="T14" s="229"/>
      <c r="U14" s="229"/>
      <c r="V14" s="229"/>
      <c r="W14" s="229"/>
      <c r="X14" s="229"/>
      <c r="Y14" s="229"/>
      <c r="Z14" s="229"/>
      <c r="AA14" s="229"/>
      <c r="AB14" s="229"/>
      <c r="AC14" s="229"/>
      <c r="AD14" s="229"/>
      <c r="AE14" s="229"/>
      <c r="AF14" s="229"/>
      <c r="AG14" s="229"/>
      <c r="AH14" s="229"/>
      <c r="AI14" s="229"/>
    </row>
    <row r="15" spans="1:35" ht="18.75" customHeight="1">
      <c r="A15" s="3"/>
      <c r="B15" s="135"/>
      <c r="C15" s="135"/>
      <c r="D15" s="227"/>
      <c r="E15" s="227"/>
      <c r="F15" s="227"/>
      <c r="G15" s="227"/>
      <c r="H15" s="227"/>
      <c r="I15" s="227"/>
      <c r="J15" s="227"/>
      <c r="K15" s="227"/>
      <c r="L15" s="227"/>
      <c r="M15" s="3"/>
      <c r="N15" s="3"/>
      <c r="O15" s="204"/>
      <c r="P15" s="203"/>
      <c r="S15" s="229"/>
      <c r="T15" s="229"/>
      <c r="U15" s="229"/>
      <c r="V15" s="229"/>
      <c r="W15" s="229"/>
      <c r="X15" s="229"/>
      <c r="Y15" s="229"/>
      <c r="Z15" s="229"/>
      <c r="AA15" s="229"/>
      <c r="AB15" s="229"/>
      <c r="AC15" s="229"/>
      <c r="AD15" s="229"/>
      <c r="AE15" s="229"/>
      <c r="AF15" s="229"/>
      <c r="AG15" s="229"/>
      <c r="AH15" s="229"/>
      <c r="AI15" s="229"/>
    </row>
    <row r="16" spans="1:35" ht="18.75" customHeight="1">
      <c r="A16" s="3"/>
      <c r="B16" s="135"/>
      <c r="C16" s="135"/>
      <c r="D16" s="227"/>
      <c r="E16" s="227"/>
      <c r="F16" s="227"/>
      <c r="G16" s="227"/>
      <c r="H16" s="227"/>
      <c r="I16" s="227"/>
      <c r="J16" s="227"/>
      <c r="K16" s="227"/>
      <c r="L16" s="227"/>
      <c r="M16" s="3"/>
      <c r="N16" s="3"/>
      <c r="O16" s="204"/>
      <c r="P16" s="203"/>
      <c r="S16" s="229"/>
      <c r="T16" s="229"/>
      <c r="U16" s="229"/>
      <c r="V16" s="229"/>
      <c r="W16" s="229"/>
      <c r="X16" s="229"/>
      <c r="Y16" s="229"/>
      <c r="Z16" s="229"/>
      <c r="AA16" s="229"/>
      <c r="AB16" s="229"/>
      <c r="AC16" s="229"/>
      <c r="AD16" s="229"/>
      <c r="AE16" s="229"/>
      <c r="AF16" s="229"/>
      <c r="AG16" s="229"/>
      <c r="AH16" s="229"/>
      <c r="AI16" s="229"/>
    </row>
    <row r="17" spans="1:35" ht="17.25" customHeight="1">
      <c r="A17" s="3"/>
      <c r="B17" s="135"/>
      <c r="C17" s="135"/>
      <c r="D17" s="227"/>
      <c r="E17" s="227"/>
      <c r="F17" s="227"/>
      <c r="G17" s="227"/>
      <c r="H17" s="227"/>
      <c r="I17" s="227"/>
      <c r="J17" s="227"/>
      <c r="K17" s="227"/>
      <c r="L17" s="227"/>
      <c r="M17" s="3"/>
      <c r="N17" s="3"/>
      <c r="O17" s="204"/>
      <c r="P17" s="203"/>
      <c r="S17" s="229"/>
      <c r="T17" s="229"/>
      <c r="U17" s="229"/>
      <c r="V17" s="229"/>
      <c r="W17" s="229"/>
      <c r="X17" s="229"/>
      <c r="Y17" s="229"/>
      <c r="Z17" s="229"/>
      <c r="AA17" s="229"/>
      <c r="AB17" s="229"/>
      <c r="AC17" s="229"/>
      <c r="AD17" s="229"/>
      <c r="AE17" s="229"/>
      <c r="AF17" s="229"/>
      <c r="AG17" s="229"/>
      <c r="AH17" s="229"/>
      <c r="AI17" s="229"/>
    </row>
    <row r="18" spans="1:35" ht="6" customHeight="1">
      <c r="A18" s="3"/>
      <c r="B18" s="139"/>
      <c r="C18" s="135"/>
      <c r="D18" s="136"/>
      <c r="E18" s="766"/>
      <c r="F18" s="766"/>
      <c r="G18" s="766"/>
      <c r="H18" s="766"/>
      <c r="I18" s="766"/>
      <c r="J18" s="766"/>
      <c r="K18" s="766"/>
      <c r="L18" s="3"/>
      <c r="M18" s="3"/>
      <c r="N18" s="3"/>
      <c r="O18" s="3"/>
      <c r="P18" s="3"/>
      <c r="S18" s="229"/>
      <c r="T18" s="229"/>
      <c r="U18" s="229"/>
      <c r="V18" s="229"/>
      <c r="W18" s="229"/>
      <c r="X18" s="229"/>
      <c r="Y18" s="229"/>
      <c r="Z18" s="229"/>
      <c r="AA18" s="229"/>
      <c r="AB18" s="229"/>
      <c r="AC18" s="229"/>
      <c r="AD18" s="229"/>
      <c r="AE18" s="229"/>
      <c r="AF18" s="229"/>
      <c r="AG18" s="229"/>
      <c r="AH18" s="229"/>
      <c r="AI18" s="229"/>
    </row>
    <row r="19" spans="1:35" ht="24" customHeight="1">
      <c r="A19" s="3"/>
      <c r="B19" s="767" t="s">
        <v>89</v>
      </c>
      <c r="C19" s="767"/>
      <c r="D19" s="767"/>
      <c r="E19" s="146" t="s">
        <v>86</v>
      </c>
      <c r="F19" s="146" t="s">
        <v>90</v>
      </c>
      <c r="G19" s="773" t="s">
        <v>333</v>
      </c>
      <c r="H19" s="774"/>
      <c r="I19" s="775" t="s">
        <v>334</v>
      </c>
      <c r="J19" s="776"/>
      <c r="K19" s="343" t="s">
        <v>335</v>
      </c>
      <c r="L19" s="770" t="s">
        <v>93</v>
      </c>
      <c r="M19" s="771"/>
      <c r="N19" s="771"/>
      <c r="O19" s="771"/>
      <c r="P19" s="771"/>
      <c r="Q19" s="772"/>
      <c r="S19" s="65" t="s">
        <v>91</v>
      </c>
      <c r="T19" s="66">
        <v>0</v>
      </c>
      <c r="U19" s="67">
        <v>0.3</v>
      </c>
      <c r="V19" s="67">
        <v>0.6</v>
      </c>
      <c r="W19" s="67">
        <v>0.9</v>
      </c>
      <c r="X19" s="67">
        <v>1</v>
      </c>
      <c r="Y19" s="71"/>
      <c r="Z19" s="71"/>
      <c r="AA19" s="65" t="s">
        <v>91</v>
      </c>
      <c r="AB19" s="66">
        <v>0</v>
      </c>
      <c r="AC19" s="67">
        <v>0.2</v>
      </c>
      <c r="AD19" s="67">
        <v>0.4</v>
      </c>
      <c r="AE19" s="67">
        <v>0.6</v>
      </c>
      <c r="AF19" s="67">
        <v>0.8</v>
      </c>
      <c r="AG19" s="71"/>
      <c r="AH19" s="71"/>
      <c r="AI19" s="71"/>
    </row>
    <row r="20" spans="1:35" ht="47.15" customHeight="1">
      <c r="A20" s="3"/>
      <c r="B20" s="760" t="str">
        <f>+'Data Entry'!B118</f>
        <v xml:space="preserve">Percentage of TB patients who had an HIV test result recorded in the TB register </v>
      </c>
      <c r="C20" s="760"/>
      <c r="D20" s="760"/>
      <c r="E20" s="147">
        <f ca="1">OFFSET('Data Entry'!$G$117,1,RIGHT('Data Entry'!$C$16,LEN('Data Entry'!$C$16)-1),1,1)</f>
        <v>75</v>
      </c>
      <c r="F20" s="147">
        <f ca="1">OFFSET('Data Entry'!$G$117,2,RIGHT('Data Entry'!$C$16,LEN('Data Entry'!$C$16)-1),1,1)</f>
        <v>89</v>
      </c>
      <c r="G20" s="755">
        <f t="shared" ref="G20:G29" ca="1" si="0">+IF(ISERROR(F20/E20),0,F20/E20)</f>
        <v>1.1866666666666668</v>
      </c>
      <c r="H20" s="756"/>
      <c r="I20" s="756"/>
      <c r="J20" s="756"/>
      <c r="K20" s="757"/>
      <c r="L20" s="764"/>
      <c r="M20" s="764"/>
      <c r="N20" s="764"/>
      <c r="O20" s="764"/>
      <c r="P20" s="764"/>
      <c r="Q20" s="764"/>
      <c r="S20" s="65" t="s">
        <v>92</v>
      </c>
      <c r="T20" s="68">
        <v>0.3</v>
      </c>
      <c r="U20" s="67">
        <v>0.6</v>
      </c>
      <c r="V20" s="67">
        <v>0.9</v>
      </c>
      <c r="W20" s="67">
        <v>1</v>
      </c>
      <c r="X20" s="67">
        <v>2</v>
      </c>
      <c r="Y20" s="71"/>
      <c r="Z20" s="71"/>
      <c r="AA20" s="65" t="s">
        <v>92</v>
      </c>
      <c r="AB20" s="68">
        <v>0.2</v>
      </c>
      <c r="AC20" s="67">
        <v>0.4</v>
      </c>
      <c r="AD20" s="67">
        <v>0.6</v>
      </c>
      <c r="AE20" s="67">
        <v>0.8</v>
      </c>
      <c r="AF20" s="67">
        <v>1</v>
      </c>
      <c r="AG20" s="71"/>
      <c r="AH20" s="71"/>
      <c r="AI20" s="71"/>
    </row>
    <row r="21" spans="1:35" ht="62.25" customHeight="1">
      <c r="A21" s="3"/>
      <c r="B21" s="754" t="str">
        <f>+'Data Entry'!B120</f>
        <v>Number and percentage of M/XDR-TB patients on treatment receiving cash incentives for better adherence to treatment during out-patient phase</v>
      </c>
      <c r="C21" s="754"/>
      <c r="D21" s="754"/>
      <c r="E21" s="147">
        <f ca="1">OFFSET('Data Entry'!$G$117,3,RIGHT('Data Entry'!$C$16,LEN('Data Entry'!$C$16)-1),1,1)</f>
        <v>75</v>
      </c>
      <c r="F21" s="147">
        <f ca="1">OFFSET('Data Entry'!$G$117,4,RIGHT('Data Entry'!$C$16,LEN('Data Entry'!$C$16)-1),1,1)</f>
        <v>84</v>
      </c>
      <c r="G21" s="755">
        <f t="shared" ca="1" si="0"/>
        <v>1.1200000000000001</v>
      </c>
      <c r="H21" s="756"/>
      <c r="I21" s="756"/>
      <c r="J21" s="756"/>
      <c r="K21" s="757"/>
      <c r="L21" s="764"/>
      <c r="M21" s="764"/>
      <c r="N21" s="764"/>
      <c r="O21" s="764"/>
      <c r="P21" s="764"/>
      <c r="Q21" s="764"/>
      <c r="S21" s="69"/>
      <c r="T21" s="70" t="str">
        <f>"de "&amp;T19&amp;" a "&amp;T20</f>
        <v>de 0 a 0.3</v>
      </c>
      <c r="U21" s="70" t="str">
        <f>"de "&amp;U19&amp;" a "&amp;U20</f>
        <v>de 0.3 a 0.6</v>
      </c>
      <c r="V21" s="70" t="str">
        <f>"de "&amp;V19&amp;" a "&amp;V20</f>
        <v>de 0.6 a 0.9</v>
      </c>
      <c r="W21" s="70" t="str">
        <f>"de "&amp;W19&amp;" a "&amp;W20</f>
        <v>de 0.9 a 1</v>
      </c>
      <c r="X21" s="70" t="str">
        <f>"de "&amp;X19&amp;" a "&amp;X20</f>
        <v>de 1 a 2</v>
      </c>
      <c r="Y21" s="71"/>
      <c r="Z21" s="71" t="s">
        <v>266</v>
      </c>
      <c r="AA21" s="69" t="s">
        <v>265</v>
      </c>
      <c r="AB21" s="70" t="str">
        <f>"de "&amp;AB19&amp;" a "&amp;AB20</f>
        <v>de 0 a 0.2</v>
      </c>
      <c r="AC21" s="70" t="str">
        <f>"de "&amp;AC19&amp;" a "&amp;AC20</f>
        <v>de 0.2 a 0.4</v>
      </c>
      <c r="AD21" s="70" t="str">
        <f>"de "&amp;AD19&amp;" a "&amp;AD20</f>
        <v>de 0.4 a 0.6</v>
      </c>
      <c r="AE21" s="70" t="str">
        <f>"de "&amp;AE19&amp;" a "&amp;AE20</f>
        <v>de 0.6 a 0.8</v>
      </c>
      <c r="AF21" s="70" t="str">
        <f>"de "&amp;AF19&amp;" a "&amp;AF20</f>
        <v>de 0.8 a 1</v>
      </c>
      <c r="AG21" s="71"/>
      <c r="AH21" s="71"/>
      <c r="AI21" s="71"/>
    </row>
    <row r="22" spans="1:35" ht="35.15" customHeight="1">
      <c r="A22" s="3"/>
      <c r="B22" s="760" t="str">
        <f>+'Data Entry'!B122</f>
        <v xml:space="preserve">
Number of notified cases of all forms of TB - (i.e. bacteriologically confirmed +clinically diagnosed) (new and relapse)
</v>
      </c>
      <c r="C22" s="760"/>
      <c r="D22" s="760"/>
      <c r="E22" s="147">
        <f ca="1">OFFSET('Data Entry'!$G$117,5,RIGHT('Data Entry'!$C$16,LEN('Data Entry'!$C$16)-1),1,1)</f>
        <v>1014</v>
      </c>
      <c r="F22" s="147">
        <f ca="1">OFFSET('Data Entry'!$G$117,6,RIGHT('Data Entry'!$C$16,LEN('Data Entry'!$C$16)-1),1,1)</f>
        <v>796</v>
      </c>
      <c r="G22" s="755">
        <f t="shared" ca="1" si="0"/>
        <v>0.78500986193293887</v>
      </c>
      <c r="H22" s="756"/>
      <c r="I22" s="756"/>
      <c r="J22" s="756"/>
      <c r="K22" s="757"/>
      <c r="L22" s="764" t="s">
        <v>443</v>
      </c>
      <c r="M22" s="764"/>
      <c r="N22" s="764"/>
      <c r="O22" s="764"/>
      <c r="P22" s="764"/>
      <c r="Q22" s="764"/>
      <c r="S22" s="69"/>
      <c r="T22" s="67" t="e">
        <f t="shared" ref="T22:W33" si="1">IF($K20&gt;T$19,IF($K20&lt;=T$20,$K20,NA()),NA())</f>
        <v>#N/A</v>
      </c>
      <c r="U22" s="67" t="e">
        <f t="shared" si="1"/>
        <v>#N/A</v>
      </c>
      <c r="V22" s="67" t="e">
        <f t="shared" si="1"/>
        <v>#N/A</v>
      </c>
      <c r="W22" s="67" t="e">
        <f t="shared" si="1"/>
        <v>#N/A</v>
      </c>
      <c r="X22" s="67" t="e">
        <f>IF($K20&gt;X$19,IF($K20&lt;=X$20,1,NA()),NA())</f>
        <v>#N/A</v>
      </c>
      <c r="Y22" s="71"/>
      <c r="Z22" s="200" t="e">
        <f>+'Grant Detail'!#REF!</f>
        <v>#REF!</v>
      </c>
      <c r="AA22" s="67" t="e">
        <f>+IF(Z22="A1",1,IF(Z22="A2",0.8,IF(Z22="B1",0.6,IF(Z22="B2",0.4,0.2))))</f>
        <v>#REF!</v>
      </c>
      <c r="AB22" s="67" t="e">
        <f>IF($AA22&gt;AB$19,IF($AA22&lt;=AB$20,$AA22,NA()),NA())</f>
        <v>#REF!</v>
      </c>
      <c r="AC22" s="67" t="e">
        <f t="shared" ref="AC22:AF24" si="2">IF($AA22&gt;AC$19,IF($AA22&lt;=AC$20,$AA22,NA()),NA())</f>
        <v>#REF!</v>
      </c>
      <c r="AD22" s="67" t="e">
        <f t="shared" si="2"/>
        <v>#REF!</v>
      </c>
      <c r="AE22" s="67" t="e">
        <f t="shared" si="2"/>
        <v>#REF!</v>
      </c>
      <c r="AF22" s="67" t="e">
        <f t="shared" si="2"/>
        <v>#REF!</v>
      </c>
      <c r="AG22" s="71"/>
      <c r="AH22" s="71"/>
      <c r="AI22" s="71"/>
    </row>
    <row r="23" spans="1:35" ht="41.15" customHeight="1">
      <c r="A23" s="3"/>
      <c r="B23" s="761" t="str">
        <f>+'Data Entry'!B124</f>
        <v xml:space="preserve">Percentage of laboratories showing adequate performance in external quality assurance for smear microscopy among the total number of laboratories that undertake smear microscopy during the reporting period </v>
      </c>
      <c r="C23" s="762"/>
      <c r="D23" s="763"/>
      <c r="E23" s="147">
        <f ca="1">OFFSET('Data Entry'!$G$117,7,RIGHT('Data Entry'!$C$16,LEN('Data Entry'!$C$16)-1),1,1)</f>
        <v>100</v>
      </c>
      <c r="F23" s="147">
        <f ca="1">OFFSET('Data Entry'!$G$117,8,RIGHT('Data Entry'!$C$16,LEN('Data Entry'!$C$16)-1),1,1)</f>
        <v>100</v>
      </c>
      <c r="G23" s="755">
        <f t="shared" ca="1" si="0"/>
        <v>1</v>
      </c>
      <c r="H23" s="756"/>
      <c r="I23" s="756"/>
      <c r="J23" s="756"/>
      <c r="K23" s="757"/>
      <c r="L23" s="764"/>
      <c r="M23" s="764"/>
      <c r="N23" s="764"/>
      <c r="O23" s="764"/>
      <c r="P23" s="764"/>
      <c r="Q23" s="764"/>
      <c r="S23" s="69"/>
      <c r="T23" s="67" t="e">
        <f t="shared" si="1"/>
        <v>#N/A</v>
      </c>
      <c r="U23" s="67" t="e">
        <f t="shared" si="1"/>
        <v>#N/A</v>
      </c>
      <c r="V23" s="67" t="e">
        <f t="shared" si="1"/>
        <v>#N/A</v>
      </c>
      <c r="W23" s="67" t="e">
        <f t="shared" si="1"/>
        <v>#N/A</v>
      </c>
      <c r="X23" s="67" t="e">
        <f>IF($K21&gt;X$19,IF($K21&lt;=X$20,1,1),NA())</f>
        <v>#N/A</v>
      </c>
      <c r="Y23" s="71"/>
      <c r="Z23" s="200" t="e">
        <f>+'Grant Detail'!#REF!</f>
        <v>#REF!</v>
      </c>
      <c r="AA23" s="67" t="e">
        <f>+IF(Z23="A1",1,IF(Z23="A2",0.8,IF(Z23="B1",0.6,IF(Z23="B2",0.4,0.2))))</f>
        <v>#REF!</v>
      </c>
      <c r="AB23" s="67" t="e">
        <f>IF($AA23&gt;AB$19,IF($AA23&lt;=AB$20,$AA23,NA()),NA())</f>
        <v>#REF!</v>
      </c>
      <c r="AC23" s="67" t="e">
        <f t="shared" si="2"/>
        <v>#REF!</v>
      </c>
      <c r="AD23" s="67" t="e">
        <f t="shared" si="2"/>
        <v>#REF!</v>
      </c>
      <c r="AE23" s="67" t="e">
        <f t="shared" si="2"/>
        <v>#REF!</v>
      </c>
      <c r="AF23" s="67" t="e">
        <f t="shared" si="2"/>
        <v>#REF!</v>
      </c>
      <c r="AG23" s="71"/>
      <c r="AH23" s="71"/>
      <c r="AI23" s="71"/>
    </row>
    <row r="24" spans="1:35" ht="45" customHeight="1">
      <c r="A24" s="3"/>
      <c r="B24" s="754" t="str">
        <f>+'Data Entry'!B126</f>
        <v>Number of bacteriologically confirmed  TB cases in a specified period who subsequently were successfully treated (sum of WHO outcome categories "cured” plus "treatment completed”)</v>
      </c>
      <c r="C24" s="754"/>
      <c r="D24" s="754"/>
      <c r="E24" s="147">
        <f ca="1">OFFSET('Data Entry'!$G$117,9,RIGHT('Data Entry'!$C$16,LEN('Data Entry'!$C$16)-1),1,1)</f>
        <v>603</v>
      </c>
      <c r="F24" s="147">
        <f ca="1">OFFSET('Data Entry'!$G$117,10,RIGHT('Data Entry'!$C$16,LEN('Data Entry'!$C$16)-1),1,1)</f>
        <v>455</v>
      </c>
      <c r="G24" s="755">
        <f t="shared" ca="1" si="0"/>
        <v>0.75456053067993367</v>
      </c>
      <c r="H24" s="756"/>
      <c r="I24" s="756"/>
      <c r="J24" s="756"/>
      <c r="K24" s="757"/>
      <c r="L24" s="764" t="s">
        <v>443</v>
      </c>
      <c r="M24" s="764"/>
      <c r="N24" s="764"/>
      <c r="O24" s="764"/>
      <c r="P24" s="764"/>
      <c r="Q24" s="764"/>
      <c r="S24" s="69"/>
      <c r="T24" s="67" t="e">
        <f t="shared" si="1"/>
        <v>#N/A</v>
      </c>
      <c r="U24" s="67" t="e">
        <f t="shared" si="1"/>
        <v>#N/A</v>
      </c>
      <c r="V24" s="67" t="e">
        <f t="shared" si="1"/>
        <v>#N/A</v>
      </c>
      <c r="W24" s="67" t="e">
        <f t="shared" si="1"/>
        <v>#N/A</v>
      </c>
      <c r="X24" s="67" t="e">
        <f t="shared" ref="X24:X33" si="3">IF($K22&gt;X$19,IF($K22&lt;=X$20,1,NA()),NA())</f>
        <v>#N/A</v>
      </c>
      <c r="Y24" s="71"/>
      <c r="Z24" s="200" t="e">
        <f>+'Grant Detail'!#REF!</f>
        <v>#REF!</v>
      </c>
      <c r="AA24" s="67" t="e">
        <f>+IF(Z24="A1",1,IF(Z24="A2",0.8,IF(Z24="B1",0.6,IF(Z24="B2",0.4,0.2))))</f>
        <v>#REF!</v>
      </c>
      <c r="AB24" s="67" t="e">
        <f>IF($AA24&gt;AB$19,IF($AA24&lt;=AB$20,$AA24,NA()),NA())</f>
        <v>#REF!</v>
      </c>
      <c r="AC24" s="67" t="e">
        <f t="shared" si="2"/>
        <v>#REF!</v>
      </c>
      <c r="AD24" s="67" t="e">
        <f t="shared" si="2"/>
        <v>#REF!</v>
      </c>
      <c r="AE24" s="67" t="e">
        <f t="shared" si="2"/>
        <v>#REF!</v>
      </c>
      <c r="AF24" s="67" t="e">
        <f t="shared" si="2"/>
        <v>#REF!</v>
      </c>
      <c r="AG24" s="71"/>
      <c r="AH24" s="71"/>
      <c r="AI24" s="71"/>
    </row>
    <row r="25" spans="1:35" ht="24" customHeight="1">
      <c r="A25" s="3"/>
      <c r="B25" s="760" t="str">
        <f>+'Data Entry'!B128</f>
        <v>Number of TB patients enrolled on standardized 1st line treatment in the specified calendar year</v>
      </c>
      <c r="C25" s="760"/>
      <c r="D25" s="760"/>
      <c r="E25" s="147">
        <f ca="1">OFFSET('Data Entry'!$G$117,11,RIGHT('Data Entry'!$C$16,LEN('Data Entry'!$C$16)-1),1,1)</f>
        <v>1102</v>
      </c>
      <c r="F25" s="147">
        <f ca="1">OFFSET('Data Entry'!$G$117,12,RIGHT('Data Entry'!$C$16,LEN('Data Entry'!$C$16)-1),1,1)</f>
        <v>823</v>
      </c>
      <c r="G25" s="755">
        <f t="shared" ca="1" si="0"/>
        <v>0.74682395644283117</v>
      </c>
      <c r="H25" s="756"/>
      <c r="I25" s="756"/>
      <c r="J25" s="756"/>
      <c r="K25" s="757"/>
      <c r="L25" s="764" t="s">
        <v>443</v>
      </c>
      <c r="M25" s="764"/>
      <c r="N25" s="764"/>
      <c r="O25" s="764"/>
      <c r="P25" s="764"/>
      <c r="Q25" s="764"/>
      <c r="S25" s="69"/>
      <c r="T25" s="67" t="e">
        <f t="shared" si="1"/>
        <v>#N/A</v>
      </c>
      <c r="U25" s="67" t="e">
        <f t="shared" si="1"/>
        <v>#N/A</v>
      </c>
      <c r="V25" s="67" t="e">
        <f t="shared" si="1"/>
        <v>#N/A</v>
      </c>
      <c r="W25" s="67" t="e">
        <f t="shared" si="1"/>
        <v>#N/A</v>
      </c>
      <c r="X25" s="67" t="e">
        <f t="shared" si="3"/>
        <v>#N/A</v>
      </c>
      <c r="Y25" s="71"/>
      <c r="Z25" s="71"/>
      <c r="AA25" s="71"/>
      <c r="AB25" s="71"/>
      <c r="AC25" s="71"/>
      <c r="AD25" s="71"/>
      <c r="AE25" s="71"/>
      <c r="AF25" s="71"/>
      <c r="AG25" s="71"/>
      <c r="AH25" s="71"/>
      <c r="AI25" s="71"/>
    </row>
    <row r="26" spans="1:35" ht="24" customHeight="1">
      <c r="A26" s="3"/>
      <c r="B26" s="754" t="str">
        <f>+'Data Entry'!B130</f>
        <v>Laboratory-confirmed X/MDR-TB patients enrolled on second line anti-TB treatment in the specified calendar year</v>
      </c>
      <c r="C26" s="754"/>
      <c r="D26" s="754"/>
      <c r="E26" s="147">
        <f ca="1">OFFSET('Data Entry'!$G$117,13,RIGHT('Data Entry'!$C$16,LEN('Data Entry'!$C$16)-1),1,1)</f>
        <v>129</v>
      </c>
      <c r="F26" s="147">
        <f ca="1">OFFSET('Data Entry'!$G$117,14,RIGHT('Data Entry'!$C$16,LEN('Data Entry'!$C$16)-1),1,1)</f>
        <v>107</v>
      </c>
      <c r="G26" s="755">
        <f t="shared" ca="1" si="0"/>
        <v>0.8294573643410853</v>
      </c>
      <c r="H26" s="756"/>
      <c r="I26" s="756"/>
      <c r="J26" s="756"/>
      <c r="K26" s="757"/>
      <c r="L26" s="764"/>
      <c r="M26" s="764"/>
      <c r="N26" s="764"/>
      <c r="O26" s="764"/>
      <c r="P26" s="764"/>
      <c r="Q26" s="764"/>
      <c r="S26" s="69"/>
      <c r="T26" s="67" t="e">
        <f t="shared" si="1"/>
        <v>#N/A</v>
      </c>
      <c r="U26" s="67" t="e">
        <f t="shared" si="1"/>
        <v>#N/A</v>
      </c>
      <c r="V26" s="67" t="e">
        <f t="shared" si="1"/>
        <v>#N/A</v>
      </c>
      <c r="W26" s="67" t="e">
        <f t="shared" si="1"/>
        <v>#N/A</v>
      </c>
      <c r="X26" s="67" t="e">
        <f t="shared" si="3"/>
        <v>#N/A</v>
      </c>
      <c r="Y26" s="71"/>
      <c r="Z26" s="71"/>
      <c r="AA26" s="71"/>
      <c r="AB26" s="71"/>
      <c r="AC26" s="71"/>
      <c r="AD26" s="71"/>
      <c r="AE26" s="71"/>
      <c r="AF26" s="71"/>
      <c r="AG26" s="71"/>
      <c r="AH26" s="71"/>
      <c r="AI26" s="71"/>
    </row>
    <row r="27" spans="1:35" ht="24" customHeight="1">
      <c r="A27" s="3"/>
      <c r="B27" s="760" t="str">
        <f>+'Data Entry'!B132</f>
        <v xml:space="preserve">Percentage of previously treated TB patients receiving DST
</v>
      </c>
      <c r="C27" s="760"/>
      <c r="D27" s="760"/>
      <c r="E27" s="147">
        <f ca="1">OFFSET('Data Entry'!$G$117,15,RIGHT('Data Entry'!$C$16,LEN('Data Entry'!$C$16)-1),1,1)</f>
        <v>100</v>
      </c>
      <c r="F27" s="147">
        <f ca="1">OFFSET('Data Entry'!$G$117,16,RIGHT('Data Entry'!$C$16,LEN('Data Entry'!$C$16)-1),1,1)</f>
        <v>87</v>
      </c>
      <c r="G27" s="755">
        <f t="shared" ca="1" si="0"/>
        <v>0.87</v>
      </c>
      <c r="H27" s="756"/>
      <c r="I27" s="756"/>
      <c r="J27" s="756"/>
      <c r="K27" s="757"/>
      <c r="L27" s="764"/>
      <c r="M27" s="764"/>
      <c r="N27" s="764"/>
      <c r="O27" s="764"/>
      <c r="P27" s="764"/>
      <c r="Q27" s="764"/>
      <c r="S27" s="69"/>
      <c r="T27" s="67" t="e">
        <f t="shared" si="1"/>
        <v>#N/A</v>
      </c>
      <c r="U27" s="67" t="e">
        <f t="shared" si="1"/>
        <v>#N/A</v>
      </c>
      <c r="V27" s="67" t="e">
        <f t="shared" si="1"/>
        <v>#N/A</v>
      </c>
      <c r="W27" s="67" t="e">
        <f t="shared" si="1"/>
        <v>#N/A</v>
      </c>
      <c r="X27" s="67" t="e">
        <f t="shared" si="3"/>
        <v>#N/A</v>
      </c>
      <c r="Y27" s="71"/>
      <c r="Z27" s="71"/>
      <c r="AA27" s="71"/>
      <c r="AB27" s="71"/>
      <c r="AC27" s="71"/>
      <c r="AD27" s="71"/>
      <c r="AE27" s="71"/>
      <c r="AF27" s="71"/>
      <c r="AG27" s="71"/>
      <c r="AH27" s="71"/>
      <c r="AI27" s="71"/>
    </row>
    <row r="28" spans="1:35" ht="38.15" customHeight="1">
      <c r="A28" s="3"/>
      <c r="B28" s="754" t="str">
        <f>+'Data Entry'!B134</f>
        <v>Percentage of cases with drug resistant TB (RR-TB and/or MDR-TB) started on treatment for MDR-TB who were lost to follow up during the first six months of treatment</v>
      </c>
      <c r="C28" s="754"/>
      <c r="D28" s="754"/>
      <c r="E28" s="147">
        <f ca="1">OFFSET('Data Entry'!$G$117,17,RIGHT('Data Entry'!$C$16,LEN('Data Entry'!$C$16)-1),1,1)</f>
        <v>10</v>
      </c>
      <c r="F28" s="147">
        <f ca="1">OFFSET('Data Entry'!$G$117,18,RIGHT('Data Entry'!$C$16,LEN('Data Entry'!$C$16)-1),1,1)</f>
        <v>10</v>
      </c>
      <c r="G28" s="755">
        <f t="shared" ca="1" si="0"/>
        <v>1</v>
      </c>
      <c r="H28" s="756"/>
      <c r="I28" s="756"/>
      <c r="J28" s="756"/>
      <c r="K28" s="757"/>
      <c r="L28" s="764"/>
      <c r="M28" s="764"/>
      <c r="N28" s="764"/>
      <c r="O28" s="764"/>
      <c r="P28" s="764"/>
      <c r="Q28" s="764"/>
      <c r="S28" s="69"/>
      <c r="T28" s="67" t="e">
        <f t="shared" si="1"/>
        <v>#N/A</v>
      </c>
      <c r="U28" s="67" t="e">
        <f t="shared" si="1"/>
        <v>#N/A</v>
      </c>
      <c r="V28" s="67" t="e">
        <f t="shared" si="1"/>
        <v>#N/A</v>
      </c>
      <c r="W28" s="67" t="e">
        <f t="shared" si="1"/>
        <v>#N/A</v>
      </c>
      <c r="X28" s="67" t="e">
        <f t="shared" si="3"/>
        <v>#N/A</v>
      </c>
      <c r="Y28" s="71"/>
      <c r="Z28" s="71"/>
      <c r="AA28" s="71"/>
      <c r="AB28" s="71"/>
      <c r="AC28" s="71"/>
      <c r="AD28" s="71"/>
      <c r="AE28" s="71"/>
      <c r="AF28" s="71"/>
      <c r="AG28" s="71"/>
      <c r="AH28" s="71"/>
      <c r="AI28" s="71"/>
    </row>
    <row r="29" spans="1:35" ht="29.25" customHeight="1">
      <c r="A29" s="3"/>
      <c r="B29" s="761" t="str">
        <f>+'Data Entry'!B136</f>
        <v xml:space="preserve">Number of and percentage of TB patients on 1st line treatment receiving cash incentives for better adherence to treatment </v>
      </c>
      <c r="C29" s="762"/>
      <c r="D29" s="763"/>
      <c r="E29" s="147">
        <f ca="1">OFFSET('Data Entry'!$G$117,19,RIGHT('Data Entry'!$C$16,LEN('Data Entry'!$C$16)-1),1,1)</f>
        <v>70</v>
      </c>
      <c r="F29" s="147">
        <f ca="1">OFFSET('Data Entry'!$G$117,20,RIGHT('Data Entry'!$C$16,LEN('Data Entry'!$C$16)-1),1,1)</f>
        <v>82</v>
      </c>
      <c r="G29" s="755">
        <f t="shared" ca="1" si="0"/>
        <v>1.1714285714285715</v>
      </c>
      <c r="H29" s="756"/>
      <c r="I29" s="756"/>
      <c r="J29" s="756"/>
      <c r="K29" s="757"/>
      <c r="L29" s="764"/>
      <c r="M29" s="764"/>
      <c r="N29" s="764"/>
      <c r="O29" s="764"/>
      <c r="P29" s="764"/>
      <c r="Q29" s="764"/>
      <c r="S29" s="69"/>
      <c r="T29" s="67" t="e">
        <f t="shared" si="1"/>
        <v>#N/A</v>
      </c>
      <c r="U29" s="67" t="e">
        <f t="shared" si="1"/>
        <v>#N/A</v>
      </c>
      <c r="V29" s="67" t="e">
        <f t="shared" si="1"/>
        <v>#N/A</v>
      </c>
      <c r="W29" s="67" t="e">
        <f t="shared" si="1"/>
        <v>#N/A</v>
      </c>
      <c r="X29" s="67" t="e">
        <f t="shared" si="3"/>
        <v>#N/A</v>
      </c>
      <c r="Y29" s="71"/>
      <c r="Z29" s="71"/>
      <c r="AA29" s="71"/>
      <c r="AB29" s="71"/>
      <c r="AC29" s="71"/>
      <c r="AD29" s="71"/>
      <c r="AE29" s="71"/>
      <c r="AF29" s="71"/>
      <c r="AG29" s="71"/>
      <c r="AH29" s="71"/>
      <c r="AI29" s="71"/>
    </row>
    <row r="30" spans="1:35" ht="22.5" customHeight="1">
      <c r="A30" s="3"/>
      <c r="B30" s="759"/>
      <c r="C30" s="759"/>
      <c r="D30" s="759"/>
      <c r="E30" s="759"/>
      <c r="F30" s="758"/>
      <c r="G30" s="758"/>
      <c r="H30" s="758"/>
      <c r="I30" s="758"/>
      <c r="J30" s="758"/>
      <c r="K30" s="758"/>
      <c r="L30" s="765"/>
      <c r="M30" s="765"/>
      <c r="N30" s="765"/>
      <c r="O30" s="765"/>
      <c r="P30" s="765"/>
      <c r="S30" s="69"/>
      <c r="T30" s="67" t="e">
        <f t="shared" si="1"/>
        <v>#N/A</v>
      </c>
      <c r="U30" s="67" t="e">
        <f t="shared" si="1"/>
        <v>#N/A</v>
      </c>
      <c r="V30" s="67" t="e">
        <f t="shared" si="1"/>
        <v>#N/A</v>
      </c>
      <c r="W30" s="67" t="e">
        <f t="shared" si="1"/>
        <v>#N/A</v>
      </c>
      <c r="X30" s="67" t="e">
        <f t="shared" si="3"/>
        <v>#N/A</v>
      </c>
      <c r="Y30" s="71"/>
      <c r="Z30" s="71"/>
      <c r="AA30" s="71"/>
      <c r="AB30" s="71"/>
      <c r="AC30" s="71"/>
      <c r="AD30" s="71"/>
      <c r="AE30" s="71"/>
      <c r="AF30" s="71"/>
      <c r="AG30" s="71"/>
      <c r="AH30" s="71"/>
      <c r="AI30" s="71"/>
    </row>
    <row r="31" spans="1:35" ht="22.5" customHeight="1">
      <c r="A31" s="3"/>
      <c r="B31" s="769"/>
      <c r="C31" s="769"/>
      <c r="D31" s="769"/>
      <c r="E31" s="753"/>
      <c r="F31" s="751"/>
      <c r="G31" s="752"/>
      <c r="H31" s="752"/>
      <c r="I31" s="752"/>
      <c r="J31" s="752"/>
      <c r="K31" s="753"/>
      <c r="L31" s="751"/>
      <c r="M31" s="752"/>
      <c r="N31" s="752"/>
      <c r="O31" s="752"/>
      <c r="P31" s="752"/>
      <c r="S31" s="69"/>
      <c r="T31" s="67" t="e">
        <f t="shared" si="1"/>
        <v>#N/A</v>
      </c>
      <c r="U31" s="67" t="e">
        <f t="shared" si="1"/>
        <v>#N/A</v>
      </c>
      <c r="V31" s="67" t="e">
        <f t="shared" si="1"/>
        <v>#N/A</v>
      </c>
      <c r="W31" s="67" t="e">
        <f t="shared" si="1"/>
        <v>#N/A</v>
      </c>
      <c r="X31" s="67" t="e">
        <f t="shared" si="3"/>
        <v>#N/A</v>
      </c>
      <c r="Y31" s="71"/>
      <c r="Z31" s="71"/>
      <c r="AA31" s="71"/>
      <c r="AB31" s="71"/>
      <c r="AC31" s="71"/>
      <c r="AD31" s="71"/>
      <c r="AE31" s="71"/>
      <c r="AF31" s="71"/>
      <c r="AG31" s="71"/>
      <c r="AH31" s="71"/>
      <c r="AI31" s="71"/>
    </row>
    <row r="32" spans="1:35">
      <c r="A32" s="3"/>
      <c r="B32" s="230"/>
      <c r="C32" s="230"/>
      <c r="D32" s="230"/>
      <c r="E32" s="230"/>
      <c r="F32" s="230"/>
      <c r="G32" s="230"/>
      <c r="H32" s="231"/>
      <c r="I32" s="230"/>
      <c r="J32" s="230"/>
      <c r="K32" s="230"/>
      <c r="L32" s="230"/>
      <c r="M32" s="230"/>
      <c r="N32" s="230"/>
      <c r="O32" s="230"/>
      <c r="P32" s="230"/>
      <c r="S32" s="69"/>
      <c r="T32" s="67" t="e">
        <f t="shared" si="1"/>
        <v>#N/A</v>
      </c>
      <c r="U32" s="67" t="e">
        <f t="shared" si="1"/>
        <v>#N/A</v>
      </c>
      <c r="V32" s="67" t="e">
        <f t="shared" si="1"/>
        <v>#N/A</v>
      </c>
      <c r="W32" s="67" t="e">
        <f t="shared" si="1"/>
        <v>#N/A</v>
      </c>
      <c r="X32" s="67" t="e">
        <f t="shared" si="3"/>
        <v>#N/A</v>
      </c>
      <c r="Y32" s="71"/>
      <c r="Z32" s="71"/>
      <c r="AA32" s="71"/>
      <c r="AB32" s="71"/>
      <c r="AC32" s="71"/>
      <c r="AD32" s="71"/>
      <c r="AE32" s="71"/>
      <c r="AF32" s="71"/>
      <c r="AG32" s="71"/>
      <c r="AH32" s="71"/>
      <c r="AI32" s="71"/>
    </row>
    <row r="33" spans="1:35">
      <c r="A33" s="3"/>
      <c r="B33" s="768"/>
      <c r="C33" s="768"/>
      <c r="D33" s="768"/>
      <c r="E33" s="768"/>
      <c r="F33" s="768"/>
      <c r="G33" s="768"/>
      <c r="H33" s="768"/>
      <c r="I33" s="768"/>
      <c r="J33" s="768"/>
      <c r="K33" s="768"/>
      <c r="L33" s="230"/>
      <c r="M33" s="230"/>
      <c r="N33" s="230"/>
      <c r="O33" s="230"/>
      <c r="P33" s="230"/>
      <c r="S33" s="69"/>
      <c r="T33" s="67" t="e">
        <f t="shared" si="1"/>
        <v>#N/A</v>
      </c>
      <c r="U33" s="67" t="e">
        <f t="shared" si="1"/>
        <v>#N/A</v>
      </c>
      <c r="V33" s="67" t="e">
        <f t="shared" si="1"/>
        <v>#N/A</v>
      </c>
      <c r="W33" s="67" t="e">
        <f t="shared" si="1"/>
        <v>#N/A</v>
      </c>
      <c r="X33" s="67" t="e">
        <f t="shared" si="3"/>
        <v>#N/A</v>
      </c>
      <c r="Y33" s="71"/>
      <c r="Z33" s="71"/>
      <c r="AA33" s="71"/>
      <c r="AB33" s="71"/>
      <c r="AC33" s="71"/>
      <c r="AD33" s="71"/>
      <c r="AE33" s="71"/>
      <c r="AF33" s="71"/>
      <c r="AG33" s="71"/>
      <c r="AH33" s="71"/>
      <c r="AI33" s="71"/>
    </row>
    <row r="34" spans="1:35">
      <c r="A34" s="3"/>
      <c r="B34" s="768"/>
      <c r="C34" s="768"/>
      <c r="D34" s="768"/>
      <c r="E34" s="768"/>
      <c r="F34" s="768"/>
      <c r="G34" s="768"/>
      <c r="H34" s="768"/>
      <c r="I34" s="768"/>
      <c r="J34" s="768"/>
      <c r="K34" s="768"/>
      <c r="L34" s="230"/>
      <c r="M34" s="230"/>
      <c r="N34" s="230"/>
      <c r="O34" s="230"/>
      <c r="P34" s="230"/>
      <c r="S34" s="71"/>
      <c r="T34" s="71"/>
      <c r="U34" s="71"/>
      <c r="V34" s="71"/>
      <c r="W34" s="71"/>
      <c r="X34" s="71"/>
      <c r="Y34" s="71"/>
      <c r="Z34" s="71"/>
      <c r="AA34" s="71"/>
      <c r="AB34" s="71"/>
      <c r="AC34" s="71"/>
      <c r="AD34" s="71"/>
      <c r="AE34" s="71"/>
      <c r="AF34" s="71"/>
      <c r="AG34" s="71"/>
      <c r="AH34" s="71"/>
      <c r="AI34" s="71"/>
    </row>
    <row r="35" spans="1:35">
      <c r="A35" s="3"/>
      <c r="B35" s="3"/>
      <c r="C35" s="3"/>
      <c r="D35" s="3"/>
      <c r="E35" s="3"/>
      <c r="F35" s="3"/>
      <c r="G35" s="3"/>
      <c r="H35" s="3"/>
      <c r="I35" s="100"/>
      <c r="J35" s="100"/>
      <c r="K35" s="100"/>
      <c r="L35" s="3"/>
      <c r="M35" s="3"/>
      <c r="N35" s="3"/>
      <c r="O35" s="3"/>
      <c r="P35" s="3"/>
      <c r="S35" s="71"/>
      <c r="T35" s="71"/>
      <c r="U35" s="71"/>
      <c r="V35" s="71"/>
      <c r="W35" s="71"/>
      <c r="X35" s="71"/>
      <c r="Y35" s="71"/>
      <c r="Z35" s="71"/>
      <c r="AA35" s="71"/>
      <c r="AB35" s="71"/>
      <c r="AC35" s="71"/>
      <c r="AD35" s="71"/>
      <c r="AE35" s="71"/>
      <c r="AF35" s="71"/>
      <c r="AG35" s="71"/>
      <c r="AH35" s="71"/>
      <c r="AI35" s="71"/>
    </row>
    <row r="36" spans="1:35">
      <c r="A36" s="3"/>
      <c r="B36" s="3"/>
      <c r="C36" s="3"/>
      <c r="D36" s="3"/>
      <c r="E36" s="3"/>
      <c r="F36" s="3"/>
      <c r="G36" s="3"/>
      <c r="H36" s="3"/>
      <c r="I36" s="148"/>
      <c r="J36" s="149"/>
      <c r="K36" s="149"/>
      <c r="L36" s="3"/>
      <c r="M36" s="3"/>
      <c r="N36" s="3"/>
      <c r="O36" s="3"/>
      <c r="P36" s="3"/>
      <c r="S36" s="71"/>
      <c r="T36" s="71"/>
      <c r="U36" s="71"/>
      <c r="V36" s="71"/>
      <c r="W36" s="71"/>
      <c r="X36" s="71"/>
      <c r="Y36" s="71"/>
      <c r="Z36" s="71"/>
      <c r="AA36" s="71"/>
      <c r="AB36" s="71"/>
      <c r="AC36" s="71"/>
      <c r="AD36" s="71"/>
      <c r="AE36" s="71"/>
      <c r="AF36" s="71"/>
      <c r="AG36" s="71"/>
      <c r="AH36" s="71"/>
      <c r="AI36" s="71"/>
    </row>
    <row r="37" spans="1:35">
      <c r="A37" s="3"/>
      <c r="B37" s="3"/>
      <c r="C37" s="3"/>
      <c r="D37" s="3"/>
      <c r="E37" s="3"/>
      <c r="F37" s="3"/>
      <c r="G37" s="3"/>
      <c r="H37" s="3"/>
      <c r="I37" s="150"/>
      <c r="J37" s="151"/>
      <c r="K37" s="102"/>
      <c r="L37" s="3"/>
      <c r="M37" s="3"/>
      <c r="N37" s="3"/>
      <c r="O37" s="3"/>
      <c r="P37" s="3"/>
      <c r="S37" s="71"/>
      <c r="T37" s="71"/>
      <c r="U37" s="71"/>
      <c r="V37" s="71"/>
      <c r="W37" s="71"/>
      <c r="X37" s="71"/>
      <c r="Y37" s="71"/>
      <c r="Z37" s="71"/>
      <c r="AA37" s="71"/>
      <c r="AB37" s="71"/>
      <c r="AC37" s="71"/>
      <c r="AD37" s="71"/>
      <c r="AE37" s="71"/>
      <c r="AF37" s="71"/>
      <c r="AG37" s="71"/>
      <c r="AH37" s="71"/>
      <c r="AI37" s="71"/>
    </row>
    <row r="38" spans="1:35">
      <c r="A38" s="3"/>
      <c r="B38" s="3"/>
      <c r="C38" s="3"/>
      <c r="D38" s="3"/>
      <c r="E38" s="3"/>
      <c r="F38" s="3"/>
      <c r="G38" s="3"/>
      <c r="H38" s="3"/>
      <c r="I38" s="152"/>
      <c r="J38" s="151"/>
      <c r="K38" s="102"/>
      <c r="L38" s="3"/>
      <c r="M38" s="3"/>
      <c r="N38" s="3"/>
      <c r="O38" s="3"/>
      <c r="P38" s="3"/>
      <c r="S38" s="71"/>
      <c r="T38" s="71"/>
      <c r="U38" s="71"/>
      <c r="V38" s="71"/>
      <c r="W38" s="71"/>
      <c r="X38" s="71"/>
      <c r="Y38" s="71"/>
      <c r="Z38" s="71"/>
      <c r="AA38" s="71"/>
      <c r="AB38" s="71"/>
      <c r="AC38" s="71"/>
      <c r="AD38" s="71"/>
      <c r="AE38" s="71"/>
      <c r="AF38" s="71"/>
      <c r="AG38" s="71"/>
      <c r="AH38" s="71"/>
      <c r="AI38" s="71"/>
    </row>
    <row r="39" spans="1:35">
      <c r="A39" s="3"/>
      <c r="B39" s="3"/>
      <c r="C39" s="3"/>
      <c r="D39" s="3"/>
      <c r="E39" s="3"/>
      <c r="F39" s="3"/>
      <c r="G39" s="3"/>
      <c r="H39" s="3"/>
      <c r="I39" s="150"/>
      <c r="J39" s="151"/>
      <c r="K39" s="102"/>
      <c r="L39" s="3"/>
      <c r="M39" s="3"/>
      <c r="N39" s="3"/>
      <c r="O39" s="3"/>
      <c r="P39" s="3"/>
      <c r="S39" s="71"/>
      <c r="T39" s="71"/>
      <c r="U39" s="71"/>
      <c r="V39" s="71"/>
      <c r="W39" s="71"/>
      <c r="X39" s="71"/>
      <c r="Y39" s="71"/>
      <c r="Z39" s="71"/>
      <c r="AA39" s="71"/>
      <c r="AB39" s="71"/>
      <c r="AC39" s="71"/>
      <c r="AD39" s="71"/>
      <c r="AE39" s="71"/>
      <c r="AF39" s="71"/>
      <c r="AG39" s="71"/>
      <c r="AH39" s="71"/>
      <c r="AI39" s="71"/>
    </row>
    <row r="40" spans="1:35">
      <c r="A40" s="3"/>
      <c r="B40" s="3"/>
      <c r="C40" s="3"/>
      <c r="D40" s="3"/>
      <c r="E40" s="3"/>
      <c r="F40" s="3"/>
      <c r="G40" s="3"/>
      <c r="H40" s="3"/>
      <c r="I40" s="3"/>
      <c r="J40" s="3"/>
      <c r="K40" s="3"/>
      <c r="L40" s="3"/>
      <c r="M40" s="3"/>
      <c r="N40" s="3"/>
      <c r="O40" s="3"/>
      <c r="P40" s="3"/>
      <c r="S40" s="71"/>
      <c r="T40" s="71"/>
      <c r="U40" s="71"/>
      <c r="V40" s="71"/>
      <c r="W40" s="71"/>
      <c r="X40" s="71"/>
      <c r="Y40" s="71"/>
      <c r="Z40" s="71"/>
      <c r="AA40" s="71"/>
      <c r="AB40" s="71"/>
      <c r="AC40" s="71"/>
      <c r="AD40" s="71"/>
      <c r="AE40" s="71"/>
      <c r="AF40" s="71"/>
      <c r="AG40" s="71"/>
      <c r="AH40" s="71"/>
      <c r="AI40" s="71"/>
    </row>
    <row r="41" spans="1:35">
      <c r="A41" s="3"/>
      <c r="B41" s="3"/>
      <c r="C41" s="3"/>
      <c r="D41" s="3"/>
      <c r="E41" s="3"/>
      <c r="F41" s="3"/>
      <c r="G41" s="3"/>
      <c r="H41" s="3"/>
      <c r="I41" s="3"/>
      <c r="J41" s="3"/>
      <c r="K41" s="3"/>
      <c r="L41" s="3"/>
      <c r="M41" s="3"/>
      <c r="N41" s="3"/>
      <c r="O41" s="3"/>
      <c r="P41" s="3"/>
      <c r="S41" s="71"/>
      <c r="T41" s="71"/>
      <c r="U41" s="71"/>
      <c r="V41" s="71"/>
      <c r="W41" s="71"/>
      <c r="X41" s="71"/>
      <c r="Y41" s="71"/>
      <c r="Z41" s="71"/>
      <c r="AA41" s="71"/>
      <c r="AB41" s="71"/>
      <c r="AC41" s="71"/>
      <c r="AD41" s="71"/>
      <c r="AE41" s="71"/>
      <c r="AF41" s="71"/>
      <c r="AG41" s="71"/>
      <c r="AH41" s="71"/>
      <c r="AI41" s="71"/>
    </row>
    <row r="42" spans="1:35">
      <c r="A42" s="3"/>
      <c r="B42" s="3"/>
      <c r="C42" s="3"/>
      <c r="D42" s="3"/>
      <c r="E42" s="3"/>
      <c r="F42" s="3"/>
      <c r="G42" s="3"/>
      <c r="H42" s="3"/>
      <c r="I42" s="3"/>
      <c r="J42" s="3"/>
      <c r="K42" s="3"/>
      <c r="L42" s="3"/>
      <c r="M42" s="3"/>
      <c r="N42" s="3"/>
      <c r="O42" s="3"/>
      <c r="P42" s="3"/>
      <c r="S42" s="64"/>
      <c r="T42" s="64"/>
      <c r="U42" s="64"/>
      <c r="V42" s="64"/>
      <c r="W42" s="64"/>
      <c r="X42" s="64"/>
      <c r="Y42" s="64"/>
      <c r="Z42" s="64"/>
      <c r="AA42" s="64"/>
      <c r="AB42" s="64"/>
    </row>
    <row r="43" spans="1:35">
      <c r="S43" s="64"/>
      <c r="T43" s="64"/>
      <c r="U43" s="64"/>
      <c r="V43" s="64"/>
      <c r="W43" s="64"/>
      <c r="X43" s="64"/>
      <c r="Y43" s="64"/>
      <c r="Z43" s="64"/>
      <c r="AA43" s="64"/>
      <c r="AB43" s="64"/>
    </row>
    <row r="44" spans="1:35">
      <c r="S44" s="64"/>
      <c r="T44" s="64"/>
      <c r="U44" s="64"/>
      <c r="V44" s="64"/>
      <c r="W44" s="64"/>
      <c r="X44" s="64"/>
      <c r="Y44" s="64"/>
      <c r="Z44" s="64"/>
      <c r="AA44" s="64"/>
      <c r="AB44" s="64"/>
    </row>
    <row r="45" spans="1:35">
      <c r="S45" s="64"/>
      <c r="T45" s="64"/>
      <c r="U45" s="64"/>
      <c r="V45" s="64"/>
      <c r="W45" s="64"/>
      <c r="X45" s="64"/>
      <c r="Y45" s="64"/>
      <c r="Z45" s="64"/>
      <c r="AA45" s="64"/>
      <c r="AB45" s="64"/>
    </row>
    <row r="46" spans="1:35">
      <c r="S46" s="64"/>
      <c r="T46" s="64"/>
      <c r="U46" s="64"/>
      <c r="V46" s="64"/>
      <c r="W46" s="64"/>
      <c r="X46" s="64"/>
      <c r="Y46" s="64"/>
      <c r="Z46" s="64"/>
      <c r="AA46" s="64"/>
      <c r="AB46" s="64"/>
    </row>
  </sheetData>
  <mergeCells count="58">
    <mergeCell ref="B2:Q2"/>
    <mergeCell ref="O3:P3"/>
    <mergeCell ref="D5:N5"/>
    <mergeCell ref="L8:Q8"/>
    <mergeCell ref="F6:K6"/>
    <mergeCell ref="E3:K3"/>
    <mergeCell ref="C4:D4"/>
    <mergeCell ref="L19:Q19"/>
    <mergeCell ref="L25:Q25"/>
    <mergeCell ref="L26:Q26"/>
    <mergeCell ref="L27:Q27"/>
    <mergeCell ref="G20:K20"/>
    <mergeCell ref="G21:K21"/>
    <mergeCell ref="G22:K22"/>
    <mergeCell ref="G19:H19"/>
    <mergeCell ref="I19:J19"/>
    <mergeCell ref="E18:K18"/>
    <mergeCell ref="B19:D19"/>
    <mergeCell ref="B20:D20"/>
    <mergeCell ref="B33:D34"/>
    <mergeCell ref="E33:G34"/>
    <mergeCell ref="H33:K34"/>
    <mergeCell ref="B23:D23"/>
    <mergeCell ref="B24:D24"/>
    <mergeCell ref="B25:D25"/>
    <mergeCell ref="B26:D26"/>
    <mergeCell ref="G23:K23"/>
    <mergeCell ref="G24:K24"/>
    <mergeCell ref="G25:K25"/>
    <mergeCell ref="G26:K26"/>
    <mergeCell ref="G27:K27"/>
    <mergeCell ref="B31:E31"/>
    <mergeCell ref="L31:P31"/>
    <mergeCell ref="L20:Q20"/>
    <mergeCell ref="L21:Q21"/>
    <mergeCell ref="L22:Q22"/>
    <mergeCell ref="L28:Q28"/>
    <mergeCell ref="L30:P30"/>
    <mergeCell ref="L23:Q23"/>
    <mergeCell ref="L24:Q24"/>
    <mergeCell ref="L29:Q29"/>
    <mergeCell ref="F31:K31"/>
    <mergeCell ref="B21:D21"/>
    <mergeCell ref="G28:K28"/>
    <mergeCell ref="G29:K29"/>
    <mergeCell ref="F30:K30"/>
    <mergeCell ref="B30:E30"/>
    <mergeCell ref="B27:D27"/>
    <mergeCell ref="B28:D28"/>
    <mergeCell ref="B29:D29"/>
    <mergeCell ref="B22:D22"/>
    <mergeCell ref="C9:E9"/>
    <mergeCell ref="G9:K9"/>
    <mergeCell ref="M9:Q9"/>
    <mergeCell ref="C3:D3"/>
    <mergeCell ref="E4:L4"/>
    <mergeCell ref="B8:E8"/>
    <mergeCell ref="F8:K8"/>
  </mergeCells>
  <phoneticPr fontId="30" type="noConversion"/>
  <conditionalFormatting sqref="C4:D4">
    <cfRule type="cellIs" dxfId="11" priority="50" stopIfTrue="1" operator="equal">
      <formula>"C"</formula>
    </cfRule>
    <cfRule type="cellIs" dxfId="10" priority="51" stopIfTrue="1" operator="equal">
      <formula>"B2"</formula>
    </cfRule>
    <cfRule type="cellIs" dxfId="9" priority="52" stopIfTrue="1" operator="equal">
      <formula>"B1"</formula>
    </cfRule>
  </conditionalFormatting>
  <conditionalFormatting sqref="G20:G29">
    <cfRule type="cellIs" dxfId="8" priority="56" stopIfTrue="1" operator="between">
      <formula>0</formula>
      <formula>0.599</formula>
    </cfRule>
    <cfRule type="cellIs" dxfId="7" priority="57" stopIfTrue="1" operator="between">
      <formula>0.6</formula>
      <formula>0.899</formula>
    </cfRule>
    <cfRule type="cellIs" dxfId="6" priority="58" stopIfTrue="1" operator="greaterThanOrEqual">
      <formula>0.9</formula>
    </cfRule>
  </conditionalFormatting>
  <pageMargins left="0.70866141732283472" right="0.70866141732283472" top="0.74803149606299213" bottom="0.74803149606299213" header="0.31496062992125984" footer="0.31496062992125984"/>
  <pageSetup paperSize="9" scale="87" orientation="landscape"/>
  <headerFooter alignWithMargins="0">
    <oddFooter>&amp;L&amp;F&amp;C&amp;A&amp;RV1.0          &amp;D</oddFooter>
  </headerFooter>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27"/>
  </sheetPr>
  <dimension ref="A1:O42"/>
  <sheetViews>
    <sheetView showGridLines="0" topLeftCell="A26" zoomScale="90" zoomScaleNormal="90" zoomScalePageLayoutView="90" workbookViewId="0">
      <selection activeCell="D37" sqref="D37:G37"/>
    </sheetView>
  </sheetViews>
  <sheetFormatPr defaultColWidth="11.453125" defaultRowHeight="11.5"/>
  <cols>
    <col min="1" max="1" width="1.08984375" style="31" customWidth="1"/>
    <col min="2" max="2" width="19.36328125" style="31" customWidth="1"/>
    <col min="3" max="3" width="1.08984375" style="31" customWidth="1"/>
    <col min="4" max="4" width="17.08984375" style="31" customWidth="1"/>
    <col min="5" max="5" width="17.453125" style="31" customWidth="1"/>
    <col min="6" max="6" width="9.6328125" style="31" customWidth="1"/>
    <col min="7" max="7" width="13" style="31" customWidth="1"/>
    <col min="8" max="8" width="4.36328125" style="31" customWidth="1"/>
    <col min="9" max="9" width="15.90625" style="31" customWidth="1"/>
    <col min="10" max="10" width="3.453125" style="31" customWidth="1"/>
    <col min="11" max="11" width="7.453125" style="32" customWidth="1"/>
    <col min="12" max="12" width="14.36328125" style="31" customWidth="1"/>
    <col min="13" max="13" width="12" style="31" customWidth="1"/>
    <col min="14" max="14" width="5.453125" style="31" customWidth="1"/>
    <col min="15" max="15" width="2.453125" style="31" customWidth="1"/>
    <col min="16" max="16384" width="11.453125" style="31"/>
  </cols>
  <sheetData>
    <row r="1" spans="1:15" ht="38.25" customHeight="1">
      <c r="A1" s="154"/>
      <c r="B1" s="154"/>
      <c r="C1" s="154"/>
      <c r="D1" s="154"/>
      <c r="E1" s="154"/>
      <c r="F1" s="154"/>
      <c r="G1" s="154"/>
      <c r="H1" s="154"/>
      <c r="I1" s="154"/>
      <c r="J1" s="154"/>
      <c r="K1" s="155"/>
      <c r="L1" s="154"/>
      <c r="M1" s="154"/>
      <c r="N1" s="154"/>
    </row>
    <row r="2" spans="1:15" customFormat="1" ht="27.75" customHeight="1">
      <c r="A2" s="3"/>
      <c r="B2" s="777" t="str">
        <f>+"Dashboard:  "&amp;"  "&amp;IF(+'Data Entry'!C4="Please Select","",'Data Entry'!C4&amp;" - ")&amp;IF('Data Entry'!G6="Please Select","",'Data Entry'!G6)</f>
        <v>Dashboard:    Georgia - TB</v>
      </c>
      <c r="C2" s="777"/>
      <c r="D2" s="777"/>
      <c r="E2" s="777"/>
      <c r="F2" s="777"/>
      <c r="G2" s="777"/>
      <c r="H2" s="777"/>
      <c r="I2" s="777"/>
      <c r="J2" s="777"/>
      <c r="K2" s="777"/>
      <c r="L2" s="777"/>
      <c r="M2" s="777"/>
      <c r="N2" s="777"/>
      <c r="O2" s="73"/>
    </row>
    <row r="3" spans="1:15" customFormat="1" ht="18.5">
      <c r="A3" s="3"/>
      <c r="B3" s="135" t="str">
        <f>+IF('Data Entry'!G8="Please Select","",'Data Entry'!G8)</f>
        <v>Round 10</v>
      </c>
      <c r="C3" s="725" t="str">
        <f>+IF('Data Entry'!I8="Please Select","",'Data Entry'!I8)</f>
        <v>Phase 2</v>
      </c>
      <c r="D3" s="725"/>
      <c r="E3" s="779"/>
      <c r="F3" s="779"/>
      <c r="G3" s="779"/>
      <c r="H3" s="779"/>
      <c r="I3" s="779"/>
      <c r="J3" s="779"/>
      <c r="K3" s="779"/>
      <c r="L3" s="135" t="str">
        <f>+'Data Entry'!B16</f>
        <v>Report Period:</v>
      </c>
      <c r="M3" s="202" t="str">
        <f>+'Data Entry'!C16</f>
        <v>P9</v>
      </c>
      <c r="N3" s="202"/>
      <c r="O3" s="31"/>
    </row>
    <row r="4" spans="1:15" customFormat="1" ht="14.5">
      <c r="A4" s="3"/>
      <c r="B4" s="135" t="str">
        <f>+'Data Entry'!B12</f>
        <v>Latest Rating:</v>
      </c>
      <c r="C4" s="780" t="str">
        <f>+IF('Data Entry'!C12="Please Select","",'Data Entry'!C12)</f>
        <v>A2</v>
      </c>
      <c r="D4" s="780"/>
      <c r="E4" s="724" t="str">
        <f>+'Data Entry'!C8</f>
        <v>NCDC</v>
      </c>
      <c r="F4" s="724"/>
      <c r="G4" s="724"/>
      <c r="H4" s="724"/>
      <c r="I4" s="724"/>
      <c r="J4" s="724"/>
      <c r="K4" s="724"/>
      <c r="L4" s="135" t="str">
        <f>+'Data Entry'!D16</f>
        <v>From:</v>
      </c>
      <c r="M4" s="203">
        <f>+IF(ISBLANK('Data Entry'!E16),"",'Data Entry'!E16)</f>
        <v>42461</v>
      </c>
      <c r="N4" s="203"/>
      <c r="O4" s="31"/>
    </row>
    <row r="5" spans="1:15" customFormat="1" ht="18.75" customHeight="1">
      <c r="A5" s="3"/>
      <c r="B5" s="135"/>
      <c r="C5" s="135"/>
      <c r="D5" s="136"/>
      <c r="E5" s="724">
        <f>+'Data Entry'!G4</f>
        <v>0</v>
      </c>
      <c r="F5" s="724"/>
      <c r="G5" s="724"/>
      <c r="H5" s="724"/>
      <c r="I5" s="724"/>
      <c r="J5" s="724"/>
      <c r="K5" s="724"/>
      <c r="L5" s="135" t="str">
        <f>+'Data Entry'!F16</f>
        <v>To:</v>
      </c>
      <c r="M5" s="203">
        <f>+IF(ISBLANK('Data Entry'!G16),"",'Data Entry'!G16)</f>
        <v>42551</v>
      </c>
      <c r="N5" s="203"/>
    </row>
    <row r="6" spans="1:15" customFormat="1" ht="22.5" customHeight="1">
      <c r="A6" s="3"/>
      <c r="B6" s="140"/>
      <c r="C6" s="141"/>
      <c r="D6" s="142"/>
      <c r="E6" s="822" t="s">
        <v>316</v>
      </c>
      <c r="F6" s="822"/>
      <c r="G6" s="822"/>
      <c r="H6" s="822"/>
      <c r="I6" s="822"/>
      <c r="J6" s="822"/>
      <c r="K6" s="822"/>
      <c r="L6" s="2"/>
      <c r="M6" s="2"/>
      <c r="N6" s="2"/>
    </row>
    <row r="7" spans="1:15" s="33" customFormat="1" ht="4.5" customHeight="1">
      <c r="A7" s="156"/>
      <c r="B7" s="157"/>
      <c r="C7" s="157"/>
      <c r="D7" s="157"/>
      <c r="E7" s="157"/>
      <c r="F7" s="157"/>
      <c r="G7" s="157"/>
      <c r="H7" s="157"/>
      <c r="I7" s="157"/>
      <c r="J7" s="157"/>
      <c r="K7" s="157"/>
      <c r="L7" s="158"/>
      <c r="M7" s="158"/>
      <c r="N7" s="159"/>
    </row>
    <row r="8" spans="1:15" s="33" customFormat="1" ht="21" customHeight="1" thickBot="1">
      <c r="A8" s="156"/>
      <c r="B8" s="799" t="s">
        <v>99</v>
      </c>
      <c r="C8" s="799"/>
      <c r="D8" s="799"/>
      <c r="E8" s="799"/>
      <c r="F8" s="799"/>
      <c r="G8" s="799"/>
      <c r="H8" s="799"/>
      <c r="I8" s="799"/>
      <c r="J8" s="799"/>
      <c r="K8" s="799"/>
      <c r="L8" s="799"/>
      <c r="M8" s="799"/>
      <c r="N8" s="799"/>
    </row>
    <row r="9" spans="1:15" s="33" customFormat="1" ht="3.75" customHeight="1" thickBot="1">
      <c r="A9" s="156"/>
      <c r="B9" s="157"/>
      <c r="C9" s="157"/>
      <c r="D9" s="157"/>
      <c r="E9" s="157"/>
      <c r="F9" s="157"/>
      <c r="G9" s="157"/>
      <c r="H9" s="157"/>
      <c r="I9" s="157"/>
      <c r="J9" s="157"/>
      <c r="K9" s="157"/>
      <c r="L9" s="158"/>
      <c r="M9" s="158"/>
      <c r="N9" s="159"/>
    </row>
    <row r="10" spans="1:15" s="34" customFormat="1" ht="25.5" customHeight="1" thickBot="1">
      <c r="A10" s="160"/>
      <c r="B10" s="810" t="s">
        <v>94</v>
      </c>
      <c r="C10" s="832"/>
      <c r="D10" s="823" t="s">
        <v>98</v>
      </c>
      <c r="E10" s="824"/>
      <c r="F10" s="824"/>
      <c r="G10" s="825"/>
      <c r="H10" s="163"/>
      <c r="I10" s="823" t="s">
        <v>316</v>
      </c>
      <c r="J10" s="824"/>
      <c r="K10" s="824"/>
      <c r="L10" s="824"/>
      <c r="M10" s="824"/>
      <c r="N10" s="825"/>
    </row>
    <row r="11" spans="1:15" s="34" customFormat="1" ht="28.5" customHeight="1">
      <c r="A11" s="160"/>
      <c r="B11" s="436" t="s">
        <v>102</v>
      </c>
      <c r="C11" s="180"/>
      <c r="D11" s="802" t="str">
        <f>IF(ISBLANK(Finance!C9),"",(Finance!C9))</f>
        <v/>
      </c>
      <c r="E11" s="802"/>
      <c r="F11" s="802"/>
      <c r="G11" s="803"/>
      <c r="H11" s="186"/>
      <c r="I11" s="807"/>
      <c r="J11" s="808"/>
      <c r="K11" s="808"/>
      <c r="L11" s="808"/>
      <c r="M11" s="808"/>
      <c r="N11" s="809"/>
    </row>
    <row r="12" spans="1:15" s="34" customFormat="1" ht="27.75" customHeight="1">
      <c r="A12" s="160"/>
      <c r="B12" s="437" t="s">
        <v>103</v>
      </c>
      <c r="C12" s="181"/>
      <c r="D12" s="802" t="str">
        <f>IF(ISBLANK(Finance!C23),"",(Finance!C23))</f>
        <v/>
      </c>
      <c r="E12" s="802"/>
      <c r="F12" s="802"/>
      <c r="G12" s="803"/>
      <c r="H12" s="186"/>
      <c r="I12" s="804"/>
      <c r="J12" s="805"/>
      <c r="K12" s="805"/>
      <c r="L12" s="805"/>
      <c r="M12" s="805"/>
      <c r="N12" s="806"/>
    </row>
    <row r="13" spans="1:15" s="34" customFormat="1" ht="26.25" customHeight="1">
      <c r="A13" s="160"/>
      <c r="B13" s="437" t="s">
        <v>104</v>
      </c>
      <c r="C13" s="181"/>
      <c r="D13" s="802" t="str">
        <f>IF(ISBLANK(Finance!I9),"",(Finance!I9))</f>
        <v/>
      </c>
      <c r="E13" s="802"/>
      <c r="F13" s="802"/>
      <c r="G13" s="803"/>
      <c r="H13" s="186"/>
      <c r="I13" s="804"/>
      <c r="J13" s="805"/>
      <c r="K13" s="805"/>
      <c r="L13" s="805"/>
      <c r="M13" s="805"/>
      <c r="N13" s="806"/>
    </row>
    <row r="14" spans="1:15" s="34" customFormat="1" ht="28.5" customHeight="1" thickBot="1">
      <c r="A14" s="160"/>
      <c r="B14" s="438" t="s">
        <v>105</v>
      </c>
      <c r="C14" s="182"/>
      <c r="D14" s="800" t="str">
        <f>IF(ISBLANK(Finance!I23),"",(Finance!I23))</f>
        <v/>
      </c>
      <c r="E14" s="800"/>
      <c r="F14" s="800"/>
      <c r="G14" s="801"/>
      <c r="H14" s="186"/>
      <c r="I14" s="833"/>
      <c r="J14" s="834"/>
      <c r="K14" s="834"/>
      <c r="L14" s="834"/>
      <c r="M14" s="834"/>
      <c r="N14" s="835"/>
    </row>
    <row r="15" spans="1:15" s="34" customFormat="1" ht="4.5" customHeight="1">
      <c r="A15" s="160"/>
      <c r="B15" s="183"/>
      <c r="C15" s="184"/>
      <c r="D15" s="185"/>
      <c r="E15" s="185"/>
      <c r="F15" s="185"/>
      <c r="G15" s="185"/>
      <c r="H15" s="186"/>
      <c r="I15" s="187"/>
      <c r="J15" s="187"/>
      <c r="K15" s="187"/>
      <c r="L15" s="187"/>
      <c r="M15" s="187"/>
      <c r="N15" s="187"/>
      <c r="O15" s="75"/>
    </row>
    <row r="16" spans="1:15" s="33" customFormat="1" ht="21" customHeight="1" thickBot="1">
      <c r="A16" s="156"/>
      <c r="B16" s="799" t="s">
        <v>101</v>
      </c>
      <c r="C16" s="799"/>
      <c r="D16" s="799"/>
      <c r="E16" s="799"/>
      <c r="F16" s="799"/>
      <c r="G16" s="799"/>
      <c r="H16" s="799"/>
      <c r="I16" s="799"/>
      <c r="J16" s="799"/>
      <c r="K16" s="799"/>
      <c r="L16" s="799"/>
      <c r="M16" s="799"/>
      <c r="N16" s="799"/>
    </row>
    <row r="17" spans="1:15" s="34" customFormat="1" ht="3.75" customHeight="1" thickBot="1">
      <c r="A17" s="160"/>
      <c r="B17" s="169"/>
      <c r="C17" s="170"/>
      <c r="D17" s="171"/>
      <c r="E17" s="172"/>
      <c r="F17" s="173"/>
      <c r="G17" s="173"/>
      <c r="H17" s="174"/>
      <c r="I17" s="175"/>
      <c r="J17" s="176"/>
      <c r="K17" s="165"/>
      <c r="L17" s="166"/>
      <c r="M17" s="167"/>
      <c r="N17" s="168"/>
    </row>
    <row r="18" spans="1:15" s="34" customFormat="1" ht="22.5" customHeight="1" thickBot="1">
      <c r="A18" s="160"/>
      <c r="B18" s="832" t="s">
        <v>95</v>
      </c>
      <c r="C18" s="811"/>
      <c r="D18" s="816" t="s">
        <v>98</v>
      </c>
      <c r="E18" s="817"/>
      <c r="F18" s="817"/>
      <c r="G18" s="818"/>
      <c r="H18" s="163"/>
      <c r="I18" s="813" t="s">
        <v>316</v>
      </c>
      <c r="J18" s="814"/>
      <c r="K18" s="814"/>
      <c r="L18" s="814"/>
      <c r="M18" s="815"/>
      <c r="N18" s="815"/>
    </row>
    <row r="19" spans="1:15" s="34" customFormat="1" ht="21.75" customHeight="1">
      <c r="A19" s="160"/>
      <c r="B19" s="439" t="s">
        <v>110</v>
      </c>
      <c r="C19" s="188"/>
      <c r="D19" s="836" t="str">
        <f>IF(ISBLANK(Management!C8),"",(Management!C8))</f>
        <v/>
      </c>
      <c r="E19" s="836"/>
      <c r="F19" s="836"/>
      <c r="G19" s="837"/>
      <c r="H19" s="189"/>
      <c r="I19" s="826"/>
      <c r="J19" s="827"/>
      <c r="K19" s="827"/>
      <c r="L19" s="827"/>
      <c r="M19" s="827"/>
      <c r="N19" s="828"/>
    </row>
    <row r="20" spans="1:15" ht="24.75" customHeight="1">
      <c r="A20" s="154"/>
      <c r="B20" s="440" t="s">
        <v>111</v>
      </c>
      <c r="C20" s="190"/>
      <c r="D20" s="802" t="str">
        <f>IF(ISBLANK(Management!I8),"",(Management!I8))</f>
        <v/>
      </c>
      <c r="E20" s="802">
        <f>+'Data Entry'!D73/'Data Entry'!G73</f>
        <v>0.83333333333333337</v>
      </c>
      <c r="F20" s="802">
        <f>+('Data Entry'!E73+'Data Entry'!F73)/'Data Entry'!G73</f>
        <v>0.16666666666666666</v>
      </c>
      <c r="G20" s="812"/>
      <c r="H20" s="189"/>
      <c r="I20" s="819"/>
      <c r="J20" s="820"/>
      <c r="K20" s="820"/>
      <c r="L20" s="820"/>
      <c r="M20" s="820"/>
      <c r="N20" s="821"/>
      <c r="O20" s="35"/>
    </row>
    <row r="21" spans="1:15" ht="29.25" customHeight="1">
      <c r="A21" s="154"/>
      <c r="B21" s="441" t="s">
        <v>112</v>
      </c>
      <c r="C21" s="190"/>
      <c r="D21" s="802" t="str">
        <f>IF(ISBLANK(Management!C16),"",(Management!C16))</f>
        <v/>
      </c>
      <c r="E21" s="802"/>
      <c r="F21" s="802"/>
      <c r="G21" s="812"/>
      <c r="H21" s="189"/>
      <c r="I21" s="819"/>
      <c r="J21" s="820"/>
      <c r="K21" s="820"/>
      <c r="L21" s="820"/>
      <c r="M21" s="820"/>
      <c r="N21" s="821"/>
      <c r="O21" s="35"/>
    </row>
    <row r="22" spans="1:15" ht="26.25" customHeight="1">
      <c r="A22" s="154"/>
      <c r="B22" s="441" t="s">
        <v>113</v>
      </c>
      <c r="C22" s="190"/>
      <c r="D22" s="802" t="str">
        <f>IF(ISBLANK(Management!I16),"",(Management!I16))</f>
        <v/>
      </c>
      <c r="E22" s="802"/>
      <c r="F22" s="802"/>
      <c r="G22" s="812"/>
      <c r="H22" s="189"/>
      <c r="I22" s="819"/>
      <c r="J22" s="820"/>
      <c r="K22" s="820"/>
      <c r="L22" s="820"/>
      <c r="M22" s="820"/>
      <c r="N22" s="821"/>
      <c r="O22" s="35"/>
    </row>
    <row r="23" spans="1:15" ht="24.75" customHeight="1">
      <c r="A23" s="154"/>
      <c r="B23" s="441" t="s">
        <v>114</v>
      </c>
      <c r="C23" s="190"/>
      <c r="D23" s="802" t="str">
        <f>IF(ISBLANK(Management!C27),"",(Management!C27))</f>
        <v/>
      </c>
      <c r="E23" s="802"/>
      <c r="F23" s="802"/>
      <c r="G23" s="812"/>
      <c r="H23" s="189"/>
      <c r="I23" s="819"/>
      <c r="J23" s="820"/>
      <c r="K23" s="820"/>
      <c r="L23" s="820"/>
      <c r="M23" s="820"/>
      <c r="N23" s="821"/>
      <c r="O23" s="35"/>
    </row>
    <row r="24" spans="1:15" ht="27" customHeight="1" thickBot="1">
      <c r="A24" s="154"/>
      <c r="B24" s="442" t="s">
        <v>116</v>
      </c>
      <c r="C24" s="191"/>
      <c r="D24" s="797" t="str">
        <f>IF(ISBLANK(Management!I27),"",(Management!I27))</f>
        <v>The new order is expected to deliver in April 2015</v>
      </c>
      <c r="E24" s="797"/>
      <c r="F24" s="797"/>
      <c r="G24" s="798"/>
      <c r="H24" s="189"/>
      <c r="I24" s="829"/>
      <c r="J24" s="830"/>
      <c r="K24" s="830"/>
      <c r="L24" s="830"/>
      <c r="M24" s="830"/>
      <c r="N24" s="831"/>
      <c r="O24" s="35"/>
    </row>
    <row r="25" spans="1:15" ht="4.5" customHeight="1">
      <c r="A25" s="156"/>
      <c r="B25" s="161"/>
      <c r="C25" s="162"/>
      <c r="D25" s="177"/>
      <c r="E25" s="178"/>
      <c r="F25" s="179"/>
      <c r="G25" s="179"/>
      <c r="H25" s="163"/>
      <c r="I25" s="178"/>
      <c r="J25" s="164"/>
      <c r="K25" s="165"/>
      <c r="L25" s="166"/>
      <c r="M25" s="167"/>
      <c r="N25" s="168"/>
      <c r="O25" s="35"/>
    </row>
    <row r="26" spans="1:15" s="33" customFormat="1" ht="21" customHeight="1" thickBot="1">
      <c r="A26" s="156"/>
      <c r="B26" s="799" t="s">
        <v>100</v>
      </c>
      <c r="C26" s="799"/>
      <c r="D26" s="799"/>
      <c r="E26" s="799"/>
      <c r="F26" s="799"/>
      <c r="G26" s="799"/>
      <c r="H26" s="799"/>
      <c r="I26" s="799"/>
      <c r="J26" s="799"/>
      <c r="K26" s="799"/>
      <c r="L26" s="799"/>
      <c r="M26" s="799"/>
      <c r="N26" s="799"/>
    </row>
    <row r="27" spans="1:15" ht="3.75" customHeight="1" thickBot="1">
      <c r="A27" s="156"/>
      <c r="B27" s="161"/>
      <c r="C27" s="162"/>
      <c r="D27" s="177"/>
      <c r="E27" s="178"/>
      <c r="F27" s="179"/>
      <c r="G27" s="179"/>
      <c r="H27" s="163"/>
      <c r="I27" s="178"/>
      <c r="J27" s="164"/>
      <c r="K27" s="165"/>
      <c r="L27" s="166"/>
      <c r="M27" s="167"/>
      <c r="N27" s="168"/>
      <c r="O27" s="35"/>
    </row>
    <row r="28" spans="1:15" ht="21.75" customHeight="1" thickBot="1">
      <c r="A28" s="154"/>
      <c r="B28" s="810" t="s">
        <v>7</v>
      </c>
      <c r="C28" s="811"/>
      <c r="D28" s="784" t="s">
        <v>98</v>
      </c>
      <c r="E28" s="785"/>
      <c r="F28" s="785"/>
      <c r="G28" s="786"/>
      <c r="H28" s="163"/>
      <c r="I28" s="784" t="s">
        <v>316</v>
      </c>
      <c r="J28" s="785"/>
      <c r="K28" s="785"/>
      <c r="L28" s="785"/>
      <c r="M28" s="785"/>
      <c r="N28" s="786"/>
      <c r="O28" s="35"/>
    </row>
    <row r="29" spans="1:15" ht="29.25" customHeight="1">
      <c r="A29" s="154"/>
      <c r="B29" s="443" t="s">
        <v>317</v>
      </c>
      <c r="C29" s="192"/>
      <c r="D29" s="787" t="str">
        <f>IF(ISBLANK(Programmatic!C9),"",(Programmatic!C9))</f>
        <v/>
      </c>
      <c r="E29" s="788"/>
      <c r="F29" s="788"/>
      <c r="G29" s="789"/>
      <c r="H29" s="189"/>
      <c r="I29" s="793"/>
      <c r="J29" s="794"/>
      <c r="K29" s="794"/>
      <c r="L29" s="794"/>
      <c r="M29" s="794"/>
      <c r="N29" s="795"/>
      <c r="O29" s="35"/>
    </row>
    <row r="30" spans="1:15" ht="21.75" customHeight="1">
      <c r="A30" s="154"/>
      <c r="B30" s="444" t="s">
        <v>318</v>
      </c>
      <c r="C30" s="193"/>
      <c r="D30" s="796" t="str">
        <f>IF(ISBLANK(Programmatic!G9),"",(Programmatic!G9))</f>
        <v/>
      </c>
      <c r="E30" s="782"/>
      <c r="F30" s="782"/>
      <c r="G30" s="783"/>
      <c r="H30" s="189"/>
      <c r="I30" s="790"/>
      <c r="J30" s="791"/>
      <c r="K30" s="791"/>
      <c r="L30" s="791"/>
      <c r="M30" s="791"/>
      <c r="N30" s="792"/>
      <c r="O30" s="35"/>
    </row>
    <row r="31" spans="1:15" ht="21.75" customHeight="1">
      <c r="A31" s="154"/>
      <c r="B31" s="444" t="s">
        <v>319</v>
      </c>
      <c r="C31" s="193"/>
      <c r="D31" s="796" t="str">
        <f>IF(ISBLANK(Programmatic!M9),"",(Programmatic!M9))</f>
        <v/>
      </c>
      <c r="E31" s="782"/>
      <c r="F31" s="782"/>
      <c r="G31" s="783"/>
      <c r="H31" s="189"/>
      <c r="I31" s="790"/>
      <c r="J31" s="791"/>
      <c r="K31" s="791"/>
      <c r="L31" s="791"/>
      <c r="M31" s="791"/>
      <c r="N31" s="792"/>
      <c r="O31" s="35"/>
    </row>
    <row r="32" spans="1:15" ht="21.75" customHeight="1">
      <c r="A32" s="154"/>
      <c r="B32" s="445" t="s">
        <v>106</v>
      </c>
      <c r="C32" s="193"/>
      <c r="D32" s="781" t="str">
        <f>IF(ISBLANK(Programmatic!L20),"",(Programmatic!L20))</f>
        <v/>
      </c>
      <c r="E32" s="782"/>
      <c r="F32" s="782"/>
      <c r="G32" s="783"/>
      <c r="H32" s="189"/>
      <c r="I32" s="790"/>
      <c r="J32" s="791"/>
      <c r="K32" s="791"/>
      <c r="L32" s="791"/>
      <c r="M32" s="791"/>
      <c r="N32" s="792"/>
      <c r="O32" s="35"/>
    </row>
    <row r="33" spans="1:15" ht="27" customHeight="1">
      <c r="A33" s="154"/>
      <c r="B33" s="445" t="s">
        <v>107</v>
      </c>
      <c r="C33" s="193"/>
      <c r="D33" s="781" t="str">
        <f>IF(ISBLANK(Programmatic!L21),"",(Programmatic!L21))</f>
        <v/>
      </c>
      <c r="E33" s="782"/>
      <c r="F33" s="782"/>
      <c r="G33" s="783"/>
      <c r="H33" s="189"/>
      <c r="I33" s="790"/>
      <c r="J33" s="791"/>
      <c r="K33" s="791"/>
      <c r="L33" s="791"/>
      <c r="M33" s="791"/>
      <c r="N33" s="792"/>
      <c r="O33" s="35"/>
    </row>
    <row r="34" spans="1:15" ht="21.75" customHeight="1">
      <c r="A34" s="154"/>
      <c r="B34" s="445" t="s">
        <v>108</v>
      </c>
      <c r="C34" s="193"/>
      <c r="D34" s="781" t="str">
        <f>IF(ISBLANK(Programmatic!L22),"",(Programmatic!L22))</f>
        <v xml:space="preserve">The relatively low indicator relates to the actual (decreased) number of TB patients in the country. </v>
      </c>
      <c r="E34" s="782"/>
      <c r="F34" s="782"/>
      <c r="G34" s="783"/>
      <c r="H34" s="189"/>
      <c r="I34" s="790"/>
      <c r="J34" s="791"/>
      <c r="K34" s="791"/>
      <c r="L34" s="791"/>
      <c r="M34" s="791"/>
      <c r="N34" s="792"/>
      <c r="O34" s="35"/>
    </row>
    <row r="35" spans="1:15" ht="21.75" customHeight="1">
      <c r="A35" s="154"/>
      <c r="B35" s="445" t="s">
        <v>109</v>
      </c>
      <c r="C35" s="236"/>
      <c r="D35" s="781" t="str">
        <f>IF(ISBLANK(Programmatic!L23),"",(Programmatic!L23))</f>
        <v/>
      </c>
      <c r="E35" s="782"/>
      <c r="F35" s="782"/>
      <c r="G35" s="783"/>
      <c r="H35" s="189"/>
      <c r="I35" s="790"/>
      <c r="J35" s="791"/>
      <c r="K35" s="791"/>
      <c r="L35" s="791"/>
      <c r="M35" s="791"/>
      <c r="N35" s="792"/>
      <c r="O35" s="35"/>
    </row>
    <row r="36" spans="1:15" ht="21.75" customHeight="1">
      <c r="A36" s="154"/>
      <c r="B36" s="445" t="s">
        <v>121</v>
      </c>
      <c r="C36" s="236"/>
      <c r="D36" s="781" t="str">
        <f>IF(ISBLANK(Programmatic!L24),"",(Programmatic!L24))</f>
        <v xml:space="preserve">The relatively low indicator relates to the actual (decreased) number of TB patients in the country. </v>
      </c>
      <c r="E36" s="782"/>
      <c r="F36" s="782"/>
      <c r="G36" s="783"/>
      <c r="H36" s="189"/>
      <c r="I36" s="790"/>
      <c r="J36" s="791"/>
      <c r="K36" s="791"/>
      <c r="L36" s="791"/>
      <c r="M36" s="791"/>
      <c r="N36" s="792"/>
      <c r="O36" s="35"/>
    </row>
    <row r="37" spans="1:15" ht="21.75" customHeight="1">
      <c r="A37" s="154"/>
      <c r="B37" s="445" t="s">
        <v>122</v>
      </c>
      <c r="C37" s="236"/>
      <c r="D37" s="781" t="str">
        <f>IF(ISBLANK(Programmatic!L25),"",(Programmatic!L25))</f>
        <v xml:space="preserve">The relatively low indicator relates to the actual (decreased) number of TB patients in the country. </v>
      </c>
      <c r="E37" s="782"/>
      <c r="F37" s="782"/>
      <c r="G37" s="783"/>
      <c r="H37" s="189"/>
      <c r="I37" s="790"/>
      <c r="J37" s="791"/>
      <c r="K37" s="791"/>
      <c r="L37" s="791"/>
      <c r="M37" s="791"/>
      <c r="N37" s="792"/>
      <c r="O37" s="35"/>
    </row>
    <row r="38" spans="1:15" ht="21.75" customHeight="1">
      <c r="A38" s="154"/>
      <c r="B38" s="445" t="s">
        <v>123</v>
      </c>
      <c r="C38" s="236"/>
      <c r="D38" s="781" t="str">
        <f>IF(ISBLANK(Programmatic!L26),"",(Programmatic!L26))</f>
        <v/>
      </c>
      <c r="E38" s="782"/>
      <c r="F38" s="782"/>
      <c r="G38" s="783"/>
      <c r="H38" s="189"/>
      <c r="I38" s="790"/>
      <c r="J38" s="791"/>
      <c r="K38" s="791"/>
      <c r="L38" s="791"/>
      <c r="M38" s="791"/>
      <c r="N38" s="792"/>
      <c r="O38" s="35"/>
    </row>
    <row r="39" spans="1:15" ht="21.75" customHeight="1">
      <c r="A39" s="154"/>
      <c r="B39" s="445" t="s">
        <v>124</v>
      </c>
      <c r="C39" s="236"/>
      <c r="D39" s="781" t="str">
        <f>IF(ISBLANK(Programmatic!L27),"",(Programmatic!L27))</f>
        <v/>
      </c>
      <c r="E39" s="782"/>
      <c r="F39" s="782"/>
      <c r="G39" s="783"/>
      <c r="H39" s="189"/>
      <c r="I39" s="790"/>
      <c r="J39" s="791"/>
      <c r="K39" s="791"/>
      <c r="L39" s="791"/>
      <c r="M39" s="791"/>
      <c r="N39" s="792"/>
      <c r="O39" s="35"/>
    </row>
    <row r="40" spans="1:15" ht="21.75" customHeight="1">
      <c r="A40" s="154"/>
      <c r="B40" s="445" t="s">
        <v>125</v>
      </c>
      <c r="C40" s="236"/>
      <c r="D40" s="781" t="str">
        <f>IF(ISBLANK(Programmatic!L28),"",(Programmatic!L28))</f>
        <v/>
      </c>
      <c r="E40" s="782"/>
      <c r="F40" s="782"/>
      <c r="G40" s="783"/>
      <c r="H40" s="189"/>
      <c r="I40" s="790"/>
      <c r="J40" s="791"/>
      <c r="K40" s="791"/>
      <c r="L40" s="791"/>
      <c r="M40" s="791"/>
      <c r="N40" s="792"/>
      <c r="O40" s="35"/>
    </row>
    <row r="41" spans="1:15" ht="21.75" customHeight="1" thickBot="1">
      <c r="A41" s="154"/>
      <c r="B41" s="445" t="s">
        <v>126</v>
      </c>
      <c r="C41" s="194"/>
      <c r="D41" s="781" t="str">
        <f>IF(ISBLANK(Programmatic!L29),"",(Programmatic!L29))</f>
        <v/>
      </c>
      <c r="E41" s="782"/>
      <c r="F41" s="782"/>
      <c r="G41" s="783"/>
      <c r="H41" s="189"/>
      <c r="I41" s="838"/>
      <c r="J41" s="839"/>
      <c r="K41" s="839"/>
      <c r="L41" s="839"/>
      <c r="M41" s="839"/>
      <c r="N41" s="840"/>
      <c r="O41" s="35"/>
    </row>
    <row r="42" spans="1:15" ht="13.5">
      <c r="A42" s="154"/>
      <c r="B42" s="195"/>
      <c r="C42" s="195"/>
      <c r="D42" s="196"/>
      <c r="E42" s="154"/>
      <c r="F42" s="195"/>
      <c r="G42" s="195"/>
      <c r="H42" s="154"/>
      <c r="I42" s="197"/>
      <c r="J42" s="154"/>
      <c r="K42" s="198"/>
      <c r="L42" s="198"/>
      <c r="M42" s="198"/>
      <c r="N42" s="198"/>
      <c r="O42" s="35"/>
    </row>
  </sheetData>
  <sheetProtection password="CFC9" sheet="1"/>
  <mergeCells count="65">
    <mergeCell ref="I40:N40"/>
    <mergeCell ref="I41:N41"/>
    <mergeCell ref="I35:N35"/>
    <mergeCell ref="I36:N36"/>
    <mergeCell ref="I37:N37"/>
    <mergeCell ref="I38:N38"/>
    <mergeCell ref="I39:N39"/>
    <mergeCell ref="B8:N8"/>
    <mergeCell ref="I10:N10"/>
    <mergeCell ref="I19:N19"/>
    <mergeCell ref="I24:N24"/>
    <mergeCell ref="I20:N20"/>
    <mergeCell ref="B18:C18"/>
    <mergeCell ref="I13:N13"/>
    <mergeCell ref="I14:N14"/>
    <mergeCell ref="B10:C10"/>
    <mergeCell ref="D10:G10"/>
    <mergeCell ref="I22:N22"/>
    <mergeCell ref="I23:N23"/>
    <mergeCell ref="D19:G19"/>
    <mergeCell ref="D21:G21"/>
    <mergeCell ref="B2:N2"/>
    <mergeCell ref="E5:K5"/>
    <mergeCell ref="E6:K6"/>
    <mergeCell ref="E3:K3"/>
    <mergeCell ref="C4:D4"/>
    <mergeCell ref="E4:K4"/>
    <mergeCell ref="C3:D3"/>
    <mergeCell ref="I31:N31"/>
    <mergeCell ref="B26:N26"/>
    <mergeCell ref="B16:N16"/>
    <mergeCell ref="D14:G14"/>
    <mergeCell ref="D11:G11"/>
    <mergeCell ref="D13:G13"/>
    <mergeCell ref="I12:N12"/>
    <mergeCell ref="D12:G12"/>
    <mergeCell ref="I11:N11"/>
    <mergeCell ref="B28:C28"/>
    <mergeCell ref="D22:G22"/>
    <mergeCell ref="D23:G23"/>
    <mergeCell ref="I18:N18"/>
    <mergeCell ref="D18:G18"/>
    <mergeCell ref="D20:G20"/>
    <mergeCell ref="I21:N21"/>
    <mergeCell ref="D36:G36"/>
    <mergeCell ref="D30:G30"/>
    <mergeCell ref="D31:G31"/>
    <mergeCell ref="D24:G24"/>
    <mergeCell ref="D33:G33"/>
    <mergeCell ref="D41:G41"/>
    <mergeCell ref="I28:N28"/>
    <mergeCell ref="D40:G40"/>
    <mergeCell ref="D34:G34"/>
    <mergeCell ref="D29:G29"/>
    <mergeCell ref="D28:G28"/>
    <mergeCell ref="I34:N34"/>
    <mergeCell ref="D35:G35"/>
    <mergeCell ref="D32:G32"/>
    <mergeCell ref="D39:G39"/>
    <mergeCell ref="D38:G38"/>
    <mergeCell ref="D37:G37"/>
    <mergeCell ref="I32:N32"/>
    <mergeCell ref="I29:N29"/>
    <mergeCell ref="I33:N33"/>
    <mergeCell ref="I30:N30"/>
  </mergeCells>
  <phoneticPr fontId="30"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headerFooter alignWithMargins="0">
    <oddFooter>&amp;L&amp;F&amp;C&amp;A&amp;RV1.0          &amp;D</oddFooter>
  </headerFooter>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27"/>
  </sheetPr>
  <dimension ref="A1:M43"/>
  <sheetViews>
    <sheetView showGridLines="0" tabSelected="1" zoomScale="110" zoomScaleNormal="110" zoomScaleSheetLayoutView="100" zoomScalePageLayoutView="110" workbookViewId="0">
      <selection activeCell="B16" sqref="B16:E17"/>
    </sheetView>
  </sheetViews>
  <sheetFormatPr defaultColWidth="11" defaultRowHeight="14.5"/>
  <cols>
    <col min="1" max="1" width="4.08984375" customWidth="1"/>
    <col min="2" max="2" width="14.453125" customWidth="1"/>
    <col min="3" max="3" width="12.453125" customWidth="1"/>
    <col min="4" max="4" width="11.453125" customWidth="1"/>
    <col min="5" max="5" width="19" customWidth="1"/>
    <col min="6" max="6" width="1.453125" customWidth="1"/>
    <col min="7" max="7" width="11.453125" customWidth="1"/>
    <col min="8" max="8" width="9.453125" customWidth="1"/>
    <col min="9" max="9" width="11.453125" customWidth="1"/>
    <col min="10" max="10" width="12.453125" customWidth="1"/>
    <col min="11" max="11" width="10.453125" customWidth="1"/>
    <col min="12" max="12" width="9.6328125" customWidth="1"/>
  </cols>
  <sheetData>
    <row r="1" spans="1:13" ht="30.75" customHeight="1"/>
    <row r="2" spans="1:13" ht="27.75" customHeight="1">
      <c r="B2" s="737" t="str">
        <f>+"Dashboard:  "&amp;"  "&amp;IF(+'Data Entry'!C4="Please Select","",'Data Entry'!C4&amp;" - ")&amp;IF('Data Entry'!G6="Please Select","",'Data Entry'!G6)</f>
        <v>Dashboard:    Georgia - TB</v>
      </c>
      <c r="C2" s="737"/>
      <c r="D2" s="737"/>
      <c r="E2" s="737"/>
      <c r="F2" s="737"/>
      <c r="G2" s="737"/>
      <c r="H2" s="737"/>
      <c r="I2" s="737"/>
      <c r="J2" s="737"/>
      <c r="K2" s="737"/>
      <c r="L2" s="737"/>
    </row>
    <row r="3" spans="1:13">
      <c r="B3" s="24" t="str">
        <f>+IF('Data Entry'!G8="Please Select","",'Data Entry'!G8)</f>
        <v>Round 10</v>
      </c>
      <c r="C3" s="735" t="str">
        <f>+IF('Data Entry'!I8="Please Select","",'Data Entry'!I8)</f>
        <v>Phase 2</v>
      </c>
      <c r="D3" s="735"/>
      <c r="E3" s="736"/>
      <c r="F3" s="736"/>
      <c r="G3" s="736"/>
      <c r="H3" s="736"/>
      <c r="I3" s="736"/>
      <c r="J3" s="739" t="str">
        <f>+'Data Entry'!B16</f>
        <v>Report Period:</v>
      </c>
      <c r="K3" s="739"/>
      <c r="L3" s="202" t="str">
        <f>+'Data Entry'!C16</f>
        <v>P9</v>
      </c>
      <c r="M3" s="85"/>
    </row>
    <row r="4" spans="1:13">
      <c r="B4" s="24" t="str">
        <f>+'Data Entry'!B12</f>
        <v>Latest Rating:</v>
      </c>
      <c r="C4" s="846" t="str">
        <f>+IF('Data Entry'!C12="Please Select","",'Data Entry'!C12)</f>
        <v>A2</v>
      </c>
      <c r="D4" s="846"/>
      <c r="E4" s="736" t="str">
        <f>+'Data Entry'!C8</f>
        <v>NCDC</v>
      </c>
      <c r="F4" s="736"/>
      <c r="G4" s="736"/>
      <c r="H4" s="736"/>
      <c r="I4" s="736"/>
      <c r="J4" s="739" t="str">
        <f>+'Data Entry'!D16</f>
        <v>From:</v>
      </c>
      <c r="K4" s="743"/>
      <c r="L4" s="203">
        <f>+IF(ISBLANK('Data Entry'!E16),"",'Data Entry'!E16)</f>
        <v>42461</v>
      </c>
    </row>
    <row r="5" spans="1:13" ht="18.75" customHeight="1">
      <c r="B5" s="24"/>
      <c r="C5" s="24"/>
      <c r="D5" s="736">
        <f>+'Data Entry'!G4</f>
        <v>0</v>
      </c>
      <c r="E5" s="736"/>
      <c r="F5" s="736"/>
      <c r="G5" s="736"/>
      <c r="H5" s="736"/>
      <c r="I5" s="736"/>
      <c r="J5" s="736"/>
      <c r="K5" s="24" t="str">
        <f>+'Data Entry'!F16</f>
        <v>To:</v>
      </c>
      <c r="L5" s="203">
        <f>+IF(ISBLANK('Data Entry'!G16),"",'Data Entry'!G16)</f>
        <v>42551</v>
      </c>
    </row>
    <row r="6" spans="1:13" ht="18.5">
      <c r="B6" s="23"/>
      <c r="C6" s="24"/>
      <c r="D6" s="25"/>
      <c r="E6" s="738" t="s">
        <v>373</v>
      </c>
      <c r="F6" s="738"/>
      <c r="G6" s="738"/>
      <c r="H6" s="738"/>
      <c r="I6" s="738"/>
    </row>
    <row r="7" spans="1:13" ht="18.5">
      <c r="E7" s="72"/>
      <c r="F7" s="72"/>
      <c r="G7" s="72"/>
      <c r="H7" s="72"/>
      <c r="I7" s="72"/>
    </row>
    <row r="8" spans="1:13" s="33" customFormat="1" ht="21" customHeight="1" thickBot="1">
      <c r="B8" s="76" t="s">
        <v>96</v>
      </c>
      <c r="C8" s="76"/>
      <c r="D8" s="76"/>
      <c r="E8" s="76"/>
      <c r="F8" s="76"/>
      <c r="G8" s="76"/>
      <c r="H8" s="76"/>
      <c r="I8" s="76"/>
      <c r="J8" s="76"/>
      <c r="K8" s="76"/>
      <c r="L8" s="76"/>
    </row>
    <row r="9" spans="1:13" ht="6" customHeight="1">
      <c r="B9" s="74"/>
    </row>
    <row r="10" spans="1:13">
      <c r="B10" s="854"/>
      <c r="C10" s="855"/>
      <c r="D10" s="855"/>
      <c r="E10" s="855"/>
      <c r="F10" s="855"/>
      <c r="G10" s="855"/>
      <c r="H10" s="855"/>
      <c r="I10" s="855"/>
      <c r="J10" s="855"/>
      <c r="K10" s="855"/>
      <c r="L10" s="856"/>
    </row>
    <row r="11" spans="1:13">
      <c r="B11" s="857"/>
      <c r="C11" s="858"/>
      <c r="D11" s="858"/>
      <c r="E11" s="858"/>
      <c r="F11" s="858"/>
      <c r="G11" s="858"/>
      <c r="H11" s="858"/>
      <c r="I11" s="858"/>
      <c r="J11" s="858"/>
      <c r="K11" s="858"/>
      <c r="L11" s="859"/>
    </row>
    <row r="12" spans="1:13" ht="15" thickBot="1"/>
    <row r="13" spans="1:13" ht="26.25" customHeight="1" thickBot="1">
      <c r="B13" s="851" t="s">
        <v>306</v>
      </c>
      <c r="C13" s="852"/>
      <c r="D13" s="852"/>
      <c r="E13" s="853"/>
      <c r="F13" s="77"/>
      <c r="G13" s="867" t="s">
        <v>129</v>
      </c>
      <c r="H13" s="860"/>
      <c r="I13" s="860"/>
      <c r="J13" s="78" t="s">
        <v>97</v>
      </c>
      <c r="K13" s="860" t="s">
        <v>293</v>
      </c>
      <c r="L13" s="861"/>
    </row>
    <row r="14" spans="1:13">
      <c r="A14" s="871" t="s">
        <v>307</v>
      </c>
      <c r="B14" s="874" t="s">
        <v>445</v>
      </c>
      <c r="C14" s="874"/>
      <c r="D14" s="874"/>
      <c r="E14" s="875"/>
      <c r="F14" s="46"/>
      <c r="G14" s="876" t="s">
        <v>447</v>
      </c>
      <c r="H14" s="847"/>
      <c r="I14" s="847"/>
      <c r="J14" s="847"/>
      <c r="K14" s="847"/>
      <c r="L14" s="848"/>
    </row>
    <row r="15" spans="1:13">
      <c r="A15" s="872"/>
      <c r="B15" s="874"/>
      <c r="C15" s="874"/>
      <c r="D15" s="874"/>
      <c r="E15" s="875"/>
      <c r="F15" s="46"/>
      <c r="G15" s="877"/>
      <c r="H15" s="849"/>
      <c r="I15" s="849"/>
      <c r="J15" s="849"/>
      <c r="K15" s="849"/>
      <c r="L15" s="850"/>
    </row>
    <row r="16" spans="1:13">
      <c r="A16" s="872"/>
      <c r="B16" s="874" t="s">
        <v>446</v>
      </c>
      <c r="C16" s="874"/>
      <c r="D16" s="874"/>
      <c r="E16" s="875"/>
      <c r="F16" s="46"/>
      <c r="G16" s="877"/>
      <c r="H16" s="849"/>
      <c r="I16" s="849"/>
      <c r="J16" s="849"/>
      <c r="K16" s="849"/>
      <c r="L16" s="850"/>
    </row>
    <row r="17" spans="1:12">
      <c r="A17" s="872"/>
      <c r="B17" s="874"/>
      <c r="C17" s="874"/>
      <c r="D17" s="874"/>
      <c r="E17" s="875"/>
      <c r="F17" s="46"/>
      <c r="G17" s="877"/>
      <c r="H17" s="849"/>
      <c r="I17" s="849"/>
      <c r="J17" s="849"/>
      <c r="K17" s="849"/>
      <c r="L17" s="850"/>
    </row>
    <row r="18" spans="1:12">
      <c r="A18" s="872"/>
      <c r="B18" s="874"/>
      <c r="C18" s="874"/>
      <c r="D18" s="874"/>
      <c r="E18" s="875"/>
      <c r="F18" s="46"/>
      <c r="G18" s="878"/>
      <c r="H18" s="879"/>
      <c r="I18" s="880"/>
      <c r="J18" s="849"/>
      <c r="K18" s="849"/>
      <c r="L18" s="850"/>
    </row>
    <row r="19" spans="1:12" ht="30.75" customHeight="1">
      <c r="A19" s="872"/>
      <c r="B19" s="874"/>
      <c r="C19" s="874"/>
      <c r="D19" s="874"/>
      <c r="E19" s="875"/>
      <c r="F19" s="46"/>
      <c r="G19" s="881"/>
      <c r="H19" s="882"/>
      <c r="I19" s="883"/>
      <c r="J19" s="849"/>
      <c r="K19" s="849"/>
      <c r="L19" s="850"/>
    </row>
    <row r="20" spans="1:12">
      <c r="A20" s="872"/>
      <c r="B20" s="874"/>
      <c r="C20" s="874"/>
      <c r="D20" s="874"/>
      <c r="E20" s="875"/>
      <c r="F20" s="46"/>
      <c r="G20" s="877"/>
      <c r="H20" s="849"/>
      <c r="I20" s="849"/>
      <c r="J20" s="849"/>
      <c r="K20" s="849"/>
      <c r="L20" s="850"/>
    </row>
    <row r="21" spans="1:12">
      <c r="A21" s="872"/>
      <c r="B21" s="874"/>
      <c r="C21" s="874"/>
      <c r="D21" s="874"/>
      <c r="E21" s="875"/>
      <c r="F21" s="46"/>
      <c r="G21" s="877"/>
      <c r="H21" s="849"/>
      <c r="I21" s="849"/>
      <c r="J21" s="849"/>
      <c r="K21" s="849"/>
      <c r="L21" s="850"/>
    </row>
    <row r="22" spans="1:12">
      <c r="A22" s="872"/>
      <c r="B22" s="874"/>
      <c r="C22" s="874"/>
      <c r="D22" s="874"/>
      <c r="E22" s="875"/>
      <c r="F22" s="46"/>
      <c r="G22" s="877"/>
      <c r="H22" s="849"/>
      <c r="I22" s="849"/>
      <c r="J22" s="849"/>
      <c r="K22" s="849"/>
      <c r="L22" s="850"/>
    </row>
    <row r="23" spans="1:12">
      <c r="A23" s="872"/>
      <c r="B23" s="874"/>
      <c r="C23" s="874"/>
      <c r="D23" s="874"/>
      <c r="E23" s="875"/>
      <c r="F23" s="46"/>
      <c r="G23" s="877"/>
      <c r="H23" s="849"/>
      <c r="I23" s="849"/>
      <c r="J23" s="849"/>
      <c r="K23" s="849"/>
      <c r="L23" s="850"/>
    </row>
    <row r="24" spans="1:12">
      <c r="A24" s="872"/>
      <c r="B24" s="874"/>
      <c r="C24" s="874"/>
      <c r="D24" s="874"/>
      <c r="E24" s="875"/>
      <c r="F24" s="46"/>
      <c r="G24" s="877"/>
      <c r="H24" s="849"/>
      <c r="I24" s="849"/>
      <c r="J24" s="849"/>
      <c r="K24" s="849"/>
      <c r="L24" s="850"/>
    </row>
    <row r="25" spans="1:12" ht="15" thickBot="1">
      <c r="A25" s="873"/>
      <c r="B25" s="893"/>
      <c r="C25" s="893"/>
      <c r="D25" s="893"/>
      <c r="E25" s="894"/>
      <c r="F25" s="46"/>
      <c r="G25" s="885"/>
      <c r="H25" s="868"/>
      <c r="I25" s="868"/>
      <c r="J25" s="868"/>
      <c r="K25" s="868"/>
      <c r="L25" s="869"/>
    </row>
    <row r="27" spans="1:12" ht="18.5">
      <c r="E27" s="884" t="s">
        <v>336</v>
      </c>
      <c r="F27" s="884"/>
      <c r="G27" s="884"/>
      <c r="H27" s="884"/>
      <c r="I27" s="884"/>
    </row>
    <row r="28" spans="1:12" ht="6" customHeight="1">
      <c r="E28" s="72"/>
      <c r="F28" s="72"/>
      <c r="G28" s="72"/>
      <c r="H28" s="72"/>
      <c r="I28" s="72"/>
    </row>
    <row r="29" spans="1:12" s="33" customFormat="1" ht="21" customHeight="1" thickBot="1">
      <c r="B29" s="76" t="s">
        <v>96</v>
      </c>
      <c r="C29" s="76"/>
      <c r="D29" s="76"/>
      <c r="E29" s="76"/>
      <c r="F29" s="76"/>
      <c r="G29" s="76"/>
      <c r="H29" s="76"/>
      <c r="I29" s="76"/>
      <c r="J29" s="76"/>
      <c r="K29" s="76"/>
      <c r="L29" s="76"/>
    </row>
    <row r="30" spans="1:12" ht="6" customHeight="1" thickBot="1">
      <c r="B30" s="74"/>
    </row>
    <row r="31" spans="1:12" ht="21.75" customHeight="1" thickBot="1">
      <c r="B31" s="851" t="s">
        <v>129</v>
      </c>
      <c r="C31" s="852"/>
      <c r="D31" s="852"/>
      <c r="E31" s="853"/>
      <c r="F31" s="77"/>
      <c r="G31" s="867" t="s">
        <v>321</v>
      </c>
      <c r="H31" s="860"/>
      <c r="I31" s="860"/>
      <c r="J31" s="78" t="s">
        <v>295</v>
      </c>
      <c r="K31" s="860" t="s">
        <v>293</v>
      </c>
      <c r="L31" s="861"/>
    </row>
    <row r="32" spans="1:12" ht="14.25" customHeight="1">
      <c r="A32" s="871" t="s">
        <v>308</v>
      </c>
      <c r="B32" s="886"/>
      <c r="C32" s="887"/>
      <c r="D32" s="887"/>
      <c r="E32" s="888"/>
      <c r="F32" s="46"/>
      <c r="G32" s="895"/>
      <c r="H32" s="841"/>
      <c r="I32" s="841"/>
      <c r="J32" s="841"/>
      <c r="K32" s="841"/>
      <c r="L32" s="870"/>
    </row>
    <row r="33" spans="1:12" ht="16.5" customHeight="1">
      <c r="A33" s="872"/>
      <c r="B33" s="881"/>
      <c r="C33" s="882"/>
      <c r="D33" s="882"/>
      <c r="E33" s="889"/>
      <c r="F33" s="46"/>
      <c r="G33" s="862"/>
      <c r="H33" s="842"/>
      <c r="I33" s="842"/>
      <c r="J33" s="842"/>
      <c r="K33" s="842"/>
      <c r="L33" s="843"/>
    </row>
    <row r="34" spans="1:12">
      <c r="A34" s="872"/>
      <c r="B34" s="864" t="str">
        <f>IF(Recommendations!I43="","",Recommendations!I43)</f>
        <v/>
      </c>
      <c r="C34" s="865"/>
      <c r="D34" s="865"/>
      <c r="E34" s="866"/>
      <c r="F34" s="46"/>
      <c r="G34" s="862"/>
      <c r="H34" s="842"/>
      <c r="I34" s="842"/>
      <c r="J34" s="842"/>
      <c r="K34" s="842"/>
      <c r="L34" s="843"/>
    </row>
    <row r="35" spans="1:12">
      <c r="A35" s="872"/>
      <c r="B35" s="864"/>
      <c r="C35" s="865"/>
      <c r="D35" s="865"/>
      <c r="E35" s="866"/>
      <c r="F35" s="46"/>
      <c r="G35" s="862"/>
      <c r="H35" s="842"/>
      <c r="I35" s="842"/>
      <c r="J35" s="842"/>
      <c r="K35" s="842"/>
      <c r="L35" s="843"/>
    </row>
    <row r="36" spans="1:12">
      <c r="A36" s="872"/>
      <c r="B36" s="864" t="str">
        <f>+IF(Recommendations!I53="","",Recommendations!I53)</f>
        <v/>
      </c>
      <c r="C36" s="865"/>
      <c r="D36" s="865"/>
      <c r="E36" s="866"/>
      <c r="F36" s="46"/>
      <c r="G36" s="862"/>
      <c r="H36" s="842"/>
      <c r="I36" s="842"/>
      <c r="J36" s="842"/>
      <c r="K36" s="842"/>
      <c r="L36" s="843"/>
    </row>
    <row r="37" spans="1:12">
      <c r="A37" s="872"/>
      <c r="B37" s="864"/>
      <c r="C37" s="865"/>
      <c r="D37" s="865"/>
      <c r="E37" s="866"/>
      <c r="F37" s="46"/>
      <c r="G37" s="862"/>
      <c r="H37" s="842"/>
      <c r="I37" s="842"/>
      <c r="J37" s="842"/>
      <c r="K37" s="842"/>
      <c r="L37" s="843"/>
    </row>
    <row r="38" spans="1:12">
      <c r="A38" s="872"/>
      <c r="B38" s="864"/>
      <c r="C38" s="865"/>
      <c r="D38" s="865"/>
      <c r="E38" s="866"/>
      <c r="F38" s="46"/>
      <c r="G38" s="862"/>
      <c r="H38" s="842"/>
      <c r="I38" s="842"/>
      <c r="J38" s="842"/>
      <c r="K38" s="842"/>
      <c r="L38" s="843"/>
    </row>
    <row r="39" spans="1:12">
      <c r="A39" s="872"/>
      <c r="B39" s="864"/>
      <c r="C39" s="865"/>
      <c r="D39" s="865"/>
      <c r="E39" s="866"/>
      <c r="F39" s="46"/>
      <c r="G39" s="862"/>
      <c r="H39" s="842"/>
      <c r="I39" s="842"/>
      <c r="J39" s="842"/>
      <c r="K39" s="842"/>
      <c r="L39" s="843"/>
    </row>
    <row r="40" spans="1:12">
      <c r="A40" s="872"/>
      <c r="B40" s="864"/>
      <c r="C40" s="865"/>
      <c r="D40" s="865"/>
      <c r="E40" s="866"/>
      <c r="F40" s="46"/>
      <c r="G40" s="862"/>
      <c r="H40" s="842"/>
      <c r="I40" s="842"/>
      <c r="J40" s="842"/>
      <c r="K40" s="842"/>
      <c r="L40" s="843"/>
    </row>
    <row r="41" spans="1:12">
      <c r="A41" s="872"/>
      <c r="B41" s="864"/>
      <c r="C41" s="865"/>
      <c r="D41" s="865"/>
      <c r="E41" s="866"/>
      <c r="F41" s="46"/>
      <c r="G41" s="862"/>
      <c r="H41" s="842"/>
      <c r="I41" s="842"/>
      <c r="J41" s="842"/>
      <c r="K41" s="842"/>
      <c r="L41" s="843"/>
    </row>
    <row r="42" spans="1:12">
      <c r="A42" s="872"/>
      <c r="B42" s="864"/>
      <c r="C42" s="865"/>
      <c r="D42" s="865"/>
      <c r="E42" s="866"/>
      <c r="F42" s="46"/>
      <c r="G42" s="862"/>
      <c r="H42" s="842"/>
      <c r="I42" s="842"/>
      <c r="J42" s="842"/>
      <c r="K42" s="842"/>
      <c r="L42" s="843"/>
    </row>
    <row r="43" spans="1:12" ht="15" thickBot="1">
      <c r="A43" s="873"/>
      <c r="B43" s="890"/>
      <c r="C43" s="891"/>
      <c r="D43" s="891"/>
      <c r="E43" s="892"/>
      <c r="F43" s="46"/>
      <c r="G43" s="863"/>
      <c r="H43" s="844"/>
      <c r="I43" s="844"/>
      <c r="J43" s="844"/>
      <c r="K43" s="844"/>
      <c r="L43" s="845"/>
    </row>
  </sheetData>
  <sheetProtection password="CFC9" sheet="1"/>
  <mergeCells count="67">
    <mergeCell ref="A32:A43"/>
    <mergeCell ref="G31:I31"/>
    <mergeCell ref="G20:I21"/>
    <mergeCell ref="G22:I23"/>
    <mergeCell ref="E27:I27"/>
    <mergeCell ref="B31:E31"/>
    <mergeCell ref="G24:I25"/>
    <mergeCell ref="G38:I39"/>
    <mergeCell ref="B32:E33"/>
    <mergeCell ref="B42:E43"/>
    <mergeCell ref="B24:E25"/>
    <mergeCell ref="G32:I33"/>
    <mergeCell ref="B40:E41"/>
    <mergeCell ref="B20:E21"/>
    <mergeCell ref="B34:E35"/>
    <mergeCell ref="G34:I35"/>
    <mergeCell ref="A14:A25"/>
    <mergeCell ref="J18:J19"/>
    <mergeCell ref="J16:J17"/>
    <mergeCell ref="J14:J15"/>
    <mergeCell ref="B16:E17"/>
    <mergeCell ref="G14:I15"/>
    <mergeCell ref="J24:J25"/>
    <mergeCell ref="B14:E15"/>
    <mergeCell ref="J22:J23"/>
    <mergeCell ref="G16:I17"/>
    <mergeCell ref="B18:E19"/>
    <mergeCell ref="B22:E23"/>
    <mergeCell ref="G18:I19"/>
    <mergeCell ref="J20:J21"/>
    <mergeCell ref="G42:I43"/>
    <mergeCell ref="G40:I41"/>
    <mergeCell ref="B38:E39"/>
    <mergeCell ref="K18:L19"/>
    <mergeCell ref="G13:I13"/>
    <mergeCell ref="K22:L23"/>
    <mergeCell ref="K20:L21"/>
    <mergeCell ref="B36:E37"/>
    <mergeCell ref="G36:I37"/>
    <mergeCell ref="J36:J37"/>
    <mergeCell ref="K31:L31"/>
    <mergeCell ref="K24:L25"/>
    <mergeCell ref="K34:L35"/>
    <mergeCell ref="K32:L33"/>
    <mergeCell ref="J40:J41"/>
    <mergeCell ref="J42:J43"/>
    <mergeCell ref="B2:L2"/>
    <mergeCell ref="C4:D4"/>
    <mergeCell ref="K14:L15"/>
    <mergeCell ref="K16:L17"/>
    <mergeCell ref="E3:I3"/>
    <mergeCell ref="J3:K3"/>
    <mergeCell ref="E4:I4"/>
    <mergeCell ref="J4:K4"/>
    <mergeCell ref="E6:I6"/>
    <mergeCell ref="C3:D3"/>
    <mergeCell ref="D5:J5"/>
    <mergeCell ref="B13:E13"/>
    <mergeCell ref="B10:L11"/>
    <mergeCell ref="K13:L13"/>
    <mergeCell ref="J32:J33"/>
    <mergeCell ref="J34:J35"/>
    <mergeCell ref="K40:L41"/>
    <mergeCell ref="J38:J39"/>
    <mergeCell ref="K42:L43"/>
    <mergeCell ref="K36:L37"/>
    <mergeCell ref="K38:L39"/>
  </mergeCells>
  <phoneticPr fontId="30"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headerFooter alignWithMargins="0">
    <oddFooter>&amp;L&amp;F&amp;C&amp;A&amp;RV1.0          &amp;D</oddFooter>
  </headerFooter>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AE33814D636243AB6A9FA2A045E8DA" ma:contentTypeVersion="3" ma:contentTypeDescription="Create a new document." ma:contentTypeScope="" ma:versionID="af1a29e97202afb25995f8da1615af72">
  <xsd:schema xmlns:xsd="http://www.w3.org/2001/XMLSchema" xmlns:p="http://schemas.microsoft.com/office/2006/metadata/properties" xmlns:ns1="http://schemas.microsoft.com/sharepoint/v3" xmlns:ns3="f127e3a1-6a43-4b35-8211-dfdf2a8cacea" targetNamespace="http://schemas.microsoft.com/office/2006/metadata/properties" ma:root="true" ma:fieldsID="563097b2b740befc2bcdae137e789546" ns1:_="" ns3:_="">
    <xsd:import namespace="http://schemas.microsoft.com/sharepoint/v3"/>
    <xsd:import namespace="f127e3a1-6a43-4b35-8211-dfdf2a8cacea"/>
    <xsd:element name="properties">
      <xsd:complexType>
        <xsd:sequence>
          <xsd:element name="documentManagement">
            <xsd:complexType>
              <xsd:all>
                <xsd:element ref="ns1:PublishingStartDate" minOccurs="0"/>
                <xsd:element ref="ns1:PublishingExpirationDate" minOccurs="0"/>
                <xsd:element ref="ns3:N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f127e3a1-6a43-4b35-8211-dfdf2a8cacea" elementFormDefault="qualified">
    <xsd:import namespace="http://schemas.microsoft.com/office/2006/documentManagement/types"/>
    <xsd:element name="Nr" ma:index="11" nillable="true" ma:displayName="Nr" ma:internalName="N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Nr xmlns="f127e3a1-6a43-4b35-8211-dfdf2a8cacea" xsi:nil="true"/>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240FC5-D0A5-4050-99A6-A81664294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27e3a1-6a43-4b35-8211-dfdf2a8cace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1A7189D-6043-4BCC-A93B-7366B7BCBFA9}">
  <ds:schemaRefs>
    <ds:schemaRef ds:uri="http://www.w3.org/XML/1998/namespace"/>
    <ds:schemaRef ds:uri="f127e3a1-6a43-4b35-8211-dfdf2a8cacea"/>
    <ds:schemaRef ds:uri="http://purl.org/dc/dcmitype/"/>
    <ds:schemaRef ds:uri="http://schemas.microsoft.com/office/2006/documentManagement/types"/>
    <ds:schemaRef ds:uri="http://schemas.microsoft.com/office/2006/metadata/properties"/>
    <ds:schemaRef ds:uri="http://schemas.microsoft.com/sharepoint/v3"/>
    <ds:schemaRef ds:uri="http://purl.org/dc/term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FF8B9337-4B91-4BFB-AD68-7B155DF4A2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Menu</vt:lpstr>
      <vt:lpstr>List of Indicators</vt:lpstr>
      <vt:lpstr>Data Entry</vt:lpstr>
      <vt:lpstr>Grant Detail</vt:lpstr>
      <vt:lpstr>Finance</vt:lpstr>
      <vt:lpstr>Management</vt:lpstr>
      <vt:lpstr>Programmatic</vt:lpstr>
      <vt:lpstr>Recommendations</vt:lpstr>
      <vt:lpstr>Actions</vt:lpstr>
      <vt:lpstr>Setup</vt:lpstr>
      <vt:lpstr>Component</vt:lpstr>
      <vt:lpstr>Countries</vt:lpstr>
      <vt:lpstr>Currency</vt:lpstr>
      <vt:lpstr>LFA</vt:lpstr>
      <vt:lpstr>Medicaments</vt:lpstr>
      <vt:lpstr>PERIOD</vt:lpstr>
      <vt:lpstr>Phase</vt:lpstr>
      <vt:lpstr>Actions!Print_Area</vt:lpstr>
      <vt:lpstr>Finance!Print_Area</vt:lpstr>
      <vt:lpstr>Management!Print_Area</vt:lpstr>
      <vt:lpstr>Programmatic!Print_Area</vt:lpstr>
      <vt:lpstr>PrintA</vt:lpstr>
      <vt:lpstr>PrintDataF</vt:lpstr>
      <vt:lpstr>PrintDataM</vt:lpstr>
      <vt:lpstr>PrintF</vt:lpstr>
      <vt:lpstr>PrintGD</vt:lpstr>
      <vt:lpstr>Actions!PrintM</vt:lpstr>
      <vt:lpstr>PrintM</vt:lpstr>
      <vt:lpstr>PrintP</vt:lpstr>
      <vt:lpstr>PrintR</vt:lpstr>
      <vt:lpstr>Rating</vt:lpstr>
      <vt:lpstr>Round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CCM_Generic_Dashboard_en</dc:title>
  <dc:subject>&amp;lt;p&amp;gt;Setup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subject>
  <dc:creator>Genc Kastrati</dc:creator>
  <dc:description>&amp;lt;p&amp;gt;Setup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description>
  <cp:lastModifiedBy>User</cp:lastModifiedBy>
  <cp:lastPrinted>2015-03-11T10:26:05Z</cp:lastPrinted>
  <dcterms:created xsi:type="dcterms:W3CDTF">2008-11-20T16:06:13Z</dcterms:created>
  <dcterms:modified xsi:type="dcterms:W3CDTF">2017-05-22T11:11:18Z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ot_Map">
    <vt:lpwstr>C:\Documents and Settings\rfplain\Desktop\Root_Map.xsd</vt:lpwstr>
  </property>
  <property fmtid="{D5CDD505-2E9C-101B-9397-08002B2CF9AE}" pid="3" name="ContentType">
    <vt:lpwstr>Document</vt:lpwstr>
  </property>
  <property fmtid="{D5CDD505-2E9C-101B-9397-08002B2CF9AE}" pid="4" name="Version">
    <vt:lpwstr>1.0</vt:lpwstr>
  </property>
  <property fmtid="{D5CDD505-2E9C-101B-9397-08002B2CF9AE}" pid="5" name="ContentTypeId">
    <vt:lpwstr>0x0101004BF1F6075714FF459EA7921B9223C8F9</vt:lpwstr>
  </property>
  <property fmtid="{D5CDD505-2E9C-101B-9397-08002B2CF9AE}" pid="6" name="EktContentLanguage">
    <vt:i4>1033</vt:i4>
  </property>
  <property fmtid="{D5CDD505-2E9C-101B-9397-08002B2CF9AE}" pid="7" name="EktQuickLink">
    <vt:lpwstr>DownloadAsset.aspx?id=10408</vt:lpwstr>
  </property>
  <property fmtid="{D5CDD505-2E9C-101B-9397-08002B2CF9AE}" pid="8" name="EktContentType">
    <vt:i4>101</vt:i4>
  </property>
  <property fmtid="{D5CDD505-2E9C-101B-9397-08002B2CF9AE}" pid="9" name="EktContentSubType">
    <vt:i4>0</vt:i4>
  </property>
  <property fmtid="{D5CDD505-2E9C-101B-9397-08002B2CF9AE}" pid="10" name="EktFolderName">
    <vt:lpwstr/>
  </property>
  <property fmtid="{D5CDD505-2E9C-101B-9397-08002B2CF9AE}" pid="11" name="EktCmsPath">
    <vt:lpwstr>&amp;lt;p&amp;gt;Setup  Actions  Recommendations  Programmatic  Management  Finance  Grant Detail  Data Entry  List of Indicators  Menu  Component  Countries  Currency  LFA  Medicaments  PERIOD  Phase  PrintA  PrintDataF  PrintDataM  PrintF  PrintGD  PrintM  Prin</vt:lpwstr>
  </property>
  <property fmtid="{D5CDD505-2E9C-101B-9397-08002B2CF9AE}" pid="12" name="EktExpiryType">
    <vt:i4>1</vt:i4>
  </property>
  <property fmtid="{D5CDD505-2E9C-101B-9397-08002B2CF9AE}" pid="13" name="EktDateCreated">
    <vt:filetime>2011-06-15T08:46:15Z</vt:filetime>
  </property>
  <property fmtid="{D5CDD505-2E9C-101B-9397-08002B2CF9AE}" pid="14" name="EktDateModified">
    <vt:filetime>2011-06-15T08:46:22Z</vt:filetime>
  </property>
  <property fmtid="{D5CDD505-2E9C-101B-9397-08002B2CF9AE}" pid="15" name="EktTaxCategory">
    <vt:lpwstr> #eksep# \Navigation\documents\ccm #eksep# </vt:lpwstr>
  </property>
  <property fmtid="{D5CDD505-2E9C-101B-9397-08002B2CF9AE}" pid="16" name="EktDisabledTaxCategory">
    <vt:lpwstr/>
  </property>
  <property fmtid="{D5CDD505-2E9C-101B-9397-08002B2CF9AE}" pid="17" name="EktCmsSize">
    <vt:i4>846336</vt:i4>
  </property>
  <property fmtid="{D5CDD505-2E9C-101B-9397-08002B2CF9AE}" pid="18" name="EktSearchable">
    <vt:i4>1</vt:i4>
  </property>
  <property fmtid="{D5CDD505-2E9C-101B-9397-08002B2CF9AE}" pid="19" name="EktEDescription">
    <vt:lpwstr>Summary &amp;lt;p&amp;gt;Setup  Actions  Recommendations  Programmatic  Management  Finance  Grant Detail  Data Entry  List of Indicators  Menu  Component  Countries  Currency  LFA  Medicaments  PERIOD  Phase  PrintA  PrintDataF  PrintDataM  PrintF  PrintGD  Prin</vt:lpwstr>
  </property>
  <property fmtid="{D5CDD505-2E9C-101B-9397-08002B2CF9AE}" pid="20" name="EktFile_Size">
    <vt:lpwstr>811 KB</vt:lpwstr>
  </property>
  <property fmtid="{D5CDD505-2E9C-101B-9397-08002B2CF9AE}" pid="21" name="EktFile_Type">
    <vt:lpwstr>XLS</vt:lpwstr>
  </property>
  <property fmtid="{D5CDD505-2E9C-101B-9397-08002B2CF9AE}" pid="22" name="ekttaxonomyenabled">
    <vt:i4>1</vt:i4>
  </property>
</Properties>
</file>